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546976A-CB17-474F-B01A-D672FCA3B21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113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<sst xmlns="http://schemas.openxmlformats.org/spreadsheetml/2006/main" count="19434" uniqueCount="10215">
  <si>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</si>
  <si>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</si>
  <si>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</si>
  <si>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</si>
  <si>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应收账款 当期 2022-03-31 (元)</t>
  </si>
  <si>
    <t>应收账款 当期 2021-03-31 (元)</t>
  </si>
  <si>
    <t>应收账款 当期 2020-03-31 (元)</t>
  </si>
  <si>
    <t>应收账款 当期 2019-03-31 (元)</t>
  </si>
  <si>
    <t>应收账款 当期 2018-03-31 (元)</t>
  </si>
  <si>
    <t>应收账款 当期 2017-03-31 (元)</t>
  </si>
  <si>
    <t>应收账款 当期 2016-03-31 (元)</t>
  </si>
  <si>
    <t>应收账款 当期 2015-03-31 (元)</t>
  </si>
  <si>
    <t>应收账款 当期 2014-03-31 (元)</t>
  </si>
  <si>
    <t>应收账款 当期 2013-03-31 (元)</t>
  </si>
  <si>
    <t>应收账款 当期 2012-03-31 (元)</t>
  </si>
  <si>
    <t>关注度</t>
  </si>
  <si>
    <t>理杏仁Url</t>
  </si>
  <si>
    <t>sh</t>
  </si>
  <si>
    <t>中国建筑</t>
  </si>
  <si>
    <t>房屋建设</t>
  </si>
  <si>
    <t>www.lixinger.com/analytics/company/sh/601668/601668/detail</t>
  </si>
  <si>
    <t>中国铁建</t>
  </si>
  <si>
    <t>基建市政工程</t>
  </si>
  <si>
    <t>www.lixinger.com/analytics/company/sh/601186/601186/detail</t>
  </si>
  <si>
    <t>中国中铁</t>
  </si>
  <si>
    <t>www.lixinger.com/analytics/company/sh/601390/601390/detail</t>
  </si>
  <si>
    <t>绿地控股</t>
  </si>
  <si>
    <t>住宅开发</t>
  </si>
  <si>
    <t>www.lixinger.com/analytics/company/sh/600606/600606/detail</t>
  </si>
  <si>
    <t>陕西建工</t>
  </si>
  <si>
    <t>www.lixinger.com/analytics/company/sh/600248/600248/detail</t>
  </si>
  <si>
    <t>中国电建</t>
  </si>
  <si>
    <t>www.lixinger.com/analytics/company/sh/601669/601669/detail</t>
  </si>
  <si>
    <t>中国交建</t>
  </si>
  <si>
    <t>www.lixinger.com/analytics/company/sh/601800/601800/detail</t>
  </si>
  <si>
    <t>中国石油</t>
  </si>
  <si>
    <t>炼油化工</t>
  </si>
  <si>
    <t>www.lixinger.com/analytics/company/sh/601857/601857/detail</t>
  </si>
  <si>
    <t>中国中冶</t>
  </si>
  <si>
    <t>其他专业工程</t>
  </si>
  <si>
    <t>www.lixinger.com/analytics/company/sh/601618/601618/detail</t>
  </si>
  <si>
    <t>工业富联</t>
  </si>
  <si>
    <t>消费电子零部件及组装</t>
  </si>
  <si>
    <t>www.lixinger.com/analytics/company/sh/601138/601138/detail</t>
  </si>
  <si>
    <t>中国石化</t>
  </si>
  <si>
    <t>www.lixinger.com/analytics/company/sh/600028/600028/detail</t>
  </si>
  <si>
    <t>中国中车</t>
  </si>
  <si>
    <t>轨交设备</t>
  </si>
  <si>
    <t>www.lixinger.com/analytics/company/sh/601766/601766/detail</t>
  </si>
  <si>
    <t>上海医药</t>
  </si>
  <si>
    <t>医药流通</t>
  </si>
  <si>
    <t>www.lixinger.com/analytics/company/sh/601607/601607/detail</t>
  </si>
  <si>
    <t>中信证券</t>
  </si>
  <si>
    <t>证券</t>
  </si>
  <si>
    <t>www.lixinger.com/analytics/company/sh/600030/600030/detail</t>
  </si>
  <si>
    <t>中国能建</t>
  </si>
  <si>
    <t>www.lixinger.com/analytics/company/sh/601868/601868/detail</t>
  </si>
  <si>
    <t>上汽集团</t>
  </si>
  <si>
    <t>综合乘用车</t>
  </si>
  <si>
    <t>www.lixinger.com/analytics/company/sh/600104/600104/detail</t>
  </si>
  <si>
    <t>华夏幸福</t>
  </si>
  <si>
    <t>产业地产</t>
  </si>
  <si>
    <t>www.lixinger.com/analytics/company/sh/600340/600340/detail</t>
  </si>
  <si>
    <t>中国移动</t>
  </si>
  <si>
    <t>电信运营商</t>
  </si>
  <si>
    <t>www.lixinger.com/analytics/company/sh/600941/600941/detail</t>
  </si>
  <si>
    <t>中金公司</t>
  </si>
  <si>
    <t>www.lixinger.com/analytics/company/sh/601995/601995/detail</t>
  </si>
  <si>
    <t>上海建工</t>
  </si>
  <si>
    <t>www.lixinger.com/analytics/company/sh/600170/600170/detail</t>
  </si>
  <si>
    <t>华能国际</t>
  </si>
  <si>
    <t>火力发电</t>
  </si>
  <si>
    <t>www.lixinger.com/analytics/company/sh/600011/600011/detail</t>
  </si>
  <si>
    <t>sz</t>
  </si>
  <si>
    <t>中联重科</t>
  </si>
  <si>
    <t>工程机械整机</t>
  </si>
  <si>
    <t>www.lixinger.com/analytics/company/sz/000157/157/detail</t>
  </si>
  <si>
    <t>中国海油</t>
  </si>
  <si>
    <t>www.lixinger.com/analytics/company/sh/600938/600938/detail</t>
  </si>
  <si>
    <t>京东方Ｂ</t>
  </si>
  <si>
    <t>www.lixinger.com/analytics/company/sz/200725/200725/detail</t>
  </si>
  <si>
    <t>上海电气</t>
  </si>
  <si>
    <t>综合电力设备商</t>
  </si>
  <si>
    <t>www.lixinger.com/analytics/company/sh/601727/601727/detail</t>
  </si>
  <si>
    <t>九州通</t>
  </si>
  <si>
    <t>www.lixinger.com/analytics/company/sh/600998/600998/detail</t>
  </si>
  <si>
    <t>比亚迪</t>
  </si>
  <si>
    <t>电动乘用车</t>
  </si>
  <si>
    <t>www.lixinger.com/analytics/company/sz/002594/2594/detail</t>
  </si>
  <si>
    <t>天山股份</t>
  </si>
  <si>
    <t>水泥制造</t>
  </si>
  <si>
    <t>www.lixinger.com/analytics/company/sz/000877/877/detail</t>
  </si>
  <si>
    <t>中国电信</t>
  </si>
  <si>
    <t>www.lixinger.com/analytics/company/sh/601728/601728/detail</t>
  </si>
  <si>
    <t>中国核建</t>
  </si>
  <si>
    <t>www.lixinger.com/analytics/company/sh/601611/601611/detail</t>
  </si>
  <si>
    <t>京东方Ａ</t>
  </si>
  <si>
    <t>面板</t>
  </si>
  <si>
    <t>www.lixinger.com/analytics/company/sz/000725/725/detail</t>
  </si>
  <si>
    <t>中国联通</t>
  </si>
  <si>
    <t>www.lixinger.com/analytics/company/sh/600050/600050/detail</t>
  </si>
  <si>
    <t>徐工机械</t>
  </si>
  <si>
    <t>www.lixinger.com/analytics/company/sz/000425/425/detail</t>
  </si>
  <si>
    <t>浙江建投</t>
  </si>
  <si>
    <t>www.lixinger.com/analytics/company/sz/002761/2761/detail</t>
  </si>
  <si>
    <t>华域汽车</t>
  </si>
  <si>
    <t>车身附件及饰件</t>
  </si>
  <si>
    <t>www.lixinger.com/analytics/company/sh/600741/600741/detail</t>
  </si>
  <si>
    <t>美的集团</t>
  </si>
  <si>
    <t>空调</t>
  </si>
  <si>
    <t>www.lixinger.com/analytics/company/sz/000333/333/detail</t>
  </si>
  <si>
    <t>重药控股</t>
  </si>
  <si>
    <t>www.lixinger.com/analytics/company/sz/000950/950/detail</t>
  </si>
  <si>
    <t>顺丰控股</t>
  </si>
  <si>
    <t>快递</t>
  </si>
  <si>
    <t>www.lixinger.com/analytics/company/sz/002352/2352/detail</t>
  </si>
  <si>
    <t>安徽建工</t>
  </si>
  <si>
    <t>www.lixinger.com/analytics/company/sh/600502/600502/detail</t>
  </si>
  <si>
    <t>海康威视</t>
  </si>
  <si>
    <t>安防设备</t>
  </si>
  <si>
    <t>www.lixinger.com/analytics/company/sz/002415/2415/detail</t>
  </si>
  <si>
    <t>潍柴动力</t>
  </si>
  <si>
    <t>底盘与发动机系统</t>
  </si>
  <si>
    <t>www.lixinger.com/analytics/company/sz/000338/338/detail</t>
  </si>
  <si>
    <t>宁德时代</t>
  </si>
  <si>
    <t>锂电池</t>
  </si>
  <si>
    <t>www.lixinger.com/analytics/company/sz/300750/300750/detail</t>
  </si>
  <si>
    <t>中信建投</t>
  </si>
  <si>
    <t>www.lixinger.com/analytics/company/sh/601066/601066/detail</t>
  </si>
  <si>
    <t>中航西飞</t>
  </si>
  <si>
    <t>航空装备</t>
  </si>
  <si>
    <t>www.lixinger.com/analytics/company/sz/000768/768/detail</t>
  </si>
  <si>
    <t>三峡能源</t>
  </si>
  <si>
    <t>风力发电</t>
  </si>
  <si>
    <t>www.lixinger.com/analytics/company/sh/600905/600905/detail</t>
  </si>
  <si>
    <t>金风科技</t>
  </si>
  <si>
    <t>风电整机</t>
  </si>
  <si>
    <t>www.lixinger.com/analytics/company/sz/002202/2202/detail</t>
  </si>
  <si>
    <t>一致Ｂ</t>
  </si>
  <si>
    <t>www.lixinger.com/analytics/company/sz/200028/200028/detail</t>
  </si>
  <si>
    <t>中国化学</t>
  </si>
  <si>
    <t>化学工程</t>
  </si>
  <si>
    <t>www.lixinger.com/analytics/company/sh/601117/601117/detail</t>
  </si>
  <si>
    <t>三一重工</t>
  </si>
  <si>
    <t>www.lixinger.com/analytics/company/sh/600031/600031/detail</t>
  </si>
  <si>
    <t>中集集团</t>
  </si>
  <si>
    <t>金属制品</t>
  </si>
  <si>
    <t>www.lixinger.com/analytics/company/sz/000039/39/detail</t>
  </si>
  <si>
    <t>国电电力</t>
  </si>
  <si>
    <t>www.lixinger.com/analytics/company/sh/600795/600795/detail</t>
  </si>
  <si>
    <t>隧道股份</t>
  </si>
  <si>
    <t>www.lixinger.com/analytics/company/sh/600820/600820/detail</t>
  </si>
  <si>
    <t>西部建设</t>
  </si>
  <si>
    <t>水泥制品</t>
  </si>
  <si>
    <t>www.lixinger.com/analytics/company/sz/002302/2302/detail</t>
  </si>
  <si>
    <t>中国通号</t>
  </si>
  <si>
    <t>www.lixinger.com/analytics/company/sh/688009/688009/detail</t>
  </si>
  <si>
    <t>浪潮信息</t>
  </si>
  <si>
    <t>其他计算机设备</t>
  </si>
  <si>
    <t>www.lixinger.com/analytics/company/sz/000977/977/detail</t>
  </si>
  <si>
    <t>国电南瑞</t>
  </si>
  <si>
    <t>电网自动化设备</t>
  </si>
  <si>
    <t>www.lixinger.com/analytics/company/sh/600406/600406/detail</t>
  </si>
  <si>
    <t>大唐发电</t>
  </si>
  <si>
    <t>www.lixinger.com/analytics/company/sh/601991/601991/detail</t>
  </si>
  <si>
    <t>海王生物</t>
  </si>
  <si>
    <t>www.lixinger.com/analytics/company/sz/000078/78/detail</t>
  </si>
  <si>
    <t>TCL科技</t>
  </si>
  <si>
    <t>www.lixinger.com/analytics/company/sz/000100/100/detail</t>
  </si>
  <si>
    <t>国药一致</t>
  </si>
  <si>
    <t>www.lixinger.com/analytics/company/sz/000028/28/detail</t>
  </si>
  <si>
    <t>立讯精密</t>
  </si>
  <si>
    <t>www.lixinger.com/analytics/company/sz/002475/2475/detail</t>
  </si>
  <si>
    <t>中国外运</t>
  </si>
  <si>
    <t>跨境物流</t>
  </si>
  <si>
    <t>www.lixinger.com/analytics/company/sh/601598/601598/detail</t>
  </si>
  <si>
    <t>中国核电</t>
  </si>
  <si>
    <t>核力发电</t>
  </si>
  <si>
    <t>www.lixinger.com/analytics/company/sh/601985/601985/detail</t>
  </si>
  <si>
    <t>上海电力</t>
  </si>
  <si>
    <t>www.lixinger.com/analytics/company/sh/600021/600021/detail</t>
  </si>
  <si>
    <t>智飞生物</t>
  </si>
  <si>
    <t>疫苗</t>
  </si>
  <si>
    <t>www.lixinger.com/analytics/company/sz/300122/300122/detail</t>
  </si>
  <si>
    <t>重庆建工</t>
  </si>
  <si>
    <t>www.lixinger.com/analytics/company/sh/600939/600939/detail</t>
  </si>
  <si>
    <t>航发动力</t>
  </si>
  <si>
    <t>www.lixinger.com/analytics/company/sh/600893/600893/detail</t>
  </si>
  <si>
    <t>中兴通讯</t>
  </si>
  <si>
    <t>通信网络设备及器件</t>
  </si>
  <si>
    <t>www.lixinger.com/analytics/company/sz/000063/63/detail</t>
  </si>
  <si>
    <t>厦门象屿</t>
  </si>
  <si>
    <t>原材料供应链服务</t>
  </si>
  <si>
    <t>www.lixinger.com/analytics/company/sh/600057/600057/detail</t>
  </si>
  <si>
    <t>海尔智家</t>
  </si>
  <si>
    <t>冰洗</t>
  </si>
  <si>
    <t>www.lixinger.com/analytics/company/sh/600690/600690/detail</t>
  </si>
  <si>
    <t>国泰君安</t>
  </si>
  <si>
    <t>www.lixinger.com/analytics/company/sh/601211/601211/detail</t>
  </si>
  <si>
    <t>四川路桥</t>
  </si>
  <si>
    <t>www.lixinger.com/analytics/company/sh/600039/600039/detail</t>
  </si>
  <si>
    <t>中铝国际</t>
  </si>
  <si>
    <t>www.lixinger.com/analytics/company/sh/601068/601068/detail</t>
  </si>
  <si>
    <t>格力电器</t>
  </si>
  <si>
    <t>www.lixinger.com/analytics/company/sz/000651/651/detail</t>
  </si>
  <si>
    <t>物产中大</t>
  </si>
  <si>
    <t>www.lixinger.com/analytics/company/sh/600704/600704/detail</t>
  </si>
  <si>
    <t>亨通光电</t>
  </si>
  <si>
    <t>通信线缆及配套</t>
  </si>
  <si>
    <t>www.lixinger.com/analytics/company/sh/600487/600487/detail</t>
  </si>
  <si>
    <t>大华股份</t>
  </si>
  <si>
    <t>www.lixinger.com/analytics/company/sz/002236/2236/detail</t>
  </si>
  <si>
    <t>中天科技</t>
  </si>
  <si>
    <t>www.lixinger.com/analytics/company/sh/600522/600522/detail</t>
  </si>
  <si>
    <t>白云山</t>
  </si>
  <si>
    <t>中药</t>
  </si>
  <si>
    <t>www.lixinger.com/analytics/company/sh/600332/600332/detail</t>
  </si>
  <si>
    <t>中国神华</t>
  </si>
  <si>
    <t>动力煤</t>
  </si>
  <si>
    <t>www.lixinger.com/analytics/company/sh/601088/601088/detail</t>
  </si>
  <si>
    <t>宝钢股份</t>
  </si>
  <si>
    <t>板材</t>
  </si>
  <si>
    <t>www.lixinger.com/analytics/company/sh/600019/600019/detail</t>
  </si>
  <si>
    <t>特变电工</t>
  </si>
  <si>
    <t>输变电设备</t>
  </si>
  <si>
    <t>www.lixinger.com/analytics/company/sh/600089/600089/detail</t>
  </si>
  <si>
    <t>中海油服</t>
  </si>
  <si>
    <t>油田服务</t>
  </si>
  <si>
    <t>www.lixinger.com/analytics/company/sh/601808/601808/detail</t>
  </si>
  <si>
    <t>正泰电器</t>
  </si>
  <si>
    <t>配电设备</t>
  </si>
  <si>
    <t>www.lixinger.com/analytics/company/sh/601877/601877/detail</t>
  </si>
  <si>
    <t>怡亚通</t>
  </si>
  <si>
    <t>中间产品及消费品供应链服务</t>
  </si>
  <si>
    <t>www.lixinger.com/analytics/company/sz/002183/2183/detail</t>
  </si>
  <si>
    <t>建发股份</t>
  </si>
  <si>
    <t>www.lixinger.com/analytics/company/sh/600153/600153/detail</t>
  </si>
  <si>
    <t>安道麦B</t>
  </si>
  <si>
    <t>www.lixinger.com/analytics/company/sz/200553/200553/detail</t>
  </si>
  <si>
    <t>南京医药</t>
  </si>
  <si>
    <t>www.lixinger.com/analytics/company/sh/600713/600713/detail</t>
  </si>
  <si>
    <t>北汽蓝谷</t>
  </si>
  <si>
    <t>www.lixinger.com/analytics/company/sh/600733/600733/detail</t>
  </si>
  <si>
    <t>中国医药</t>
  </si>
  <si>
    <t>www.lixinger.com/analytics/company/sh/600056/600056/detail</t>
  </si>
  <si>
    <t>中远海控</t>
  </si>
  <si>
    <t>航运</t>
  </si>
  <si>
    <t>www.lixinger.com/analytics/company/sh/601919/601919/detail</t>
  </si>
  <si>
    <t>中煤能源</t>
  </si>
  <si>
    <t>www.lixinger.com/analytics/company/sh/601898/601898/detail</t>
  </si>
  <si>
    <t>四川长虹</t>
  </si>
  <si>
    <t>彩电</t>
  </si>
  <si>
    <t>www.lixinger.com/analytics/company/sh/600839/600839/detail</t>
  </si>
  <si>
    <t>海通证券</t>
  </si>
  <si>
    <t>www.lixinger.com/analytics/company/sh/600837/600837/detail</t>
  </si>
  <si>
    <t>中国铁物</t>
  </si>
  <si>
    <t>www.lixinger.com/analytics/company/sz/000927/927/detail</t>
  </si>
  <si>
    <t>金螳螂</t>
  </si>
  <si>
    <t>装修装饰</t>
  </si>
  <si>
    <t>www.lixinger.com/analytics/company/sz/002081/2081/detail</t>
  </si>
  <si>
    <t>中国银河</t>
  </si>
  <si>
    <t>www.lixinger.com/analytics/company/sh/601881/601881/detail</t>
  </si>
  <si>
    <t>中国广核</t>
  </si>
  <si>
    <t>www.lixinger.com/analytics/company/sz/003816/3816/detail</t>
  </si>
  <si>
    <t>中铁工业</t>
  </si>
  <si>
    <t>www.lixinger.com/analytics/company/sh/600528/600528/detail</t>
  </si>
  <si>
    <t>万华化学</t>
  </si>
  <si>
    <t>聚氨酯</t>
  </si>
  <si>
    <t>www.lixinger.com/analytics/company/sh/600309/600309/detail</t>
  </si>
  <si>
    <t>深圳能源</t>
  </si>
  <si>
    <t>www.lixinger.com/analytics/company/sz/000027/27/detail</t>
  </si>
  <si>
    <t>安道麦A</t>
  </si>
  <si>
    <t>农药</t>
  </si>
  <si>
    <t>www.lixinger.com/analytics/company/sz/000553/553/detail</t>
  </si>
  <si>
    <t>中油工程</t>
  </si>
  <si>
    <t>油气及炼化工程</t>
  </si>
  <si>
    <t>www.lixinger.com/analytics/company/sh/600339/600339/detail</t>
  </si>
  <si>
    <t>太阳能</t>
  </si>
  <si>
    <t>光伏发电</t>
  </si>
  <si>
    <t>www.lixinger.com/analytics/company/sz/000591/591/detail</t>
  </si>
  <si>
    <t>东方电气</t>
  </si>
  <si>
    <t>www.lixinger.com/analytics/company/sh/600875/600875/detail</t>
  </si>
  <si>
    <t>中国动力</t>
  </si>
  <si>
    <t>航海装备</t>
  </si>
  <si>
    <t>www.lixinger.com/analytics/company/sh/600482/600482/detail</t>
  </si>
  <si>
    <t>瑞康医药</t>
  </si>
  <si>
    <t>www.lixinger.com/analytics/company/sz/002589/2589/detail</t>
  </si>
  <si>
    <t>江河集团</t>
  </si>
  <si>
    <t>www.lixinger.com/analytics/company/sh/601886/601886/detail</t>
  </si>
  <si>
    <t>国投电力</t>
  </si>
  <si>
    <t>水力发电</t>
  </si>
  <si>
    <t>www.lixinger.com/analytics/company/sh/600886/600886/detail</t>
  </si>
  <si>
    <t>冠捷科技</t>
  </si>
  <si>
    <t>www.lixinger.com/analytics/company/sz/000727/727/detail</t>
  </si>
  <si>
    <t>闻泰科技</t>
  </si>
  <si>
    <t>www.lixinger.com/analytics/company/sh/600745/600745/detail</t>
  </si>
  <si>
    <t>华泰证券</t>
  </si>
  <si>
    <t>www.lixinger.com/analytics/company/sh/601688/601688/detail</t>
  </si>
  <si>
    <t>苏美达</t>
  </si>
  <si>
    <t>贸易</t>
  </si>
  <si>
    <t>www.lixinger.com/analytics/company/sh/600710/600710/detail</t>
  </si>
  <si>
    <t>紫光股份</t>
  </si>
  <si>
    <t>IT服务</t>
  </si>
  <si>
    <t>www.lixinger.com/analytics/company/sz/000938/938/detail</t>
  </si>
  <si>
    <t>天合光能</t>
  </si>
  <si>
    <t>光伏电池组件</t>
  </si>
  <si>
    <t>www.lixinger.com/analytics/company/sh/688599/688599/detail</t>
  </si>
  <si>
    <t>碧水源</t>
  </si>
  <si>
    <t>水务及水治理</t>
  </si>
  <si>
    <t>www.lixinger.com/analytics/company/sz/300070/300070/detail</t>
  </si>
  <si>
    <t>天地科技</t>
  </si>
  <si>
    <t>能源及重型设备</t>
  </si>
  <si>
    <t>www.lixinger.com/analytics/company/sh/600582/600582/detail</t>
  </si>
  <si>
    <t>吉电股份</t>
  </si>
  <si>
    <t>电能综合服务</t>
  </si>
  <si>
    <t>www.lixinger.com/analytics/company/sz/000875/875/detail</t>
  </si>
  <si>
    <t>东方雨虹</t>
  </si>
  <si>
    <t>防水材料</t>
  </si>
  <si>
    <t>www.lixinger.com/analytics/company/sz/002271/2271/detail</t>
  </si>
  <si>
    <t>中国西电</t>
  </si>
  <si>
    <t>www.lixinger.com/analytics/company/sh/601179/601179/detail</t>
  </si>
  <si>
    <t>瑞茂通</t>
  </si>
  <si>
    <t>www.lixinger.com/analytics/company/sh/600180/600180/detail</t>
  </si>
  <si>
    <t>环旭电子</t>
  </si>
  <si>
    <t>www.lixinger.com/analytics/company/sh/601231/601231/detail</t>
  </si>
  <si>
    <t>神州数码</t>
  </si>
  <si>
    <t>www.lixinger.com/analytics/company/sz/000034/34/detail</t>
  </si>
  <si>
    <t>厦门国贸</t>
  </si>
  <si>
    <t>www.lixinger.com/analytics/company/sh/600755/600755/detail</t>
  </si>
  <si>
    <t>海信家电</t>
  </si>
  <si>
    <t>www.lixinger.com/analytics/company/sz/000921/921/detail</t>
  </si>
  <si>
    <t>深桑达Ａ</t>
  </si>
  <si>
    <t>通信终端及配件</t>
  </si>
  <si>
    <t>www.lixinger.com/analytics/company/sz/000032/32/detail</t>
  </si>
  <si>
    <t>动力新科</t>
  </si>
  <si>
    <t>www.lixinger.com/analytics/company/sh/600841/600841/detail</t>
  </si>
  <si>
    <t>柳药股份</t>
  </si>
  <si>
    <t>www.lixinger.com/analytics/company/sh/603368/603368/detail</t>
  </si>
  <si>
    <t>中国重工</t>
  </si>
  <si>
    <t>www.lixinger.com/analytics/company/sh/601989/601989/detail</t>
  </si>
  <si>
    <t>华电国际</t>
  </si>
  <si>
    <t>www.lixinger.com/analytics/company/sh/600027/600027/detail</t>
  </si>
  <si>
    <t>五矿发展</t>
  </si>
  <si>
    <t>www.lixinger.com/analytics/company/sh/600058/600058/detail</t>
  </si>
  <si>
    <t>迪安诊断</t>
  </si>
  <si>
    <t>诊断服务</t>
  </si>
  <si>
    <t>www.lixinger.com/analytics/company/sz/300244/300244/detail</t>
  </si>
  <si>
    <t>华东医药</t>
  </si>
  <si>
    <t>化学制剂</t>
  </si>
  <si>
    <t>www.lixinger.com/analytics/company/sz/000963/963/detail</t>
  </si>
  <si>
    <t>阳光电源</t>
  </si>
  <si>
    <t>逆变器</t>
  </si>
  <si>
    <t>www.lixinger.com/analytics/company/sz/300274/300274/detail</t>
  </si>
  <si>
    <t>晶科能源</t>
  </si>
  <si>
    <t>半导体材料</t>
  </si>
  <si>
    <t>www.lixinger.com/analytics/company/sh/688223/688223/detail</t>
  </si>
  <si>
    <t>东旭光电</t>
  </si>
  <si>
    <t>www.lixinger.com/analytics/company/sz/000413/413/detail</t>
  </si>
  <si>
    <t>金隅集团</t>
  </si>
  <si>
    <t>www.lixinger.com/analytics/company/sh/601992/601992/detail</t>
  </si>
  <si>
    <t>嘉事堂</t>
  </si>
  <si>
    <t>www.lixinger.com/analytics/company/sz/002462/2462/detail</t>
  </si>
  <si>
    <t>广汽集团</t>
  </si>
  <si>
    <t>www.lixinger.com/analytics/company/sh/601238/601238/detail</t>
  </si>
  <si>
    <t>云南白药</t>
  </si>
  <si>
    <t>www.lixinger.com/analytics/company/sz/000538/538/detail</t>
  </si>
  <si>
    <t>石化油服</t>
  </si>
  <si>
    <t>www.lixinger.com/analytics/company/sh/600871/600871/detail</t>
  </si>
  <si>
    <t>欣旺达</t>
  </si>
  <si>
    <t>www.lixinger.com/analytics/company/sz/300207/300207/detail</t>
  </si>
  <si>
    <t>申能股份</t>
  </si>
  <si>
    <t>www.lixinger.com/analytics/company/sh/600642/600642/detail</t>
  </si>
  <si>
    <t>金龙鱼</t>
  </si>
  <si>
    <t>粮油加工</t>
  </si>
  <si>
    <t>www.lixinger.com/analytics/company/sz/300999/300999/detail</t>
  </si>
  <si>
    <t>山东路桥</t>
  </si>
  <si>
    <t>www.lixinger.com/analytics/company/sz/000498/498/detail</t>
  </si>
  <si>
    <t>运达股份</t>
  </si>
  <si>
    <t>www.lixinger.com/analytics/company/sz/300772/300772/detail</t>
  </si>
  <si>
    <t>歌尔股份</t>
  </si>
  <si>
    <t>www.lixinger.com/analytics/company/sz/002241/2241/detail</t>
  </si>
  <si>
    <t>中航机电</t>
  </si>
  <si>
    <t>www.lixinger.com/analytics/company/sz/002013/2013/detail</t>
  </si>
  <si>
    <t>国轩高科</t>
  </si>
  <si>
    <t>www.lixinger.com/analytics/company/sz/002074/2074/detail</t>
  </si>
  <si>
    <t>海油发展</t>
  </si>
  <si>
    <t>www.lixinger.com/analytics/company/sh/600968/600968/detail</t>
  </si>
  <si>
    <t>柳工</t>
  </si>
  <si>
    <t>www.lixinger.com/analytics/company/sz/000528/528/detail</t>
  </si>
  <si>
    <t>铁建重工</t>
  </si>
  <si>
    <t>www.lixinger.com/analytics/company/sh/688425/688425/detail</t>
  </si>
  <si>
    <t>中航电子</t>
  </si>
  <si>
    <t>www.lixinger.com/analytics/company/sh/600372/600372/detail</t>
  </si>
  <si>
    <t>荣盛石化</t>
  </si>
  <si>
    <t>www.lixinger.com/analytics/company/sz/002493/2493/detail</t>
  </si>
  <si>
    <t>领益智造</t>
  </si>
  <si>
    <t>www.lixinger.com/analytics/company/sz/002600/2600/detail</t>
  </si>
  <si>
    <t>浙能电力</t>
  </si>
  <si>
    <t>www.lixinger.com/analytics/company/sh/600023/600023/detail</t>
  </si>
  <si>
    <t>明阳智能</t>
  </si>
  <si>
    <t>www.lixinger.com/analytics/company/sh/601615/601615/detail</t>
  </si>
  <si>
    <t>时代电气</t>
  </si>
  <si>
    <t>www.lixinger.com/analytics/company/sh/688187/688187/detail</t>
  </si>
  <si>
    <t>科大讯飞</t>
  </si>
  <si>
    <t>横向通用软件</t>
  </si>
  <si>
    <t>www.lixinger.com/analytics/company/sz/002230/2230/detail</t>
  </si>
  <si>
    <t>人福医药</t>
  </si>
  <si>
    <t>www.lixinger.com/analytics/company/sh/600079/600079/detail</t>
  </si>
  <si>
    <t>新天绿能</t>
  </si>
  <si>
    <t>www.lixinger.com/analytics/company/sh/600956/600956/detail</t>
  </si>
  <si>
    <t>晋控电力</t>
  </si>
  <si>
    <t>www.lixinger.com/analytics/company/sz/000767/767/detail</t>
  </si>
  <si>
    <t>粤电力Ａ</t>
  </si>
  <si>
    <t>www.lixinger.com/analytics/company/sz/000539/539/detail</t>
  </si>
  <si>
    <t>国机汽车</t>
  </si>
  <si>
    <t>汽车经销商</t>
  </si>
  <si>
    <t>www.lixinger.com/analytics/company/sh/600335/600335/detail</t>
  </si>
  <si>
    <t>东山精密</t>
  </si>
  <si>
    <t>印制电路板</t>
  </si>
  <si>
    <t>www.lixinger.com/analytics/company/sz/002384/2384/detail</t>
  </si>
  <si>
    <t>深天马Ａ</t>
  </si>
  <si>
    <t>www.lixinger.com/analytics/company/sz/000050/50/detail</t>
  </si>
  <si>
    <t>郑煤机</t>
  </si>
  <si>
    <t>www.lixinger.com/analytics/company/sh/601717/601717/detail</t>
  </si>
  <si>
    <t>蓝色光标</t>
  </si>
  <si>
    <t>营销代理</t>
  </si>
  <si>
    <t>www.lixinger.com/analytics/company/sz/300058/300058/detail</t>
  </si>
  <si>
    <t>中国重汽</t>
  </si>
  <si>
    <t>商用载货车</t>
  </si>
  <si>
    <t>www.lixinger.com/analytics/company/sz/000951/951/detail</t>
  </si>
  <si>
    <t>首创环保</t>
  </si>
  <si>
    <t>www.lixinger.com/analytics/company/sh/600008/600008/detail</t>
  </si>
  <si>
    <t>航天电子</t>
  </si>
  <si>
    <t>航天装备</t>
  </si>
  <si>
    <t>www.lixinger.com/analytics/company/sh/600879/600879/detail</t>
  </si>
  <si>
    <t>粤水电</t>
  </si>
  <si>
    <t>www.lixinger.com/analytics/company/sz/002060/2060/detail</t>
  </si>
  <si>
    <t>英特集团</t>
  </si>
  <si>
    <t>www.lixinger.com/analytics/company/sz/000411/411/detail</t>
  </si>
  <si>
    <t>东华软件</t>
  </si>
  <si>
    <t>www.lixinger.com/analytics/company/sz/002065/2065/detail</t>
  </si>
  <si>
    <t>均胜电子</t>
  </si>
  <si>
    <t>汽车电子电气系统</t>
  </si>
  <si>
    <t>www.lixinger.com/analytics/company/sh/600699/600699/detail</t>
  </si>
  <si>
    <t>东方园林</t>
  </si>
  <si>
    <t>园林工程</t>
  </si>
  <si>
    <t>www.lixinger.com/analytics/company/sz/002310/2310/detail</t>
  </si>
  <si>
    <t>晶澳科技</t>
  </si>
  <si>
    <t>www.lixinger.com/analytics/company/sz/002459/2459/detail</t>
  </si>
  <si>
    <t>恒逸石化</t>
  </si>
  <si>
    <t>www.lixinger.com/analytics/company/sz/000703/703/detail</t>
  </si>
  <si>
    <t>江西铜业</t>
  </si>
  <si>
    <t>铜</t>
  </si>
  <si>
    <t>www.lixinger.com/analytics/company/sh/600362/600362/detail</t>
  </si>
  <si>
    <t>金域医学</t>
  </si>
  <si>
    <t>www.lixinger.com/analytics/company/sh/603882/603882/detail</t>
  </si>
  <si>
    <t>江苏国泰</t>
  </si>
  <si>
    <t>www.lixinger.com/analytics/company/sz/002091/2091/detail</t>
  </si>
  <si>
    <t>药明康德</t>
  </si>
  <si>
    <t>医疗研发外包</t>
  </si>
  <si>
    <t>www.lixinger.com/analytics/company/sh/603259/603259/detail</t>
  </si>
  <si>
    <t>复星医药</t>
  </si>
  <si>
    <t>www.lixinger.com/analytics/company/sh/600196/600196/detail</t>
  </si>
  <si>
    <t>长安Ｂ</t>
  </si>
  <si>
    <t>www.lixinger.com/analytics/company/sz/200625/200625/detail</t>
  </si>
  <si>
    <t>泰达股份</t>
  </si>
  <si>
    <t>综合</t>
  </si>
  <si>
    <t>www.lixinger.com/analytics/company/sz/000652/652/detail</t>
  </si>
  <si>
    <t>新奥股份</t>
  </si>
  <si>
    <t>燃气</t>
  </si>
  <si>
    <t>www.lixinger.com/analytics/company/sh/600803/600803/detail</t>
  </si>
  <si>
    <t>启迪环境</t>
  </si>
  <si>
    <t>综合环境治理</t>
  </si>
  <si>
    <t>www.lixinger.com/analytics/company/sz/000826/826/detail</t>
  </si>
  <si>
    <t>平高电气</t>
  </si>
  <si>
    <t>www.lixinger.com/analytics/company/sh/600312/600312/detail</t>
  </si>
  <si>
    <t>欧菲光</t>
  </si>
  <si>
    <t>光学元件</t>
  </si>
  <si>
    <t>www.lixinger.com/analytics/company/sz/002456/2456/detail</t>
  </si>
  <si>
    <t>振华重工</t>
  </si>
  <si>
    <t>www.lixinger.com/analytics/company/sh/600320/600320/detail</t>
  </si>
  <si>
    <t>荣盛发展</t>
  </si>
  <si>
    <t>www.lixinger.com/analytics/company/sz/002146/2146/detail</t>
  </si>
  <si>
    <t>保利联合</t>
  </si>
  <si>
    <t>民爆制品</t>
  </si>
  <si>
    <t>www.lixinger.com/analytics/company/sz/002037/2037/detail</t>
  </si>
  <si>
    <t>中材国际</t>
  </si>
  <si>
    <t>国际工程</t>
  </si>
  <si>
    <t>www.lixinger.com/analytics/company/sh/600970/600970/detail</t>
  </si>
  <si>
    <t>亚泰集团</t>
  </si>
  <si>
    <t>www.lixinger.com/analytics/company/sh/600881/600881/detail</t>
  </si>
  <si>
    <t>潞安环能</t>
  </si>
  <si>
    <t>焦煤</t>
  </si>
  <si>
    <t>www.lixinger.com/analytics/company/sh/601699/601699/detail</t>
  </si>
  <si>
    <t>金田铜业</t>
  </si>
  <si>
    <t>www.lixinger.com/analytics/company/sh/601609/601609/detail</t>
  </si>
  <si>
    <t>海亮股份</t>
  </si>
  <si>
    <t>www.lixinger.com/analytics/company/sz/002203/2203/detail</t>
  </si>
  <si>
    <t>大族激光</t>
  </si>
  <si>
    <t>激光设备</t>
  </si>
  <si>
    <t>www.lixinger.com/analytics/company/sz/002008/2008/detail</t>
  </si>
  <si>
    <t>中航光电</t>
  </si>
  <si>
    <t>军工电子</t>
  </si>
  <si>
    <t>www.lixinger.com/analytics/company/sz/002179/2179/detail</t>
  </si>
  <si>
    <t>许继电气</t>
  </si>
  <si>
    <t>www.lixinger.com/analytics/company/sz/000400/400/detail</t>
  </si>
  <si>
    <t>厦门钨业</t>
  </si>
  <si>
    <t>钨</t>
  </si>
  <si>
    <t>www.lixinger.com/analytics/company/sh/600549/600549/detail</t>
  </si>
  <si>
    <t>蓝思科技</t>
  </si>
  <si>
    <t>www.lixinger.com/analytics/company/sz/300433/300433/detail</t>
  </si>
  <si>
    <t>隆基股份</t>
  </si>
  <si>
    <t>硅料硅片</t>
  </si>
  <si>
    <t>www.lixinger.com/analytics/company/sh/601012/601012/detail</t>
  </si>
  <si>
    <t>宝胜股份</t>
  </si>
  <si>
    <t>线缆部件及其他</t>
  </si>
  <si>
    <t>www.lixinger.com/analytics/company/sh/600973/600973/detail</t>
  </si>
  <si>
    <t>恒瑞医药</t>
  </si>
  <si>
    <t>www.lixinger.com/analytics/company/sh/600276/600276/detail</t>
  </si>
  <si>
    <t>生益科技</t>
  </si>
  <si>
    <t>www.lixinger.com/analytics/company/sh/600183/600183/detail</t>
  </si>
  <si>
    <t>万科Ａ</t>
  </si>
  <si>
    <t>www.lixinger.com/analytics/company/sz/000002/2/detail</t>
  </si>
  <si>
    <t>大秦铁路</t>
  </si>
  <si>
    <t>铁路运输</t>
  </si>
  <si>
    <t>www.lixinger.com/analytics/company/sh/601006/601006/detail</t>
  </si>
  <si>
    <t>浙江新能</t>
  </si>
  <si>
    <t>www.lixinger.com/analytics/company/sh/600032/600032/detail</t>
  </si>
  <si>
    <t>国药股份</t>
  </si>
  <si>
    <t>www.lixinger.com/analytics/company/sh/600511/600511/detail</t>
  </si>
  <si>
    <t>兖矿能源</t>
  </si>
  <si>
    <t>www.lixinger.com/analytics/company/sh/600188/600188/detail</t>
  </si>
  <si>
    <t>科伦药业</t>
  </si>
  <si>
    <t>www.lixinger.com/analytics/company/sz/002422/2422/detail</t>
  </si>
  <si>
    <t>国机重装</t>
  </si>
  <si>
    <t>www.lixinger.com/analytics/company/sh/601399/601399/detail</t>
  </si>
  <si>
    <t>苏宁易购</t>
  </si>
  <si>
    <t>综合电商</t>
  </si>
  <si>
    <t>www.lixinger.com/analytics/company/sz/002024/2024/detail</t>
  </si>
  <si>
    <t>盈峰环境</t>
  </si>
  <si>
    <t>环保设备</t>
  </si>
  <si>
    <t>www.lixinger.com/analytics/company/sz/000967/967/detail</t>
  </si>
  <si>
    <t>鹭燕医药</t>
  </si>
  <si>
    <t>www.lixinger.com/analytics/company/sz/002788/2788/detail</t>
  </si>
  <si>
    <t>金龙汽车</t>
  </si>
  <si>
    <t>商用载客车</t>
  </si>
  <si>
    <t>www.lixinger.com/analytics/company/sh/600686/600686/detail</t>
  </si>
  <si>
    <t>浙商中拓</t>
  </si>
  <si>
    <t>www.lixinger.com/analytics/company/sz/000906/906/detail</t>
  </si>
  <si>
    <t>亿纬锂能</t>
  </si>
  <si>
    <t>www.lixinger.com/analytics/company/sz/300014/300014/detail</t>
  </si>
  <si>
    <t>东湖高新</t>
  </si>
  <si>
    <t>www.lixinger.com/analytics/company/sh/600133/600133/detail</t>
  </si>
  <si>
    <t>太极实业</t>
  </si>
  <si>
    <t>集成电路封测</t>
  </si>
  <si>
    <t>www.lixinger.com/analytics/company/sh/600667/600667/detail</t>
  </si>
  <si>
    <t>国网信通</t>
  </si>
  <si>
    <t>www.lixinger.com/analytics/company/sh/600131/600131/detail</t>
  </si>
  <si>
    <t>同方股份</t>
  </si>
  <si>
    <t>www.lixinger.com/analytics/company/sh/600100/600100/detail</t>
  </si>
  <si>
    <t>中伟股份</t>
  </si>
  <si>
    <t>电池化学品</t>
  </si>
  <si>
    <t>www.lixinger.com/analytics/company/sz/300919/300919/detail</t>
  </si>
  <si>
    <t>特锐德</t>
  </si>
  <si>
    <t>www.lixinger.com/analytics/company/sz/300001/300001/detail</t>
  </si>
  <si>
    <t>格林美</t>
  </si>
  <si>
    <t>www.lixinger.com/analytics/company/sz/002340/2340/detail</t>
  </si>
  <si>
    <t>太原重工</t>
  </si>
  <si>
    <t>www.lixinger.com/analytics/company/sh/600169/600169/detail</t>
  </si>
  <si>
    <t>金发科技</t>
  </si>
  <si>
    <t>改性塑料</t>
  </si>
  <si>
    <t>www.lixinger.com/analytics/company/sh/600143/600143/detail</t>
  </si>
  <si>
    <t>节能风电</t>
  </si>
  <si>
    <t>www.lixinger.com/analytics/company/sh/601016/601016/detail</t>
  </si>
  <si>
    <t>软通动力</t>
  </si>
  <si>
    <t>www.lixinger.com/analytics/company/sz/301236/301236/detail</t>
  </si>
  <si>
    <t>裕同科技</t>
  </si>
  <si>
    <t>纸包装</t>
  </si>
  <si>
    <t>www.lixinger.com/analytics/company/sz/002831/2831/detail</t>
  </si>
  <si>
    <t>广宇发展</t>
  </si>
  <si>
    <t>www.lixinger.com/analytics/company/sz/000537/537/detail</t>
  </si>
  <si>
    <t>广田集团</t>
  </si>
  <si>
    <t>www.lixinger.com/analytics/company/sz/002482/2482/detail</t>
  </si>
  <si>
    <t>晶科科技</t>
  </si>
  <si>
    <t>www.lixinger.com/analytics/company/sh/601778/601778/detail</t>
  </si>
  <si>
    <t>鹏鼎控股</t>
  </si>
  <si>
    <t>www.lixinger.com/analytics/company/sz/002938/2938/detail</t>
  </si>
  <si>
    <t>中化国际</t>
  </si>
  <si>
    <t>其他化学制品</t>
  </si>
  <si>
    <t>www.lixinger.com/analytics/company/sh/600500/600500/detail</t>
  </si>
  <si>
    <t>鹏都农牧</t>
  </si>
  <si>
    <t>其他养殖</t>
  </si>
  <si>
    <t>www.lixinger.com/analytics/company/sz/002505/2505/detail</t>
  </si>
  <si>
    <t>长安汽车</t>
  </si>
  <si>
    <t>www.lixinger.com/analytics/company/sz/000625/625/detail</t>
  </si>
  <si>
    <t>长飞光纤</t>
  </si>
  <si>
    <t>www.lixinger.com/analytics/company/sh/601869/601869/detail</t>
  </si>
  <si>
    <t>中材科技</t>
  </si>
  <si>
    <t>玻纤制造</t>
  </si>
  <si>
    <t>www.lixinger.com/analytics/company/sz/002080/2080/detail</t>
  </si>
  <si>
    <t>广发证券</t>
  </si>
  <si>
    <t>www.lixinger.com/analytics/company/sz/000776/776/detail</t>
  </si>
  <si>
    <t>太极股份</t>
  </si>
  <si>
    <t>www.lixinger.com/analytics/company/sz/002368/2368/detail</t>
  </si>
  <si>
    <t>华友钴业</t>
  </si>
  <si>
    <t>钴</t>
  </si>
  <si>
    <t>www.lixinger.com/analytics/company/sh/603799/603799/detail</t>
  </si>
  <si>
    <t>恩捷股份</t>
  </si>
  <si>
    <t>www.lixinger.com/analytics/company/sz/002812/2812/detail</t>
  </si>
  <si>
    <t>宇通客车</t>
  </si>
  <si>
    <t>www.lixinger.com/analytics/company/sh/600066/600066/detail</t>
  </si>
  <si>
    <t>建设机械</t>
  </si>
  <si>
    <t>www.lixinger.com/analytics/company/sh/600984/600984/detail</t>
  </si>
  <si>
    <t>华扬联众</t>
  </si>
  <si>
    <t>www.lixinger.com/analytics/company/sh/603825/603825/detail</t>
  </si>
  <si>
    <t>中国铝业</t>
  </si>
  <si>
    <t>铝</t>
  </si>
  <si>
    <t>www.lixinger.com/analytics/company/sh/601600/601600/detail</t>
  </si>
  <si>
    <t>合力泰</t>
  </si>
  <si>
    <t>www.lixinger.com/analytics/company/sz/002217/2217/detail</t>
  </si>
  <si>
    <t>黑牡丹</t>
  </si>
  <si>
    <t>www.lixinger.com/analytics/company/sh/600510/600510/detail</t>
  </si>
  <si>
    <t>中再资环</t>
  </si>
  <si>
    <t>固废治理</t>
  </si>
  <si>
    <t>www.lixinger.com/analytics/company/sh/600217/600217/detail</t>
  </si>
  <si>
    <t>汇川技术</t>
  </si>
  <si>
    <t>工控设备</t>
  </si>
  <si>
    <t>www.lixinger.com/analytics/company/sz/300124/300124/detail</t>
  </si>
  <si>
    <t>清新环境</t>
  </si>
  <si>
    <t>大气治理</t>
  </si>
  <si>
    <t>www.lixinger.com/analytics/company/sz/002573/2573/detail</t>
  </si>
  <si>
    <t>中直股份</t>
  </si>
  <si>
    <t>www.lixinger.com/analytics/company/sh/600038/600038/detail</t>
  </si>
  <si>
    <t>烽火通信</t>
  </si>
  <si>
    <t>www.lixinger.com/analytics/company/sh/600498/600498/detail</t>
  </si>
  <si>
    <t>山河智能</t>
  </si>
  <si>
    <t>www.lixinger.com/analytics/company/sz/002097/2097/detail</t>
  </si>
  <si>
    <t>金开新能</t>
  </si>
  <si>
    <t>百货</t>
  </si>
  <si>
    <t>www.lixinger.com/analytics/company/sh/600821/600821/detail</t>
  </si>
  <si>
    <t>中泰化学</t>
  </si>
  <si>
    <t>氯碱</t>
  </si>
  <si>
    <t>www.lixinger.com/analytics/company/sz/002092/2092/detail</t>
  </si>
  <si>
    <t>山鹰国际</t>
  </si>
  <si>
    <t>大宗用纸</t>
  </si>
  <si>
    <t>www.lixinger.com/analytics/company/sh/600567/600567/detail</t>
  </si>
  <si>
    <t>中国长城</t>
  </si>
  <si>
    <t>www.lixinger.com/analytics/company/sz/000066/66/detail</t>
  </si>
  <si>
    <t>华菱钢铁</t>
  </si>
  <si>
    <t>www.lixinger.com/analytics/company/sz/000932/932/detail</t>
  </si>
  <si>
    <t>深圳华强</t>
  </si>
  <si>
    <t>其他电子</t>
  </si>
  <si>
    <t>www.lixinger.com/analytics/company/sz/000062/62/detail</t>
  </si>
  <si>
    <t>海立股份</t>
  </si>
  <si>
    <t>家电零部件</t>
  </si>
  <si>
    <t>www.lixinger.com/analytics/company/sh/600619/600619/detail</t>
  </si>
  <si>
    <t>杉杉股份</t>
  </si>
  <si>
    <t>www.lixinger.com/analytics/company/sh/600884/600884/detail</t>
  </si>
  <si>
    <t>中工国际</t>
  </si>
  <si>
    <t>www.lixinger.com/analytics/company/sz/002051/2051/detail</t>
  </si>
  <si>
    <t>苏交科</t>
  </si>
  <si>
    <t>工程咨询服务</t>
  </si>
  <si>
    <t>www.lixinger.com/analytics/company/sz/300284/300284/detail</t>
  </si>
  <si>
    <t>福田汽车</t>
  </si>
  <si>
    <t>www.lixinger.com/analytics/company/sh/600166/600166/detail</t>
  </si>
  <si>
    <t>广深铁路</t>
  </si>
  <si>
    <t>www.lixinger.com/analytics/company/sh/601333/601333/detail</t>
  </si>
  <si>
    <t>罗欣药业</t>
  </si>
  <si>
    <t>www.lixinger.com/analytics/company/sz/002793/2793/detail</t>
  </si>
  <si>
    <t>北方国际</t>
  </si>
  <si>
    <t>www.lixinger.com/analytics/company/sz/000065/65/detail</t>
  </si>
  <si>
    <t>先导智能</t>
  </si>
  <si>
    <t>锂电专用设备</t>
  </si>
  <si>
    <t>www.lixinger.com/analytics/company/sz/300450/300450/detail</t>
  </si>
  <si>
    <t>福耀玻璃</t>
  </si>
  <si>
    <t>www.lixinger.com/analytics/company/sh/600660/600660/detail</t>
  </si>
  <si>
    <t>中钢国际</t>
  </si>
  <si>
    <t>www.lixinger.com/analytics/company/sz/000928/928/detail</t>
  </si>
  <si>
    <t>天沃科技</t>
  </si>
  <si>
    <t>www.lixinger.com/analytics/company/sz/002564/2564/detail</t>
  </si>
  <si>
    <t>京能电力</t>
  </si>
  <si>
    <t>www.lixinger.com/analytics/company/sh/600578/600578/detail</t>
  </si>
  <si>
    <t>杰瑞股份</t>
  </si>
  <si>
    <t>www.lixinger.com/analytics/company/sz/002353/2353/detail</t>
  </si>
  <si>
    <t>华贸物流</t>
  </si>
  <si>
    <t>www.lixinger.com/analytics/company/sh/603128/603128/detail</t>
  </si>
  <si>
    <t>中国一重</t>
  </si>
  <si>
    <t>www.lixinger.com/analytics/company/sh/601106/601106/detail</t>
  </si>
  <si>
    <t>卧龙电驱</t>
  </si>
  <si>
    <t>电机</t>
  </si>
  <si>
    <t>www.lixinger.com/analytics/company/sh/600580/600580/detail</t>
  </si>
  <si>
    <t>九安医疗</t>
  </si>
  <si>
    <t>医疗设备</t>
  </si>
  <si>
    <t>www.lixinger.com/analytics/company/sz/002432/2432/detail</t>
  </si>
  <si>
    <t>浙文互联</t>
  </si>
  <si>
    <t>www.lixinger.com/analytics/company/sh/600986/600986/detail</t>
  </si>
  <si>
    <t>招商蛇口</t>
  </si>
  <si>
    <t>商业地产</t>
  </si>
  <si>
    <t>www.lixinger.com/analytics/company/sz/001979/1979/detail</t>
  </si>
  <si>
    <t>内蒙华电</t>
  </si>
  <si>
    <t>www.lixinger.com/analytics/company/sh/600863/600863/detail</t>
  </si>
  <si>
    <t>长江电力</t>
  </si>
  <si>
    <t>www.lixinger.com/analytics/company/sh/600900/600900/detail</t>
  </si>
  <si>
    <t>科顺股份</t>
  </si>
  <si>
    <t>www.lixinger.com/analytics/company/sz/300737/300737/detail</t>
  </si>
  <si>
    <t>上港集团</t>
  </si>
  <si>
    <t>港口</t>
  </si>
  <si>
    <t>www.lixinger.com/analytics/company/sh/600018/600018/detail</t>
  </si>
  <si>
    <t>哈药股份</t>
  </si>
  <si>
    <t>www.lixinger.com/analytics/company/sh/600664/600664/detail</t>
  </si>
  <si>
    <t>东南网架</t>
  </si>
  <si>
    <t>钢结构</t>
  </si>
  <si>
    <t>www.lixinger.com/analytics/company/sz/002135/2135/detail</t>
  </si>
  <si>
    <t>利欧股份</t>
  </si>
  <si>
    <t>www.lixinger.com/analytics/company/sz/002131/2131/detail</t>
  </si>
  <si>
    <t>长城汽车</t>
  </si>
  <si>
    <t>www.lixinger.com/analytics/company/sh/601633/601633/detail</t>
  </si>
  <si>
    <t>三花智控</t>
  </si>
  <si>
    <t>www.lixinger.com/analytics/company/sz/002050/2050/detail</t>
  </si>
  <si>
    <t>湖北能源</t>
  </si>
  <si>
    <t>www.lixinger.com/analytics/company/sz/000883/883/detail</t>
  </si>
  <si>
    <t>凌云股份</t>
  </si>
  <si>
    <t>其他汽车零部件</t>
  </si>
  <si>
    <t>www.lixinger.com/analytics/company/sh/600480/600480/detail</t>
  </si>
  <si>
    <t>润达医疗</t>
  </si>
  <si>
    <t>www.lixinger.com/analytics/company/sh/603108/603108/detail</t>
  </si>
  <si>
    <t>中航沈飞</t>
  </si>
  <si>
    <t>www.lixinger.com/analytics/company/sh/600760/600760/detail</t>
  </si>
  <si>
    <t>平煤股份</t>
  </si>
  <si>
    <t>www.lixinger.com/analytics/company/sh/601666/601666/detail</t>
  </si>
  <si>
    <t>人民同泰</t>
  </si>
  <si>
    <t>www.lixinger.com/analytics/company/sh/600829/600829/detail</t>
  </si>
  <si>
    <t>林洋能源</t>
  </si>
  <si>
    <t>www.lixinger.com/analytics/company/sh/601222/601222/detail</t>
  </si>
  <si>
    <t>南山铝业</t>
  </si>
  <si>
    <t>www.lixinger.com/analytics/company/sh/600219/600219/detail</t>
  </si>
  <si>
    <t>木林森</t>
  </si>
  <si>
    <t>LED</t>
  </si>
  <si>
    <t>www.lixinger.com/analytics/company/sz/002745/2745/detail</t>
  </si>
  <si>
    <t>湘电股份</t>
  </si>
  <si>
    <t>www.lixinger.com/analytics/company/sh/600416/600416/detail</t>
  </si>
  <si>
    <t>中国宝安</t>
  </si>
  <si>
    <t>www.lixinger.com/analytics/company/sz/000009/9/detail</t>
  </si>
  <si>
    <t>上海机电</t>
  </si>
  <si>
    <t>楼宇设备</t>
  </si>
  <si>
    <t>www.lixinger.com/analytics/company/sh/600835/600835/detail</t>
  </si>
  <si>
    <t>易事特</t>
  </si>
  <si>
    <t>其他电源设备</t>
  </si>
  <si>
    <t>www.lixinger.com/analytics/company/sz/300376/300376/detail</t>
  </si>
  <si>
    <t>深康佳Ｂ</t>
  </si>
  <si>
    <t>www.lixinger.com/analytics/company/sz/200016/200016/detail</t>
  </si>
  <si>
    <t>万马股份</t>
  </si>
  <si>
    <t>www.lixinger.com/analytics/company/sz/002276/2276/detail</t>
  </si>
  <si>
    <t>长电科技</t>
  </si>
  <si>
    <t>www.lixinger.com/analytics/company/sh/600584/600584/detail</t>
  </si>
  <si>
    <t>德赛电池</t>
  </si>
  <si>
    <t>www.lixinger.com/analytics/company/sz/000049/49/detail</t>
  </si>
  <si>
    <t>申万宏源</t>
  </si>
  <si>
    <t>www.lixinger.com/analytics/company/sz/000166/166/detail</t>
  </si>
  <si>
    <t>国网英大</t>
  </si>
  <si>
    <t>www.lixinger.com/analytics/company/sh/600517/600517/detail</t>
  </si>
  <si>
    <t>通威股份</t>
  </si>
  <si>
    <t>www.lixinger.com/analytics/company/sh/600438/600438/detail</t>
  </si>
  <si>
    <t>宁波华翔</t>
  </si>
  <si>
    <t>www.lixinger.com/analytics/company/sz/002048/2048/detail</t>
  </si>
  <si>
    <t>龙元建设</t>
  </si>
  <si>
    <t>www.lixinger.com/analytics/company/sh/600491/600491/detail</t>
  </si>
  <si>
    <t>中化岩土</t>
  </si>
  <si>
    <t>www.lixinger.com/analytics/company/sz/002542/2542/detail</t>
  </si>
  <si>
    <t>齐心集团</t>
  </si>
  <si>
    <t>文化用品</t>
  </si>
  <si>
    <t>www.lixinger.com/analytics/company/sz/002301/2301/detail</t>
  </si>
  <si>
    <t>万泰生物</t>
  </si>
  <si>
    <t>体外诊断</t>
  </si>
  <si>
    <t>www.lixinger.com/analytics/company/sh/603392/603392/detail</t>
  </si>
  <si>
    <t>扬农化工</t>
  </si>
  <si>
    <t>www.lixinger.com/analytics/company/sh/600486/600486/detail</t>
  </si>
  <si>
    <t>时代新材</t>
  </si>
  <si>
    <t>风电零部件</t>
  </si>
  <si>
    <t>www.lixinger.com/analytics/company/sh/600458/600458/detail</t>
  </si>
  <si>
    <t>立中集团</t>
  </si>
  <si>
    <t>轮胎轮毂</t>
  </si>
  <si>
    <t>www.lixinger.com/analytics/company/sz/300428/300428/detail</t>
  </si>
  <si>
    <t>浙江交科</t>
  </si>
  <si>
    <t>www.lixinger.com/analytics/company/sz/002061/2061/detail</t>
  </si>
  <si>
    <t>宁波建工</t>
  </si>
  <si>
    <t>www.lixinger.com/analytics/company/sh/601789/601789/detail</t>
  </si>
  <si>
    <t>兆驰股份</t>
  </si>
  <si>
    <t>www.lixinger.com/analytics/company/sz/002429/2429/detail</t>
  </si>
  <si>
    <t>威孚高科</t>
  </si>
  <si>
    <t>www.lixinger.com/analytics/company/sz/000581/581/detail</t>
  </si>
  <si>
    <t>卓郎智能</t>
  </si>
  <si>
    <t>纺织服装设备</t>
  </si>
  <si>
    <t>www.lixinger.com/analytics/company/sh/600545/600545/detail</t>
  </si>
  <si>
    <t>上海钢联</t>
  </si>
  <si>
    <t>垂直应用软件</t>
  </si>
  <si>
    <t>www.lixinger.com/analytics/company/sz/300226/300226/detail</t>
  </si>
  <si>
    <t>海油工程</t>
  </si>
  <si>
    <t>www.lixinger.com/analytics/company/sh/600583/600583/detail</t>
  </si>
  <si>
    <t>千方科技</t>
  </si>
  <si>
    <t>www.lixinger.com/analytics/company/sz/002373/2373/detail</t>
  </si>
  <si>
    <t>中航重机</t>
  </si>
  <si>
    <t>www.lixinger.com/analytics/company/sh/600765/600765/detail</t>
  </si>
  <si>
    <t>东风汽车</t>
  </si>
  <si>
    <t>www.lixinger.com/analytics/company/sh/600006/600006/detail</t>
  </si>
  <si>
    <t>航天信息</t>
  </si>
  <si>
    <t>www.lixinger.com/analytics/company/sh/600271/600271/detail</t>
  </si>
  <si>
    <t>坚朗五金</t>
  </si>
  <si>
    <t>其他建材</t>
  </si>
  <si>
    <t>www.lixinger.com/analytics/company/sz/002791/2791/detail</t>
  </si>
  <si>
    <t>宝鹰股份</t>
  </si>
  <si>
    <t>www.lixinger.com/analytics/company/sz/002047/2047/detail</t>
  </si>
  <si>
    <t>武汉控股</t>
  </si>
  <si>
    <t>www.lixinger.com/analytics/company/sh/600168/600168/detail</t>
  </si>
  <si>
    <t>北方稀土</t>
  </si>
  <si>
    <t>稀土</t>
  </si>
  <si>
    <t>www.lixinger.com/analytics/company/sh/600111/600111/detail</t>
  </si>
  <si>
    <t>天赐材料</t>
  </si>
  <si>
    <t>www.lixinger.com/analytics/company/sz/002709/2709/detail</t>
  </si>
  <si>
    <t>江淮汽车</t>
  </si>
  <si>
    <t>www.lixinger.com/analytics/company/sh/600418/600418/detail</t>
  </si>
  <si>
    <t>天顺风能</t>
  </si>
  <si>
    <t>www.lixinger.com/analytics/company/sz/002531/2531/detail</t>
  </si>
  <si>
    <t>江铃汽车</t>
  </si>
  <si>
    <t>www.lixinger.com/analytics/company/sz/000550/550/detail</t>
  </si>
  <si>
    <t>龙建股份</t>
  </si>
  <si>
    <t>www.lixinger.com/analytics/company/sh/600853/600853/detail</t>
  </si>
  <si>
    <t>中环股份</t>
  </si>
  <si>
    <t>www.lixinger.com/analytics/company/sz/002129/2129/detail</t>
  </si>
  <si>
    <t>东旭蓝天</t>
  </si>
  <si>
    <t>www.lixinger.com/analytics/company/sz/000040/40/detail</t>
  </si>
  <si>
    <t>红日药业</t>
  </si>
  <si>
    <t>www.lixinger.com/analytics/company/sz/300026/300026/detail</t>
  </si>
  <si>
    <t>中集车辆</t>
  </si>
  <si>
    <t>www.lixinger.com/analytics/company/sz/301039/301039/detail</t>
  </si>
  <si>
    <t>奇安信</t>
  </si>
  <si>
    <t>www.lixinger.com/analytics/company/sh/688561/688561/detail</t>
  </si>
  <si>
    <t>三棵树</t>
  </si>
  <si>
    <t>涂料</t>
  </si>
  <si>
    <t>www.lixinger.com/analytics/company/sh/603737/603737/detail</t>
  </si>
  <si>
    <t>赣锋锂业</t>
  </si>
  <si>
    <t>锂</t>
  </si>
  <si>
    <t>www.lixinger.com/analytics/company/sz/002460/2460/detail</t>
  </si>
  <si>
    <t>芒果超媒</t>
  </si>
  <si>
    <t>视频媒体</t>
  </si>
  <si>
    <t>www.lixinger.com/analytics/company/sz/300413/300413/detail</t>
  </si>
  <si>
    <t>通富微电</t>
  </si>
  <si>
    <t>www.lixinger.com/analytics/company/sz/002156/2156/detail</t>
  </si>
  <si>
    <t>福能股份</t>
  </si>
  <si>
    <t>www.lixinger.com/analytics/company/sh/600483/600483/detail</t>
  </si>
  <si>
    <t>中国船舶</t>
  </si>
  <si>
    <t>www.lixinger.com/analytics/company/sh/600150/600150/detail</t>
  </si>
  <si>
    <t>润建股份</t>
  </si>
  <si>
    <t>通信工程及服务</t>
  </si>
  <si>
    <t>www.lixinger.com/analytics/company/sz/002929/2929/detail</t>
  </si>
  <si>
    <t>厦钨新能</t>
  </si>
  <si>
    <t>www.lixinger.com/analytics/company/sh/688778/688778/detail</t>
  </si>
  <si>
    <t>大连重工</t>
  </si>
  <si>
    <t>www.lixinger.com/analytics/company/sz/002204/2204/detail</t>
  </si>
  <si>
    <t>宁波港</t>
  </si>
  <si>
    <t>www.lixinger.com/analytics/company/sh/601018/601018/detail</t>
  </si>
  <si>
    <t>中南建设</t>
  </si>
  <si>
    <t>www.lixinger.com/analytics/company/sz/000961/961/detail</t>
  </si>
  <si>
    <t>紫金矿业</t>
  </si>
  <si>
    <t>www.lixinger.com/analytics/company/sh/601899/601899/detail</t>
  </si>
  <si>
    <t>云内动力</t>
  </si>
  <si>
    <t>www.lixinger.com/analytics/company/sz/000903/903/detail</t>
  </si>
  <si>
    <t>达安基因</t>
  </si>
  <si>
    <t>www.lixinger.com/analytics/company/sz/002030/2030/detail</t>
  </si>
  <si>
    <t>奥瑞金</t>
  </si>
  <si>
    <t>金属包装</t>
  </si>
  <si>
    <t>www.lixinger.com/analytics/company/sz/002701/2701/detail</t>
  </si>
  <si>
    <t>陕鼓动力</t>
  </si>
  <si>
    <t>其他通用设备</t>
  </si>
  <si>
    <t>www.lixinger.com/analytics/company/sh/601369/601369/detail</t>
  </si>
  <si>
    <t>亚厦股份</t>
  </si>
  <si>
    <t>www.lixinger.com/analytics/company/sz/002375/2375/detail</t>
  </si>
  <si>
    <t>杰赛科技</t>
  </si>
  <si>
    <t>www.lixinger.com/analytics/company/sz/002544/2544/detail</t>
  </si>
  <si>
    <t>中通客车</t>
  </si>
  <si>
    <t>www.lixinger.com/analytics/company/sz/000957/957/detail</t>
  </si>
  <si>
    <t>东方电缆</t>
  </si>
  <si>
    <t>www.lixinger.com/analytics/company/sh/603606/603606/detail</t>
  </si>
  <si>
    <t>中信重工</t>
  </si>
  <si>
    <t>www.lixinger.com/analytics/company/sh/601608/601608/detail</t>
  </si>
  <si>
    <t>北新建材</t>
  </si>
  <si>
    <t>www.lixinger.com/analytics/company/sz/000786/786/detail</t>
  </si>
  <si>
    <t>华设集团</t>
  </si>
  <si>
    <t>www.lixinger.com/analytics/company/sh/603018/603018/detail</t>
  </si>
  <si>
    <t>纳思达</t>
  </si>
  <si>
    <t>数字芯片设计</t>
  </si>
  <si>
    <t>www.lixinger.com/analytics/company/sz/002180/2180/detail</t>
  </si>
  <si>
    <t>当升科技</t>
  </si>
  <si>
    <t>www.lixinger.com/analytics/company/sz/300073/300073/detail</t>
  </si>
  <si>
    <t>德才股份</t>
  </si>
  <si>
    <t>www.lixinger.com/analytics/company/sh/605287/605287/detail</t>
  </si>
  <si>
    <t>长远锂科</t>
  </si>
  <si>
    <t>www.lixinger.com/analytics/company/sh/688779/688779/detail</t>
  </si>
  <si>
    <t>世纪华通</t>
  </si>
  <si>
    <t>游戏</t>
  </si>
  <si>
    <t>www.lixinger.com/analytics/company/sz/002602/2602/detail</t>
  </si>
  <si>
    <t>航天发展</t>
  </si>
  <si>
    <t>www.lixinger.com/analytics/company/sz/000547/547/detail</t>
  </si>
  <si>
    <t>天风证券</t>
  </si>
  <si>
    <t>www.lixinger.com/analytics/company/sh/601162/601162/detail</t>
  </si>
  <si>
    <t>远东股份</t>
  </si>
  <si>
    <t>www.lixinger.com/analytics/company/sh/600869/600869/detail</t>
  </si>
  <si>
    <t>新和成</t>
  </si>
  <si>
    <t>原料药</t>
  </si>
  <si>
    <t>www.lixinger.com/analytics/company/sz/002001/2001/detail</t>
  </si>
  <si>
    <t>珍宝岛</t>
  </si>
  <si>
    <t>www.lixinger.com/analytics/company/sh/603567/603567/detail</t>
  </si>
  <si>
    <t>容百科技</t>
  </si>
  <si>
    <t>www.lixinger.com/analytics/company/sh/688005/688005/detail</t>
  </si>
  <si>
    <t>深康佳Ａ</t>
  </si>
  <si>
    <t>www.lixinger.com/analytics/company/sz/000016/16/detail</t>
  </si>
  <si>
    <t>海信视像</t>
  </si>
  <si>
    <t>www.lixinger.com/analytics/company/sh/600060/600060/detail</t>
  </si>
  <si>
    <t>福斯特</t>
  </si>
  <si>
    <t>光伏辅材</t>
  </si>
  <si>
    <t>www.lixinger.com/analytics/company/sh/603806/603806/detail</t>
  </si>
  <si>
    <t>同兴达</t>
  </si>
  <si>
    <t>www.lixinger.com/analytics/company/sz/002845/2845/detail</t>
  </si>
  <si>
    <t>拓普集团</t>
  </si>
  <si>
    <t>www.lixinger.com/analytics/company/sh/601689/601689/detail</t>
  </si>
  <si>
    <t>深科技</t>
  </si>
  <si>
    <t>www.lixinger.com/analytics/company/sz/000021/21/detail</t>
  </si>
  <si>
    <t>中信特钢</t>
  </si>
  <si>
    <t>特钢</t>
  </si>
  <si>
    <t>www.lixinger.com/analytics/company/sz/000708/708/detail</t>
  </si>
  <si>
    <t>泰豪科技</t>
  </si>
  <si>
    <t>www.lixinger.com/analytics/company/sh/600590/600590/detail</t>
  </si>
  <si>
    <t>永泰能源</t>
  </si>
  <si>
    <t>www.lixinger.com/analytics/company/sh/600157/600157/detail</t>
  </si>
  <si>
    <t>玲珑轮胎</t>
  </si>
  <si>
    <t>www.lixinger.com/analytics/company/sh/601966/601966/detail</t>
  </si>
  <si>
    <t>国电南自</t>
  </si>
  <si>
    <t>www.lixinger.com/analytics/company/sh/600268/600268/detail</t>
  </si>
  <si>
    <t>珠海冠宇</t>
  </si>
  <si>
    <t>www.lixinger.com/analytics/company/sh/688772/688772/detail</t>
  </si>
  <si>
    <t>天健集团</t>
  </si>
  <si>
    <t>www.lixinger.com/analytics/company/sz/000090/90/detail</t>
  </si>
  <si>
    <t>华峰化学</t>
  </si>
  <si>
    <t>氨纶</t>
  </si>
  <si>
    <t>www.lixinger.com/analytics/company/sz/002064/2064/detail</t>
  </si>
  <si>
    <t>垒知集团</t>
  </si>
  <si>
    <t>www.lixinger.com/analytics/company/sz/002398/2398/detail</t>
  </si>
  <si>
    <t>南方航空</t>
  </si>
  <si>
    <t>航空运输</t>
  </si>
  <si>
    <t>www.lixinger.com/analytics/company/sh/600029/600029/detail</t>
  </si>
  <si>
    <t>东方日升</t>
  </si>
  <si>
    <t>www.lixinger.com/analytics/company/sz/300118/300118/detail</t>
  </si>
  <si>
    <t>合兴包装</t>
  </si>
  <si>
    <t>www.lixinger.com/analytics/company/sz/002228/2228/detail</t>
  </si>
  <si>
    <t>赢合科技</t>
  </si>
  <si>
    <t>www.lixinger.com/analytics/company/sz/300457/300457/detail</t>
  </si>
  <si>
    <t>创维数字</t>
  </si>
  <si>
    <t>其他黑色家电</t>
  </si>
  <si>
    <t>www.lixinger.com/analytics/company/sz/000810/810/detail</t>
  </si>
  <si>
    <t>汉缆股份</t>
  </si>
  <si>
    <t>www.lixinger.com/analytics/company/sz/002498/2498/detail</t>
  </si>
  <si>
    <t>保利发展</t>
  </si>
  <si>
    <t>www.lixinger.com/analytics/company/sh/600048/600048/detail</t>
  </si>
  <si>
    <t>辽港股份</t>
  </si>
  <si>
    <t>www.lixinger.com/analytics/company/sh/601880/601880/detail</t>
  </si>
  <si>
    <t>东方能源</t>
  </si>
  <si>
    <t>www.lixinger.com/analytics/company/sz/000958/958/detail</t>
  </si>
  <si>
    <t>深圳燃气</t>
  </si>
  <si>
    <t>www.lixinger.com/analytics/company/sh/601139/601139/detail</t>
  </si>
  <si>
    <t>景旺电子</t>
  </si>
  <si>
    <t>www.lixinger.com/analytics/company/sh/603228/603228/detail</t>
  </si>
  <si>
    <t>帝欧家居</t>
  </si>
  <si>
    <t>瓷砖地板</t>
  </si>
  <si>
    <t>www.lixinger.com/analytics/company/sz/002798/2798/detail</t>
  </si>
  <si>
    <t>韦尔股份</t>
  </si>
  <si>
    <t>www.lixinger.com/analytics/company/sh/603501/603501/detail</t>
  </si>
  <si>
    <t>宏发股份</t>
  </si>
  <si>
    <t>www.lixinger.com/analytics/company/sh/600885/600885/detail</t>
  </si>
  <si>
    <t>汇鸿集团</t>
  </si>
  <si>
    <t>www.lixinger.com/analytics/company/sh/600981/600981/detail</t>
  </si>
  <si>
    <t>江南化工</t>
  </si>
  <si>
    <t>www.lixinger.com/analytics/company/sz/002226/2226/detail</t>
  </si>
  <si>
    <t>精达股份</t>
  </si>
  <si>
    <t>www.lixinger.com/analytics/company/sh/600577/600577/detail</t>
  </si>
  <si>
    <t>方正证券</t>
  </si>
  <si>
    <t>www.lixinger.com/analytics/company/sh/601901/601901/detail</t>
  </si>
  <si>
    <t>新疆交建</t>
  </si>
  <si>
    <t>www.lixinger.com/analytics/company/sz/002941/2941/detail</t>
  </si>
  <si>
    <t>蒙草生态</t>
  </si>
  <si>
    <t>www.lixinger.com/analytics/company/sz/300355/300355/detail</t>
  </si>
  <si>
    <t>际华集团</t>
  </si>
  <si>
    <t>非运动服装</t>
  </si>
  <si>
    <t>www.lixinger.com/analytics/company/sh/601718/601718/detail</t>
  </si>
  <si>
    <t>光大证券</t>
  </si>
  <si>
    <t>www.lixinger.com/analytics/company/sh/601788/601788/detail</t>
  </si>
  <si>
    <t>万丰奥威</t>
  </si>
  <si>
    <t>www.lixinger.com/analytics/company/sz/002085/2085/detail</t>
  </si>
  <si>
    <t>东华能源</t>
  </si>
  <si>
    <t>其他石化</t>
  </si>
  <si>
    <t>www.lixinger.com/analytics/company/sz/002221/2221/detail</t>
  </si>
  <si>
    <t>浙江龙盛</t>
  </si>
  <si>
    <t>纺织化学制品</t>
  </si>
  <si>
    <t>www.lixinger.com/analytics/company/sh/600352/600352/detail</t>
  </si>
  <si>
    <t>平治信息</t>
  </si>
  <si>
    <t>通信应用增值服务</t>
  </si>
  <si>
    <t>www.lixinger.com/analytics/company/sz/300571/300571/detail</t>
  </si>
  <si>
    <t>紫光国微</t>
  </si>
  <si>
    <t>www.lixinger.com/analytics/company/sz/002049/2049/detail</t>
  </si>
  <si>
    <t>中鼎股份</t>
  </si>
  <si>
    <t>www.lixinger.com/analytics/company/sz/000887/887/detail</t>
  </si>
  <si>
    <t>广州发展</t>
  </si>
  <si>
    <t>www.lixinger.com/analytics/company/sh/600098/600098/detail</t>
  </si>
  <si>
    <t>金科股份</t>
  </si>
  <si>
    <t>www.lixinger.com/analytics/company/sz/000656/656/detail</t>
  </si>
  <si>
    <t>财通证券</t>
  </si>
  <si>
    <t>www.lixinger.com/analytics/company/sh/601108/601108/detail</t>
  </si>
  <si>
    <t>长园集团</t>
  </si>
  <si>
    <t>www.lixinger.com/analytics/company/sh/600525/600525/detail</t>
  </si>
  <si>
    <t>海能达</t>
  </si>
  <si>
    <t>www.lixinger.com/analytics/company/sz/002583/2583/detail</t>
  </si>
  <si>
    <t>长虹华意</t>
  </si>
  <si>
    <t>www.lixinger.com/analytics/company/sz/000404/404/detail</t>
  </si>
  <si>
    <t>信邦制药</t>
  </si>
  <si>
    <t>www.lixinger.com/analytics/company/sz/002390/2390/detail</t>
  </si>
  <si>
    <t>健康元</t>
  </si>
  <si>
    <t>www.lixinger.com/analytics/company/sh/600380/600380/detail</t>
  </si>
  <si>
    <t>伊利股份</t>
  </si>
  <si>
    <t>乳品</t>
  </si>
  <si>
    <t>www.lixinger.com/analytics/company/sh/600887/600887/detail</t>
  </si>
  <si>
    <t>电气风电</t>
  </si>
  <si>
    <t>www.lixinger.com/analytics/company/sh/688660/688660/detail</t>
  </si>
  <si>
    <t>华工科技</t>
  </si>
  <si>
    <t>www.lixinger.com/analytics/company/sz/000988/988/detail</t>
  </si>
  <si>
    <t>振华科技</t>
  </si>
  <si>
    <t>www.lixinger.com/analytics/company/sz/000733/733/detail</t>
  </si>
  <si>
    <t>国药现代</t>
  </si>
  <si>
    <t>www.lixinger.com/analytics/company/sh/600420/600420/detail</t>
  </si>
  <si>
    <t>银轮股份</t>
  </si>
  <si>
    <t>www.lixinger.com/analytics/company/sz/002126/2126/detail</t>
  </si>
  <si>
    <t>贵广网络</t>
  </si>
  <si>
    <t>电视广播</t>
  </si>
  <si>
    <t>www.lixinger.com/analytics/company/sh/600996/600996/detail</t>
  </si>
  <si>
    <t>润丰股份</t>
  </si>
  <si>
    <t>www.lixinger.com/analytics/company/sz/301035/301035/detail</t>
  </si>
  <si>
    <t>晨鸣纸业</t>
  </si>
  <si>
    <t>www.lixinger.com/analytics/company/sz/000488/488/detail</t>
  </si>
  <si>
    <t>太阳纸业</t>
  </si>
  <si>
    <t>www.lixinger.com/analytics/company/sz/002078/2078/detail</t>
  </si>
  <si>
    <t>龙净环保</t>
  </si>
  <si>
    <t>www.lixinger.com/analytics/company/sh/600388/600388/detail</t>
  </si>
  <si>
    <t>一汽富维</t>
  </si>
  <si>
    <t>www.lixinger.com/analytics/company/sh/600742/600742/detail</t>
  </si>
  <si>
    <t>高鸿股份</t>
  </si>
  <si>
    <t>www.lixinger.com/analytics/company/sz/000851/851/detail</t>
  </si>
  <si>
    <t>杭汽轮Ｂ</t>
  </si>
  <si>
    <t>www.lixinger.com/analytics/company/sz/200771/200771/detail</t>
  </si>
  <si>
    <t>赛轮轮胎</t>
  </si>
  <si>
    <t>www.lixinger.com/analytics/company/sh/601058/601058/detail</t>
  </si>
  <si>
    <t>杭电股份</t>
  </si>
  <si>
    <t>www.lixinger.com/analytics/company/sh/603618/603618/detail</t>
  </si>
  <si>
    <t>华润三九</t>
  </si>
  <si>
    <t>www.lixinger.com/analytics/company/sz/000999/999/detail</t>
  </si>
  <si>
    <t>深南电路</t>
  </si>
  <si>
    <t>www.lixinger.com/analytics/company/sz/002916/2916/detail</t>
  </si>
  <si>
    <t>齐翔腾达</t>
  </si>
  <si>
    <t>www.lixinger.com/analytics/company/sz/002408/2408/detail</t>
  </si>
  <si>
    <t>京运通</t>
  </si>
  <si>
    <t>www.lixinger.com/analytics/company/sh/601908/601908/detail</t>
  </si>
  <si>
    <t>电投能源</t>
  </si>
  <si>
    <t>www.lixinger.com/analytics/company/sz/002128/2128/detail</t>
  </si>
  <si>
    <t>常山北明</t>
  </si>
  <si>
    <t>www.lixinger.com/analytics/company/sz/000158/158/detail</t>
  </si>
  <si>
    <t>包钢股份</t>
  </si>
  <si>
    <t>www.lixinger.com/analytics/company/sh/600010/600010/detail</t>
  </si>
  <si>
    <t>交建股份</t>
  </si>
  <si>
    <t>www.lixinger.com/analytics/company/sh/603815/603815/detail</t>
  </si>
  <si>
    <t>楚江新材</t>
  </si>
  <si>
    <t>www.lixinger.com/analytics/company/sz/002171/2171/detail</t>
  </si>
  <si>
    <t>利亚德</t>
  </si>
  <si>
    <t>www.lixinger.com/analytics/company/sz/300296/300296/detail</t>
  </si>
  <si>
    <t>长盈精密</t>
  </si>
  <si>
    <t>www.lixinger.com/analytics/company/sz/300115/300115/detail</t>
  </si>
  <si>
    <t>胜宏科技</t>
  </si>
  <si>
    <t>www.lixinger.com/analytics/company/sz/300476/300476/detail</t>
  </si>
  <si>
    <t>德赛西威</t>
  </si>
  <si>
    <t>www.lixinger.com/analytics/company/sz/002920/2920/detail</t>
  </si>
  <si>
    <t>三安光电</t>
  </si>
  <si>
    <t>www.lixinger.com/analytics/company/sh/600703/600703/detail</t>
  </si>
  <si>
    <t>海格通信</t>
  </si>
  <si>
    <t>www.lixinger.com/analytics/company/sz/002465/2465/detail</t>
  </si>
  <si>
    <t>富煌钢构</t>
  </si>
  <si>
    <t>www.lixinger.com/analytics/company/sz/002743/2743/detail</t>
  </si>
  <si>
    <t>启明星辰</t>
  </si>
  <si>
    <t>www.lixinger.com/analytics/company/sz/002439/2439/detail</t>
  </si>
  <si>
    <t>华能水电</t>
  </si>
  <si>
    <t>www.lixinger.com/analytics/company/sh/600025/600025/detail</t>
  </si>
  <si>
    <t>厦门信达</t>
  </si>
  <si>
    <t>www.lixinger.com/analytics/company/sz/000701/701/detail</t>
  </si>
  <si>
    <t>三房巷</t>
  </si>
  <si>
    <t>印染</t>
  </si>
  <si>
    <t>www.lixinger.com/analytics/company/sh/600370/600370/detail</t>
  </si>
  <si>
    <t>起帆电缆</t>
  </si>
  <si>
    <t>www.lixinger.com/analytics/company/sh/605222/605222/detail</t>
  </si>
  <si>
    <t>中超控股</t>
  </si>
  <si>
    <t>www.lixinger.com/analytics/company/sz/002471/2471/detail</t>
  </si>
  <si>
    <t>协鑫能科</t>
  </si>
  <si>
    <t>热力服务</t>
  </si>
  <si>
    <t>www.lixinger.com/analytics/company/sz/002015/2015/detail</t>
  </si>
  <si>
    <t>航天电器</t>
  </si>
  <si>
    <t>www.lixinger.com/analytics/company/sz/002025/2025/detail</t>
  </si>
  <si>
    <t>浙江永强</t>
  </si>
  <si>
    <t>成品家居</t>
  </si>
  <si>
    <t>www.lixinger.com/analytics/company/sz/002489/2489/detail</t>
  </si>
  <si>
    <t>新兴铸管</t>
  </si>
  <si>
    <t>钢铁管材</t>
  </si>
  <si>
    <t>www.lixinger.com/analytics/company/sz/000778/778/detail</t>
  </si>
  <si>
    <t>思源电气</t>
  </si>
  <si>
    <t>www.lixinger.com/analytics/company/sz/002028/2028/detail</t>
  </si>
  <si>
    <t>光环新网</t>
  </si>
  <si>
    <t>www.lixinger.com/analytics/company/sz/300383/300383/detail</t>
  </si>
  <si>
    <t>鸿达兴业</t>
  </si>
  <si>
    <t>www.lixinger.com/analytics/company/sz/002002/2002/detail</t>
  </si>
  <si>
    <t>神州高铁</t>
  </si>
  <si>
    <t>www.lixinger.com/analytics/company/sz/000008/8/detail</t>
  </si>
  <si>
    <t>华邦健康</t>
  </si>
  <si>
    <t>www.lixinger.com/analytics/company/sz/002004/2004/detail</t>
  </si>
  <si>
    <t>洪涛股份</t>
  </si>
  <si>
    <t>www.lixinger.com/analytics/company/sz/002325/2325/detail</t>
  </si>
  <si>
    <t>建投能源</t>
  </si>
  <si>
    <t>www.lixinger.com/analytics/company/sz/000600/600/detail</t>
  </si>
  <si>
    <t>联创电子</t>
  </si>
  <si>
    <t>www.lixinger.com/analytics/company/sz/002036/2036/detail</t>
  </si>
  <si>
    <t>沃森生物</t>
  </si>
  <si>
    <t>www.lixinger.com/analytics/company/sz/300142/300142/detail</t>
  </si>
  <si>
    <t>中装建设</t>
  </si>
  <si>
    <t>www.lixinger.com/analytics/company/sz/002822/2822/detail</t>
  </si>
  <si>
    <t>云天化</t>
  </si>
  <si>
    <t>磷肥及磷化工</t>
  </si>
  <si>
    <t>www.lixinger.com/analytics/company/sh/600096/600096/detail</t>
  </si>
  <si>
    <t>今创集团</t>
  </si>
  <si>
    <t>www.lixinger.com/analytics/company/sh/603680/603680/detail</t>
  </si>
  <si>
    <t>横店东磁</t>
  </si>
  <si>
    <t>磁性材料</t>
  </si>
  <si>
    <t>www.lixinger.com/analytics/company/sz/002056/2056/detail</t>
  </si>
  <si>
    <t>华谊集团</t>
  </si>
  <si>
    <t>煤化工</t>
  </si>
  <si>
    <t>www.lixinger.com/analytics/company/sh/600623/600623/detail</t>
  </si>
  <si>
    <t>江苏国信</t>
  </si>
  <si>
    <t>www.lixinger.com/analytics/company/sz/002608/2608/detail</t>
  </si>
  <si>
    <t>宝信软件</t>
  </si>
  <si>
    <t>www.lixinger.com/analytics/company/sh/600845/600845/detail</t>
  </si>
  <si>
    <t>粤照明Ｂ</t>
  </si>
  <si>
    <t>www.lixinger.com/analytics/company/sz/200541/200541/detail</t>
  </si>
  <si>
    <t>璞泰来</t>
  </si>
  <si>
    <t>www.lixinger.com/analytics/company/sh/603659/603659/detail</t>
  </si>
  <si>
    <t>川能动力</t>
  </si>
  <si>
    <t>www.lixinger.com/analytics/company/sz/000155/155/detail</t>
  </si>
  <si>
    <t>太极集团</t>
  </si>
  <si>
    <t>www.lixinger.com/analytics/company/sh/600129/600129/detail</t>
  </si>
  <si>
    <t>昆药集团</t>
  </si>
  <si>
    <t>www.lixinger.com/analytics/company/sh/600422/600422/detail</t>
  </si>
  <si>
    <t>龙佰集团</t>
  </si>
  <si>
    <t>钛白粉</t>
  </si>
  <si>
    <t>www.lixinger.com/analytics/company/sz/002601/2601/detail</t>
  </si>
  <si>
    <t>中利集团</t>
  </si>
  <si>
    <t>www.lixinger.com/analytics/company/sz/002309/2309/detail</t>
  </si>
  <si>
    <t>中国卫星</t>
  </si>
  <si>
    <t>www.lixinger.com/analytics/company/sh/600118/600118/detail</t>
  </si>
  <si>
    <t>中科三环</t>
  </si>
  <si>
    <t>www.lixinger.com/analytics/company/sz/000970/970/detail</t>
  </si>
  <si>
    <t>易华录</t>
  </si>
  <si>
    <t>www.lixinger.com/analytics/company/sz/300212/300212/detail</t>
  </si>
  <si>
    <t>创业环保</t>
  </si>
  <si>
    <t>www.lixinger.com/analytics/company/sh/600874/600874/detail</t>
  </si>
  <si>
    <t>分众传媒</t>
  </si>
  <si>
    <t>广告媒体</t>
  </si>
  <si>
    <t>www.lixinger.com/analytics/company/sz/002027/2027/detail</t>
  </si>
  <si>
    <t>海程邦达</t>
  </si>
  <si>
    <t>www.lixinger.com/analytics/company/sh/603836/603836/detail</t>
  </si>
  <si>
    <t>大族数控</t>
  </si>
  <si>
    <t>www.lixinger.com/analytics/company/sz/301200/301200/detail</t>
  </si>
  <si>
    <t>继峰股份</t>
  </si>
  <si>
    <t>www.lixinger.com/analytics/company/sh/603997/603997/detail</t>
  </si>
  <si>
    <t>华建集团</t>
  </si>
  <si>
    <t>www.lixinger.com/analytics/company/sh/600629/600629/detail</t>
  </si>
  <si>
    <t>苏泊尔</t>
  </si>
  <si>
    <t>厨房小家电</t>
  </si>
  <si>
    <t>www.lixinger.com/analytics/company/sz/002032/2032/detail</t>
  </si>
  <si>
    <t>东方明珠</t>
  </si>
  <si>
    <t>www.lixinger.com/analytics/company/sh/600637/600637/detail</t>
  </si>
  <si>
    <t>美丽生态</t>
  </si>
  <si>
    <t>www.lixinger.com/analytics/company/sz/000010/10/detail</t>
  </si>
  <si>
    <t>华阳股份</t>
  </si>
  <si>
    <t>www.lixinger.com/analytics/company/sh/600348/600348/detail</t>
  </si>
  <si>
    <t>中科曙光</t>
  </si>
  <si>
    <t>www.lixinger.com/analytics/company/sh/603019/603019/detail</t>
  </si>
  <si>
    <t>天下秀</t>
  </si>
  <si>
    <t>www.lixinger.com/analytics/company/sh/600556/600556/detail</t>
  </si>
  <si>
    <t>上海环境</t>
  </si>
  <si>
    <t>www.lixinger.com/analytics/company/sh/601200/601200/detail</t>
  </si>
  <si>
    <t>渤海租赁</t>
  </si>
  <si>
    <t>租赁</t>
  </si>
  <si>
    <t>www.lixinger.com/analytics/company/sz/000415/415/detail</t>
  </si>
  <si>
    <t>阳光城</t>
  </si>
  <si>
    <t>www.lixinger.com/analytics/company/sz/000671/671/detail</t>
  </si>
  <si>
    <t>爱施德</t>
  </si>
  <si>
    <t>专业连锁</t>
  </si>
  <si>
    <t>www.lixinger.com/analytics/company/sz/002416/2416/detail</t>
  </si>
  <si>
    <t>招商积余</t>
  </si>
  <si>
    <t>物业管理</t>
  </si>
  <si>
    <t>www.lixinger.com/analytics/company/sz/001914/1914/detail</t>
  </si>
  <si>
    <t>节能铁汉</t>
  </si>
  <si>
    <t>www.lixinger.com/analytics/company/sz/300197/300197/detail</t>
  </si>
  <si>
    <t>*ST蓝盾</t>
  </si>
  <si>
    <t>www.lixinger.com/analytics/company/sz/300297/300297/detail</t>
  </si>
  <si>
    <t>特发信息</t>
  </si>
  <si>
    <t>www.lixinger.com/analytics/company/sz/000070/70/detail</t>
  </si>
  <si>
    <t>鼎胜新材</t>
  </si>
  <si>
    <t>www.lixinger.com/analytics/company/sh/603876/603876/detail</t>
  </si>
  <si>
    <t>大洋电机</t>
  </si>
  <si>
    <t>www.lixinger.com/analytics/company/sz/002249/2249/detail</t>
  </si>
  <si>
    <t>国睿科技</t>
  </si>
  <si>
    <t>www.lixinger.com/analytics/company/sh/600562/600562/detail</t>
  </si>
  <si>
    <t>东北制药</t>
  </si>
  <si>
    <t>www.lixinger.com/analytics/company/sz/000597/597/detail</t>
  </si>
  <si>
    <t>汉马科技</t>
  </si>
  <si>
    <t>www.lixinger.com/analytics/company/sh/600375/600375/detail</t>
  </si>
  <si>
    <t>海螺水泥</t>
  </si>
  <si>
    <t>www.lixinger.com/analytics/company/sh/600585/600585/detail</t>
  </si>
  <si>
    <t>皖能电力</t>
  </si>
  <si>
    <t>www.lixinger.com/analytics/company/sz/000543/543/detail</t>
  </si>
  <si>
    <t>神州信息</t>
  </si>
  <si>
    <t>www.lixinger.com/analytics/company/sz/000555/555/detail</t>
  </si>
  <si>
    <t>*ST围海</t>
  </si>
  <si>
    <t>www.lixinger.com/analytics/company/sz/002586/2586/detail</t>
  </si>
  <si>
    <t>洪都航空</t>
  </si>
  <si>
    <t>www.lixinger.com/analytics/company/sh/600316/600316/detail</t>
  </si>
  <si>
    <t>华北制药</t>
  </si>
  <si>
    <t>www.lixinger.com/analytics/company/sh/600812/600812/detail</t>
  </si>
  <si>
    <t>贵研铂业</t>
  </si>
  <si>
    <t>其他小金属</t>
  </si>
  <si>
    <t>www.lixinger.com/analytics/company/sh/600459/600459/detail</t>
  </si>
  <si>
    <t>东方创业</t>
  </si>
  <si>
    <t>www.lixinger.com/analytics/company/sh/600278/600278/detail</t>
  </si>
  <si>
    <t>中航高科</t>
  </si>
  <si>
    <t>www.lixinger.com/analytics/company/sh/600862/600862/detail</t>
  </si>
  <si>
    <t>佳都科技</t>
  </si>
  <si>
    <t>www.lixinger.com/analytics/company/sh/600728/600728/detail</t>
  </si>
  <si>
    <t>山推股份</t>
  </si>
  <si>
    <t>www.lixinger.com/analytics/company/sz/000680/680/detail</t>
  </si>
  <si>
    <t>东航物流</t>
  </si>
  <si>
    <t>www.lixinger.com/analytics/company/sh/601156/601156/detail</t>
  </si>
  <si>
    <t>招港B</t>
  </si>
  <si>
    <t>www.lixinger.com/analytics/company/sz/201872/201872/detail</t>
  </si>
  <si>
    <t>美年健康</t>
  </si>
  <si>
    <t>医院</t>
  </si>
  <si>
    <t>www.lixinger.com/analytics/company/sz/002044/2044/detail</t>
  </si>
  <si>
    <t>国新能源</t>
  </si>
  <si>
    <t>www.lixinger.com/analytics/company/sh/600617/600617/detail</t>
  </si>
  <si>
    <t>金一文化</t>
  </si>
  <si>
    <t>钟表珠宝</t>
  </si>
  <si>
    <t>www.lixinger.com/analytics/company/sz/002721/2721/detail</t>
  </si>
  <si>
    <t>中铁特货</t>
  </si>
  <si>
    <t>www.lixinger.com/analytics/company/sz/001213/1213/detail</t>
  </si>
  <si>
    <t>中国海防</t>
  </si>
  <si>
    <t>www.lixinger.com/analytics/company/sh/600764/600764/detail</t>
  </si>
  <si>
    <t>广汇能源</t>
  </si>
  <si>
    <t>油品石化贸易</t>
  </si>
  <si>
    <t>www.lixinger.com/analytics/company/sh/600256/600256/detail</t>
  </si>
  <si>
    <t>石化机械</t>
  </si>
  <si>
    <t>www.lixinger.com/analytics/company/sz/000852/852/detail</t>
  </si>
  <si>
    <t>青岛港</t>
  </si>
  <si>
    <t>www.lixinger.com/analytics/company/sh/601298/601298/detail</t>
  </si>
  <si>
    <t>新钢股份</t>
  </si>
  <si>
    <t>www.lixinger.com/analytics/company/sh/600782/600782/detail</t>
  </si>
  <si>
    <t>迈瑞医疗</t>
  </si>
  <si>
    <t>www.lixinger.com/analytics/company/sz/300760/300760/detail</t>
  </si>
  <si>
    <t>中国软件</t>
  </si>
  <si>
    <t>www.lixinger.com/analytics/company/sh/600536/600536/detail</t>
  </si>
  <si>
    <t>三星医疗</t>
  </si>
  <si>
    <t>电工仪器仪表</t>
  </si>
  <si>
    <t>www.lixinger.com/analytics/company/sh/601567/601567/detail</t>
  </si>
  <si>
    <t>ST弘高</t>
  </si>
  <si>
    <t>www.lixinger.com/analytics/company/sz/002504/2504/detail</t>
  </si>
  <si>
    <t>中广核技</t>
  </si>
  <si>
    <t>www.lixinger.com/analytics/company/sz/000881/881/detail</t>
  </si>
  <si>
    <t>华光环能</t>
  </si>
  <si>
    <t>www.lixinger.com/analytics/company/sh/600475/600475/detail</t>
  </si>
  <si>
    <t>福莱特</t>
  </si>
  <si>
    <t>www.lixinger.com/analytics/company/sh/601865/601865/detail</t>
  </si>
  <si>
    <t>北方华创</t>
  </si>
  <si>
    <t>半导体设备</t>
  </si>
  <si>
    <t>www.lixinger.com/analytics/company/sz/002371/2371/detail</t>
  </si>
  <si>
    <t>北新路桥</t>
  </si>
  <si>
    <t>www.lixinger.com/analytics/company/sz/002307/2307/detail</t>
  </si>
  <si>
    <t>海正药业</t>
  </si>
  <si>
    <t>www.lixinger.com/analytics/company/sh/600267/600267/detail</t>
  </si>
  <si>
    <t>首钢股份</t>
  </si>
  <si>
    <t>www.lixinger.com/analytics/company/sz/000959/959/detail</t>
  </si>
  <si>
    <t>航天彩虹</t>
  </si>
  <si>
    <t>www.lixinger.com/analytics/company/sz/002389/2389/detail</t>
  </si>
  <si>
    <t>宝钛股份</t>
  </si>
  <si>
    <t>www.lixinger.com/analytics/company/sh/600456/600456/detail</t>
  </si>
  <si>
    <t>鞍钢股份</t>
  </si>
  <si>
    <t>www.lixinger.com/analytics/company/sz/000898/898/detail</t>
  </si>
  <si>
    <t>中国电影</t>
  </si>
  <si>
    <t>影视动漫制作</t>
  </si>
  <si>
    <t>www.lixinger.com/analytics/company/sh/600977/600977/detail</t>
  </si>
  <si>
    <t>新安股份</t>
  </si>
  <si>
    <t>有机硅</t>
  </si>
  <si>
    <t>www.lixinger.com/analytics/company/sh/600596/600596/detail</t>
  </si>
  <si>
    <t>虹美菱B</t>
  </si>
  <si>
    <t>www.lixinger.com/analytics/company/sz/200521/200521/detail</t>
  </si>
  <si>
    <t>淮北矿业</t>
  </si>
  <si>
    <t>www.lixinger.com/analytics/company/sh/600985/600985/detail</t>
  </si>
  <si>
    <t>山东出版</t>
  </si>
  <si>
    <t>教育出版</t>
  </si>
  <si>
    <t>www.lixinger.com/analytics/company/sh/601019/601019/detail</t>
  </si>
  <si>
    <t>苏博特</t>
  </si>
  <si>
    <t>www.lixinger.com/analytics/company/sh/603916/603916/detail</t>
  </si>
  <si>
    <t>密尔克卫</t>
  </si>
  <si>
    <t>仓储物流</t>
  </si>
  <si>
    <t>www.lixinger.com/analytics/company/sh/603713/603713/detail</t>
  </si>
  <si>
    <t>隆鑫通用</t>
  </si>
  <si>
    <t>摩托车</t>
  </si>
  <si>
    <t>www.lixinger.com/analytics/company/sh/603766/603766/detail</t>
  </si>
  <si>
    <t>晨光股份</t>
  </si>
  <si>
    <t>www.lixinger.com/analytics/company/sh/603899/603899/detail</t>
  </si>
  <si>
    <t>新华文轩</t>
  </si>
  <si>
    <t>www.lixinger.com/analytics/company/sh/601811/601811/detail</t>
  </si>
  <si>
    <t>丽珠集团</t>
  </si>
  <si>
    <t>www.lixinger.com/analytics/company/sz/000513/513/detail</t>
  </si>
  <si>
    <t>金诚信</t>
  </si>
  <si>
    <t>www.lixinger.com/analytics/company/sh/603979/603979/detail</t>
  </si>
  <si>
    <t>东风科技</t>
  </si>
  <si>
    <t>www.lixinger.com/analytics/company/sh/600081/600081/detail</t>
  </si>
  <si>
    <t>江苏新能</t>
  </si>
  <si>
    <t>www.lixinger.com/analytics/company/sh/603693/603693/detail</t>
  </si>
  <si>
    <t>福日电子</t>
  </si>
  <si>
    <t>www.lixinger.com/analytics/company/sh/600203/600203/detail</t>
  </si>
  <si>
    <t>传化智联</t>
  </si>
  <si>
    <t>公路货运</t>
  </si>
  <si>
    <t>www.lixinger.com/analytics/company/sz/002010/2010/detail</t>
  </si>
  <si>
    <t>以岭药业</t>
  </si>
  <si>
    <t>www.lixinger.com/analytics/company/sz/002603/2603/detail</t>
  </si>
  <si>
    <t>中钨高新</t>
  </si>
  <si>
    <t>www.lixinger.com/analytics/company/sz/000657/657/detail</t>
  </si>
  <si>
    <t>中国巨石</t>
  </si>
  <si>
    <t>www.lixinger.com/analytics/company/sh/600176/600176/detail</t>
  </si>
  <si>
    <t>*ST海航</t>
  </si>
  <si>
    <t>www.lixinger.com/analytics/company/sh/600221/600221/detail</t>
  </si>
  <si>
    <t>勘设股份</t>
  </si>
  <si>
    <t>www.lixinger.com/analytics/company/sh/603458/603458/detail</t>
  </si>
  <si>
    <t>兴蓉环境</t>
  </si>
  <si>
    <t>www.lixinger.com/analytics/company/sz/000598/598/detail</t>
  </si>
  <si>
    <t>科华数据</t>
  </si>
  <si>
    <t>www.lixinger.com/analytics/company/sz/002335/2335/detail</t>
  </si>
  <si>
    <t>百洋医药</t>
  </si>
  <si>
    <t>www.lixinger.com/analytics/company/sz/301015/301015/detail</t>
  </si>
  <si>
    <t>信维通信</t>
  </si>
  <si>
    <t>www.lixinger.com/analytics/company/sz/300136/300136/detail</t>
  </si>
  <si>
    <t>南网能源</t>
  </si>
  <si>
    <t>www.lixinger.com/analytics/company/sz/003035/3035/detail</t>
  </si>
  <si>
    <t>ST森源</t>
  </si>
  <si>
    <t>www.lixinger.com/analytics/company/sz/002358/2358/detail</t>
  </si>
  <si>
    <t>宝钢包装</t>
  </si>
  <si>
    <t>www.lixinger.com/analytics/company/sh/601968/601968/detail</t>
  </si>
  <si>
    <t>大禹节水</t>
  </si>
  <si>
    <t>农业综合</t>
  </si>
  <si>
    <t>www.lixinger.com/analytics/company/sz/300021/300021/detail</t>
  </si>
  <si>
    <t>中新集团</t>
  </si>
  <si>
    <t>www.lixinger.com/analytics/company/sh/601512/601512/detail</t>
  </si>
  <si>
    <t>省广集团</t>
  </si>
  <si>
    <t>www.lixinger.com/analytics/company/sz/002400/2400/detail</t>
  </si>
  <si>
    <t>万孚生物</t>
  </si>
  <si>
    <t>www.lixinger.com/analytics/company/sz/300482/300482/detail</t>
  </si>
  <si>
    <t>朗新科技</t>
  </si>
  <si>
    <t>www.lixinger.com/analytics/company/sz/300682/300682/detail</t>
  </si>
  <si>
    <t>凯莱英</t>
  </si>
  <si>
    <t>www.lixinger.com/analytics/company/sz/002821/2821/detail</t>
  </si>
  <si>
    <t>上海梅林</t>
  </si>
  <si>
    <t>肉制品</t>
  </si>
  <si>
    <t>www.lixinger.com/analytics/company/sh/600073/600073/detail</t>
  </si>
  <si>
    <t>城地香江</t>
  </si>
  <si>
    <t>www.lixinger.com/analytics/company/sh/603887/603887/detail</t>
  </si>
  <si>
    <t>高德红外</t>
  </si>
  <si>
    <t>www.lixinger.com/analytics/company/sz/002414/2414/detail</t>
  </si>
  <si>
    <t>瀚蓝环境</t>
  </si>
  <si>
    <t>www.lixinger.com/analytics/company/sh/600323/600323/detail</t>
  </si>
  <si>
    <t>迈克生物</t>
  </si>
  <si>
    <t>www.lixinger.com/analytics/company/sz/300463/300463/detail</t>
  </si>
  <si>
    <t>共进股份</t>
  </si>
  <si>
    <t>www.lixinger.com/analytics/company/sh/603118/603118/detail</t>
  </si>
  <si>
    <t>新宙邦</t>
  </si>
  <si>
    <t>www.lixinger.com/analytics/company/sz/300037/300037/detail</t>
  </si>
  <si>
    <t>天能重工</t>
  </si>
  <si>
    <t>www.lixinger.com/analytics/company/sz/300569/300569/detail</t>
  </si>
  <si>
    <t>富奥股份</t>
  </si>
  <si>
    <t>www.lixinger.com/analytics/company/sz/000030/30/detail</t>
  </si>
  <si>
    <t>岭南股份</t>
  </si>
  <si>
    <t>www.lixinger.com/analytics/company/sz/002717/2717/detail</t>
  </si>
  <si>
    <t>宗申动力</t>
  </si>
  <si>
    <t>www.lixinger.com/analytics/company/sz/001696/1696/detail</t>
  </si>
  <si>
    <t>浙江鼎力</t>
  </si>
  <si>
    <t>www.lixinger.com/analytics/company/sh/603338/603338/detail</t>
  </si>
  <si>
    <t>华铁应急</t>
  </si>
  <si>
    <t>www.lixinger.com/analytics/company/sh/603300/603300/detail</t>
  </si>
  <si>
    <t>光明乳业</t>
  </si>
  <si>
    <t>www.lixinger.com/analytics/company/sh/600597/600597/detail</t>
  </si>
  <si>
    <t>蓝光发展</t>
  </si>
  <si>
    <t>www.lixinger.com/analytics/company/sh/600466/600466/detail</t>
  </si>
  <si>
    <t>北京利尔</t>
  </si>
  <si>
    <t>耐火材料</t>
  </si>
  <si>
    <t>www.lixinger.com/analytics/company/sz/002392/2392/detail</t>
  </si>
  <si>
    <t>康冠科技</t>
  </si>
  <si>
    <t>www.lixinger.com/analytics/company/sz/001308/1308/detail</t>
  </si>
  <si>
    <t>华利集团</t>
  </si>
  <si>
    <t>纺织鞋类制造</t>
  </si>
  <si>
    <t>www.lixinger.com/analytics/company/sz/300979/300979/detail</t>
  </si>
  <si>
    <t>冀中能源</t>
  </si>
  <si>
    <t>www.lixinger.com/analytics/company/sz/000937/937/detail</t>
  </si>
  <si>
    <t>东方证券</t>
  </si>
  <si>
    <t>www.lixinger.com/analytics/company/sh/600958/600958/detail</t>
  </si>
  <si>
    <t>佛山照明</t>
  </si>
  <si>
    <t>照明设备</t>
  </si>
  <si>
    <t>www.lixinger.com/analytics/company/sz/000541/541/detail</t>
  </si>
  <si>
    <t>海大集团</t>
  </si>
  <si>
    <t>水产饲料</t>
  </si>
  <si>
    <t>www.lixinger.com/analytics/company/sz/002311/2311/detail</t>
  </si>
  <si>
    <t>安迪苏</t>
  </si>
  <si>
    <t>食品及饲料添加剂</t>
  </si>
  <si>
    <t>www.lixinger.com/analytics/company/sh/600299/600299/detail</t>
  </si>
  <si>
    <t>精工钢构</t>
  </si>
  <si>
    <t>www.lixinger.com/analytics/company/sh/600496/600496/detail</t>
  </si>
  <si>
    <t>云海金属</t>
  </si>
  <si>
    <t>www.lixinger.com/analytics/company/sz/002182/2182/detail</t>
  </si>
  <si>
    <t>泰胜风能</t>
  </si>
  <si>
    <t>www.lixinger.com/analytics/company/sz/300129/300129/detail</t>
  </si>
  <si>
    <t>新能泰山</t>
  </si>
  <si>
    <t>www.lixinger.com/analytics/company/sz/000720/720/detail</t>
  </si>
  <si>
    <t>上海石化</t>
  </si>
  <si>
    <t>www.lixinger.com/analytics/company/sh/600688/600688/detail</t>
  </si>
  <si>
    <t>康泰生物</t>
  </si>
  <si>
    <t>www.lixinger.com/analytics/company/sz/300601/300601/detail</t>
  </si>
  <si>
    <t>沪电股份</t>
  </si>
  <si>
    <t>www.lixinger.com/analytics/company/sz/002463/2463/detail</t>
  </si>
  <si>
    <t>诺德股份</t>
  </si>
  <si>
    <t>www.lixinger.com/analytics/company/sh/600110/600110/detail</t>
  </si>
  <si>
    <t>天龙集团</t>
  </si>
  <si>
    <t>www.lixinger.com/analytics/company/sz/300063/300063/detail</t>
  </si>
  <si>
    <t>克劳斯</t>
  </si>
  <si>
    <t>其他专用设备</t>
  </si>
  <si>
    <t>www.lixinger.com/analytics/company/sh/600579/600579/detail</t>
  </si>
  <si>
    <t>东方财富</t>
  </si>
  <si>
    <t>www.lixinger.com/analytics/company/sz/300059/300059/detail</t>
  </si>
  <si>
    <t>中青旅</t>
  </si>
  <si>
    <t>人工景区</t>
  </si>
  <si>
    <t>www.lixinger.com/analytics/company/sh/600138/600138/detail</t>
  </si>
  <si>
    <t>中新药业</t>
  </si>
  <si>
    <t>www.lixinger.com/analytics/company/sh/600329/600329/detail</t>
  </si>
  <si>
    <t>济川药业</t>
  </si>
  <si>
    <t>www.lixinger.com/analytics/company/sh/600566/600566/detail</t>
  </si>
  <si>
    <t>美凯龙</t>
  </si>
  <si>
    <t>商业物业经营</t>
  </si>
  <si>
    <t>www.lixinger.com/analytics/company/sh/601828/601828/detail</t>
  </si>
  <si>
    <t>全筑股份</t>
  </si>
  <si>
    <t>www.lixinger.com/analytics/company/sh/603030/603030/detail</t>
  </si>
  <si>
    <t>凯普生物</t>
  </si>
  <si>
    <t>www.lixinger.com/analytics/company/sz/300639/300639/detail</t>
  </si>
  <si>
    <t>利尔化学</t>
  </si>
  <si>
    <t>www.lixinger.com/analytics/company/sz/002258/2258/detail</t>
  </si>
  <si>
    <t>中闽能源</t>
  </si>
  <si>
    <t>www.lixinger.com/analytics/company/sh/600163/600163/detail</t>
  </si>
  <si>
    <t>紫江企业</t>
  </si>
  <si>
    <t>塑料包装</t>
  </si>
  <si>
    <t>www.lixinger.com/analytics/company/sh/600210/600210/detail</t>
  </si>
  <si>
    <t>中来股份</t>
  </si>
  <si>
    <t>www.lixinger.com/analytics/company/sz/300393/300393/detail</t>
  </si>
  <si>
    <t>士兰微</t>
  </si>
  <si>
    <t>分立器件</t>
  </si>
  <si>
    <t>www.lixinger.com/analytics/company/sh/600460/600460/detail</t>
  </si>
  <si>
    <t>银江技术</t>
  </si>
  <si>
    <t>www.lixinger.com/analytics/company/sz/300020/300020/detail</t>
  </si>
  <si>
    <t>晶盛机电</t>
  </si>
  <si>
    <t>光伏加工设备</t>
  </si>
  <si>
    <t>www.lixinger.com/analytics/company/sz/300316/300316/detail</t>
  </si>
  <si>
    <t>兴业证券</t>
  </si>
  <si>
    <t>www.lixinger.com/analytics/company/sh/601377/601377/detail</t>
  </si>
  <si>
    <t>露笑科技</t>
  </si>
  <si>
    <t>www.lixinger.com/analytics/company/sz/002617/2617/detail</t>
  </si>
  <si>
    <t>华电重工</t>
  </si>
  <si>
    <t>www.lixinger.com/analytics/company/sh/601226/601226/detail</t>
  </si>
  <si>
    <t>豪迈科技</t>
  </si>
  <si>
    <t>www.lixinger.com/analytics/company/sz/002595/2595/detail</t>
  </si>
  <si>
    <t>七一二</t>
  </si>
  <si>
    <t>www.lixinger.com/analytics/company/sh/603712/603712/detail</t>
  </si>
  <si>
    <t>白云电器</t>
  </si>
  <si>
    <t>www.lixinger.com/analytics/company/sh/603861/603861/detail</t>
  </si>
  <si>
    <t>万向钱潮</t>
  </si>
  <si>
    <t>www.lixinger.com/analytics/company/sz/000559/559/detail</t>
  </si>
  <si>
    <t>塞力医疗</t>
  </si>
  <si>
    <t>www.lixinger.com/analytics/company/sh/603716/603716/detail</t>
  </si>
  <si>
    <t>鸿路钢构</t>
  </si>
  <si>
    <t>www.lixinger.com/analytics/company/sz/002541/2541/detail</t>
  </si>
  <si>
    <t>长春高新</t>
  </si>
  <si>
    <t>其他生物制品</t>
  </si>
  <si>
    <t>www.lixinger.com/analytics/company/sz/000661/661/detail</t>
  </si>
  <si>
    <t>超声电子</t>
  </si>
  <si>
    <t>www.lixinger.com/analytics/company/sz/000823/823/detail</t>
  </si>
  <si>
    <t>拓邦股份</t>
  </si>
  <si>
    <t>www.lixinger.com/analytics/company/sz/002139/2139/detail</t>
  </si>
  <si>
    <t>亚士创能</t>
  </si>
  <si>
    <t>www.lixinger.com/analytics/company/sh/603378/603378/detail</t>
  </si>
  <si>
    <t>广东宏大</t>
  </si>
  <si>
    <t>www.lixinger.com/analytics/company/sz/002683/2683/detail</t>
  </si>
  <si>
    <t>韶能股份</t>
  </si>
  <si>
    <t>www.lixinger.com/analytics/company/sz/000601/601/detail</t>
  </si>
  <si>
    <t>陕西煤业</t>
  </si>
  <si>
    <t>www.lixinger.com/analytics/company/sh/601225/601225/detail</t>
  </si>
  <si>
    <t>一心堂</t>
  </si>
  <si>
    <t>线下药店</t>
  </si>
  <si>
    <t>www.lixinger.com/analytics/company/sz/002727/2727/detail</t>
  </si>
  <si>
    <t>乐普医疗</t>
  </si>
  <si>
    <t>医疗耗材</t>
  </si>
  <si>
    <t>www.lixinger.com/analytics/company/sz/300003/300003/detail</t>
  </si>
  <si>
    <t>东阳光</t>
  </si>
  <si>
    <t>www.lixinger.com/analytics/company/sh/600673/600673/detail</t>
  </si>
  <si>
    <t>招商港口</t>
  </si>
  <si>
    <t>www.lixinger.com/analytics/company/sz/001872/1872/detail</t>
  </si>
  <si>
    <t>兴发集团</t>
  </si>
  <si>
    <t>www.lixinger.com/analytics/company/sh/600141/600141/detail</t>
  </si>
  <si>
    <t>航发控制</t>
  </si>
  <si>
    <t>www.lixinger.com/analytics/company/sz/000738/738/detail</t>
  </si>
  <si>
    <t>明德生物</t>
  </si>
  <si>
    <t>www.lixinger.com/analytics/company/sz/002932/2932/detail</t>
  </si>
  <si>
    <t>盛屯矿业</t>
  </si>
  <si>
    <t>www.lixinger.com/analytics/company/sh/600711/600711/detail</t>
  </si>
  <si>
    <t>华兰生物</t>
  </si>
  <si>
    <t>血液制品</t>
  </si>
  <si>
    <t>www.lixinger.com/analytics/company/sz/002007/2007/detail</t>
  </si>
  <si>
    <t>顺博合金</t>
  </si>
  <si>
    <t>www.lixinger.com/analytics/company/sz/002996/2996/detail</t>
  </si>
  <si>
    <t>*ST众泰</t>
  </si>
  <si>
    <t>www.lixinger.com/analytics/company/sz/000980/980/detail</t>
  </si>
  <si>
    <t>晋控煤业</t>
  </si>
  <si>
    <t>www.lixinger.com/analytics/company/sh/601001/601001/detail</t>
  </si>
  <si>
    <t>山西焦煤</t>
  </si>
  <si>
    <t>www.lixinger.com/analytics/company/sz/000983/983/detail</t>
  </si>
  <si>
    <t>华海药业</t>
  </si>
  <si>
    <t>www.lixinger.com/analytics/company/sh/600521/600521/detail</t>
  </si>
  <si>
    <t>铜陵有色</t>
  </si>
  <si>
    <t>www.lixinger.com/analytics/company/sz/000630/630/detail</t>
  </si>
  <si>
    <t>明泰铝业</t>
  </si>
  <si>
    <t>www.lixinger.com/analytics/company/sh/601677/601677/detail</t>
  </si>
  <si>
    <t>浦东建设</t>
  </si>
  <si>
    <t>www.lixinger.com/analytics/company/sh/600284/600284/detail</t>
  </si>
  <si>
    <t>圣泉集团</t>
  </si>
  <si>
    <t>合成树脂</t>
  </si>
  <si>
    <t>www.lixinger.com/analytics/company/sh/605589/605589/detail</t>
  </si>
  <si>
    <t>莱克电气</t>
  </si>
  <si>
    <t>清洁小家电</t>
  </si>
  <si>
    <t>www.lixinger.com/analytics/company/sh/603355/603355/detail</t>
  </si>
  <si>
    <t>锦江酒店</t>
  </si>
  <si>
    <t>酒店</t>
  </si>
  <si>
    <t>www.lixinger.com/analytics/company/sh/600754/600754/detail</t>
  </si>
  <si>
    <t>桂冠电力</t>
  </si>
  <si>
    <t>www.lixinger.com/analytics/company/sh/600236/600236/detail</t>
  </si>
  <si>
    <t>辽宁成大</t>
  </si>
  <si>
    <t>www.lixinger.com/analytics/company/sh/600739/600739/detail</t>
  </si>
  <si>
    <t>巨星科技</t>
  </si>
  <si>
    <t>www.lixinger.com/analytics/company/sz/002444/2444/detail</t>
  </si>
  <si>
    <t>广电运通</t>
  </si>
  <si>
    <t>www.lixinger.com/analytics/company/sz/002152/2152/detail</t>
  </si>
  <si>
    <t>圆通速递</t>
  </si>
  <si>
    <t>www.lixinger.com/analytics/company/sh/600233/600233/detail</t>
  </si>
  <si>
    <t>华银电力</t>
  </si>
  <si>
    <t>www.lixinger.com/analytics/company/sh/600744/600744/detail</t>
  </si>
  <si>
    <t>力源信息</t>
  </si>
  <si>
    <t>www.lixinger.com/analytics/company/sz/300184/300184/detail</t>
  </si>
  <si>
    <t>三人行</t>
  </si>
  <si>
    <t>www.lixinger.com/analytics/company/sh/605168/605168/detail</t>
  </si>
  <si>
    <t>三六零</t>
  </si>
  <si>
    <t>www.lixinger.com/analytics/company/sh/601360/601360/detail</t>
  </si>
  <si>
    <t>远达环保</t>
  </si>
  <si>
    <t>www.lixinger.com/analytics/company/sh/600292/600292/detail</t>
  </si>
  <si>
    <t>昇辉科技</t>
  </si>
  <si>
    <t>www.lixinger.com/analytics/company/sz/300423/300423/detail</t>
  </si>
  <si>
    <t>广电网络</t>
  </si>
  <si>
    <t>www.lixinger.com/analytics/company/sh/600831/600831/detail</t>
  </si>
  <si>
    <t>光迅科技</t>
  </si>
  <si>
    <t>www.lixinger.com/analytics/company/sz/002281/2281/detail</t>
  </si>
  <si>
    <t>山东高速</t>
  </si>
  <si>
    <t>高速公路</t>
  </si>
  <si>
    <t>www.lixinger.com/analytics/company/sh/600350/600350/detail</t>
  </si>
  <si>
    <t>洲明科技</t>
  </si>
  <si>
    <t>www.lixinger.com/analytics/company/sz/300232/300232/detail</t>
  </si>
  <si>
    <t>搜于特</t>
  </si>
  <si>
    <t>www.lixinger.com/analytics/company/sz/002503/2503/detail</t>
  </si>
  <si>
    <t>日海智能</t>
  </si>
  <si>
    <t>www.lixinger.com/analytics/company/sz/002313/2313/detail</t>
  </si>
  <si>
    <t>科森科技</t>
  </si>
  <si>
    <t>www.lixinger.com/analytics/company/sh/603626/603626/detail</t>
  </si>
  <si>
    <t>青鸟消防</t>
  </si>
  <si>
    <t>www.lixinger.com/analytics/company/sz/002960/2960/detail</t>
  </si>
  <si>
    <t>沃尔核材</t>
  </si>
  <si>
    <t>www.lixinger.com/analytics/company/sz/002130/2130/detail</t>
  </si>
  <si>
    <t>豫能控股</t>
  </si>
  <si>
    <t>www.lixinger.com/analytics/company/sz/001896/1896/detail</t>
  </si>
  <si>
    <t>创力集团</t>
  </si>
  <si>
    <t>www.lixinger.com/analytics/company/sh/603012/603012/detail</t>
  </si>
  <si>
    <t>长城科技</t>
  </si>
  <si>
    <t>www.lixinger.com/analytics/company/sh/603897/603897/detail</t>
  </si>
  <si>
    <t>长虹美菱</t>
  </si>
  <si>
    <t>www.lixinger.com/analytics/company/sz/000521/521/detail</t>
  </si>
  <si>
    <t>科达利</t>
  </si>
  <si>
    <t>www.lixinger.com/analytics/company/sz/002850/2850/detail</t>
  </si>
  <si>
    <t>航天机电</t>
  </si>
  <si>
    <t>www.lixinger.com/analytics/company/sh/600151/600151/detail</t>
  </si>
  <si>
    <t>万达电影</t>
  </si>
  <si>
    <t>院线</t>
  </si>
  <si>
    <t>www.lixinger.com/analytics/company/sz/002739/2739/detail</t>
  </si>
  <si>
    <t>维尔利</t>
  </si>
  <si>
    <t>www.lixinger.com/analytics/company/sz/300190/300190/detail</t>
  </si>
  <si>
    <t>长信科技</t>
  </si>
  <si>
    <t>www.lixinger.com/analytics/company/sz/300088/300088/detail</t>
  </si>
  <si>
    <t>新希望</t>
  </si>
  <si>
    <t>生猪养殖</t>
  </si>
  <si>
    <t>www.lixinger.com/analytics/company/sz/000876/876/detail</t>
  </si>
  <si>
    <t>天齐锂业</t>
  </si>
  <si>
    <t>www.lixinger.com/analytics/company/sz/002466/2466/detail</t>
  </si>
  <si>
    <t>北摩高科</t>
  </si>
  <si>
    <t>www.lixinger.com/analytics/company/sz/002985/2985/detail</t>
  </si>
  <si>
    <t>三峰环境</t>
  </si>
  <si>
    <t>www.lixinger.com/analytics/company/sh/601827/601827/detail</t>
  </si>
  <si>
    <t>玉禾田</t>
  </si>
  <si>
    <t>www.lixinger.com/analytics/company/sz/300815/300815/detail</t>
  </si>
  <si>
    <t>华宇软件</t>
  </si>
  <si>
    <t>www.lixinger.com/analytics/company/sz/300271/300271/detail</t>
  </si>
  <si>
    <t>顾家家居</t>
  </si>
  <si>
    <t>www.lixinger.com/analytics/company/sh/603816/603816/detail</t>
  </si>
  <si>
    <t>建艺集团</t>
  </si>
  <si>
    <t>www.lixinger.com/analytics/company/sz/002789/2789/detail</t>
  </si>
  <si>
    <t>西藏天路</t>
  </si>
  <si>
    <t>www.lixinger.com/analytics/company/sh/600326/600326/detail</t>
  </si>
  <si>
    <t>中锐股份</t>
  </si>
  <si>
    <t>www.lixinger.com/analytics/company/sz/002374/2374/detail</t>
  </si>
  <si>
    <t>康尼机电</t>
  </si>
  <si>
    <t>www.lixinger.com/analytics/company/sh/603111/603111/detail</t>
  </si>
  <si>
    <t>东方国信</t>
  </si>
  <si>
    <t>www.lixinger.com/analytics/company/sz/300166/300166/detail</t>
  </si>
  <si>
    <t>开滦股份</t>
  </si>
  <si>
    <t>焦炭</t>
  </si>
  <si>
    <t>www.lixinger.com/analytics/company/sh/600997/600997/detail</t>
  </si>
  <si>
    <t>中贝通信</t>
  </si>
  <si>
    <t>www.lixinger.com/analytics/company/sh/603220/603220/detail</t>
  </si>
  <si>
    <t>贵州百灵</t>
  </si>
  <si>
    <t>www.lixinger.com/analytics/company/sz/002424/2424/detail</t>
  </si>
  <si>
    <t>众业达</t>
  </si>
  <si>
    <t>www.lixinger.com/analytics/company/sz/002441/2441/detail</t>
  </si>
  <si>
    <t>九洲集团</t>
  </si>
  <si>
    <t>www.lixinger.com/analytics/company/sz/300040/300040/detail</t>
  </si>
  <si>
    <t>设研院</t>
  </si>
  <si>
    <t>www.lixinger.com/analytics/company/sz/300732/300732/detail</t>
  </si>
  <si>
    <t>正和生态</t>
  </si>
  <si>
    <t>www.lixinger.com/analytics/company/sh/605069/605069/detail</t>
  </si>
  <si>
    <t>网宿科技</t>
  </si>
  <si>
    <t>www.lixinger.com/analytics/company/sz/300017/300017/detail</t>
  </si>
  <si>
    <t>惠而浦</t>
  </si>
  <si>
    <t>www.lixinger.com/analytics/company/sh/600983/600983/detail</t>
  </si>
  <si>
    <t>冀东水泥</t>
  </si>
  <si>
    <t>www.lixinger.com/analytics/company/sz/000401/401/detail</t>
  </si>
  <si>
    <t>星网锐捷</t>
  </si>
  <si>
    <t>www.lixinger.com/analytics/company/sz/002396/2396/detail</t>
  </si>
  <si>
    <t>索通发展</t>
  </si>
  <si>
    <t>非金属材料</t>
  </si>
  <si>
    <t>www.lixinger.com/analytics/company/sh/603612/603612/detail</t>
  </si>
  <si>
    <t>长青集团</t>
  </si>
  <si>
    <t>其他能源发电</t>
  </si>
  <si>
    <t>www.lixinger.com/analytics/company/sz/002616/2616/detail</t>
  </si>
  <si>
    <t>纽威股份</t>
  </si>
  <si>
    <t>www.lixinger.com/analytics/company/sh/603699/603699/detail</t>
  </si>
  <si>
    <t>韵达股份</t>
  </si>
  <si>
    <t>www.lixinger.com/analytics/company/sz/002120/2120/detail</t>
  </si>
  <si>
    <t>嘉泽新能</t>
  </si>
  <si>
    <t>www.lixinger.com/analytics/company/sh/601619/601619/detail</t>
  </si>
  <si>
    <t>安徽合力</t>
  </si>
  <si>
    <t>www.lixinger.com/analytics/company/sh/600761/600761/detail</t>
  </si>
  <si>
    <t>科锐国际</t>
  </si>
  <si>
    <t>人力资源服务</t>
  </si>
  <si>
    <t>www.lixinger.com/analytics/company/sz/300662/300662/detail</t>
  </si>
  <si>
    <t>老百姓</t>
  </si>
  <si>
    <t>www.lixinger.com/analytics/company/sh/603883/603883/detail</t>
  </si>
  <si>
    <t>老板电器</t>
  </si>
  <si>
    <t>厨房电器</t>
  </si>
  <si>
    <t>www.lixinger.com/analytics/company/sz/002508/2508/detail</t>
  </si>
  <si>
    <t>中电兴发</t>
  </si>
  <si>
    <t>www.lixinger.com/analytics/company/sz/002298/2298/detail</t>
  </si>
  <si>
    <t>黑猫股份</t>
  </si>
  <si>
    <t>炭黑</t>
  </si>
  <si>
    <t>www.lixinger.com/analytics/company/sz/002068/2068/detail</t>
  </si>
  <si>
    <t>绿色动力</t>
  </si>
  <si>
    <t>www.lixinger.com/analytics/company/sh/601330/601330/detail</t>
  </si>
  <si>
    <t>海普瑞</t>
  </si>
  <si>
    <t>www.lixinger.com/analytics/company/sz/002399/2399/detail</t>
  </si>
  <si>
    <t>华天科技</t>
  </si>
  <si>
    <t>www.lixinger.com/analytics/company/sz/002185/2185/detail</t>
  </si>
  <si>
    <t>大亚圣象</t>
  </si>
  <si>
    <t>www.lixinger.com/analytics/company/sz/000910/910/detail</t>
  </si>
  <si>
    <t>棕榈股份</t>
  </si>
  <si>
    <t>www.lixinger.com/analytics/company/sz/002431/2431/detail</t>
  </si>
  <si>
    <t>南都电源</t>
  </si>
  <si>
    <t>蓄电池及其他电池</t>
  </si>
  <si>
    <t>www.lixinger.com/analytics/company/sz/300068/300068/detail</t>
  </si>
  <si>
    <t>金杯电工</t>
  </si>
  <si>
    <t>www.lixinger.com/analytics/company/sz/002533/2533/detail</t>
  </si>
  <si>
    <t>金力永磁</t>
  </si>
  <si>
    <t>www.lixinger.com/analytics/company/sz/300748/300748/detail</t>
  </si>
  <si>
    <t>兴森科技</t>
  </si>
  <si>
    <t>www.lixinger.com/analytics/company/sz/002436/2436/detail</t>
  </si>
  <si>
    <t>光明地产</t>
  </si>
  <si>
    <t>www.lixinger.com/analytics/company/sh/600708/600708/detail</t>
  </si>
  <si>
    <t>中远海发</t>
  </si>
  <si>
    <t>www.lixinger.com/analytics/company/sh/601866/601866/detail</t>
  </si>
  <si>
    <t>南方传媒</t>
  </si>
  <si>
    <t>www.lixinger.com/analytics/company/sh/601900/601900/detail</t>
  </si>
  <si>
    <t>昊华科技</t>
  </si>
  <si>
    <t>氟化工</t>
  </si>
  <si>
    <t>www.lixinger.com/analytics/company/sh/600378/600378/detail</t>
  </si>
  <si>
    <t>濮耐股份</t>
  </si>
  <si>
    <t>www.lixinger.com/analytics/company/sz/002225/2225/detail</t>
  </si>
  <si>
    <t>海南瑞泽</t>
  </si>
  <si>
    <t>www.lixinger.com/analytics/company/sz/002596/2596/detail</t>
  </si>
  <si>
    <t>彩虹股份</t>
  </si>
  <si>
    <t>www.lixinger.com/analytics/company/sh/600707/600707/detail</t>
  </si>
  <si>
    <t>亚星客车</t>
  </si>
  <si>
    <t>www.lixinger.com/analytics/company/sh/600213/600213/detail</t>
  </si>
  <si>
    <t>新华医疗</t>
  </si>
  <si>
    <t>www.lixinger.com/analytics/company/sh/600587/600587/detail</t>
  </si>
  <si>
    <t>中储股份</t>
  </si>
  <si>
    <t>www.lixinger.com/analytics/company/sh/600787/600787/detail</t>
  </si>
  <si>
    <t>三七互娱</t>
  </si>
  <si>
    <t>www.lixinger.com/analytics/company/sz/002555/2555/detail</t>
  </si>
  <si>
    <t>北方导航</t>
  </si>
  <si>
    <t>地面兵装</t>
  </si>
  <si>
    <t>www.lixinger.com/analytics/company/sh/600435/600435/detail</t>
  </si>
  <si>
    <t>爱尔眼科</t>
  </si>
  <si>
    <t>www.lixinger.com/analytics/company/sz/300015/300015/detail</t>
  </si>
  <si>
    <t>福龙马</t>
  </si>
  <si>
    <t>www.lixinger.com/analytics/company/sh/603686/603686/detail</t>
  </si>
  <si>
    <t>浙江医药</t>
  </si>
  <si>
    <t>www.lixinger.com/analytics/company/sh/600216/600216/detail</t>
  </si>
  <si>
    <t>世茂股份</t>
  </si>
  <si>
    <t>www.lixinger.com/analytics/company/sh/600823/600823/detail</t>
  </si>
  <si>
    <t>科达制造</t>
  </si>
  <si>
    <t>www.lixinger.com/analytics/company/sh/600499/600499/detail</t>
  </si>
  <si>
    <t>博彦科技</t>
  </si>
  <si>
    <t>www.lixinger.com/analytics/company/sz/002649/2649/detail</t>
  </si>
  <si>
    <t>得润电子</t>
  </si>
  <si>
    <t>www.lixinger.com/analytics/company/sz/002055/2055/detail</t>
  </si>
  <si>
    <t>得邦照明</t>
  </si>
  <si>
    <t>www.lixinger.com/analytics/company/sh/603303/603303/detail</t>
  </si>
  <si>
    <t>紫天科技</t>
  </si>
  <si>
    <t>www.lixinger.com/analytics/company/sz/300280/300280/detail</t>
  </si>
  <si>
    <t>东方生物</t>
  </si>
  <si>
    <t>www.lixinger.com/analytics/company/sh/688298/688298/detail</t>
  </si>
  <si>
    <t>通裕重工</t>
  </si>
  <si>
    <t>www.lixinger.com/analytics/company/sz/300185/300185/detail</t>
  </si>
  <si>
    <t>南钢股份</t>
  </si>
  <si>
    <t>www.lixinger.com/analytics/company/sh/600282/600282/detail</t>
  </si>
  <si>
    <t>凯伦股份</t>
  </si>
  <si>
    <t>www.lixinger.com/analytics/company/sz/300715/300715/detail</t>
  </si>
  <si>
    <t>高新兴</t>
  </si>
  <si>
    <t>www.lixinger.com/analytics/company/sz/300098/300098/detail</t>
  </si>
  <si>
    <t>天融信</t>
  </si>
  <si>
    <t>www.lixinger.com/analytics/company/sz/002212/2212/detail</t>
  </si>
  <si>
    <t>蔚蓝锂芯</t>
  </si>
  <si>
    <t>www.lixinger.com/analytics/company/sz/002245/2245/detail</t>
  </si>
  <si>
    <t>中国国航</t>
  </si>
  <si>
    <t>www.lixinger.com/analytics/company/sh/601111/601111/detail</t>
  </si>
  <si>
    <t>移远通信</t>
  </si>
  <si>
    <t>www.lixinger.com/analytics/company/sh/603236/603236/detail</t>
  </si>
  <si>
    <t>四创电子</t>
  </si>
  <si>
    <t>www.lixinger.com/analytics/company/sh/600990/600990/detail</t>
  </si>
  <si>
    <t>天能股份</t>
  </si>
  <si>
    <t>www.lixinger.com/analytics/company/sh/688819/688819/detail</t>
  </si>
  <si>
    <t>广日股份</t>
  </si>
  <si>
    <t>www.lixinger.com/analytics/company/sh/600894/600894/detail</t>
  </si>
  <si>
    <t>四川九洲</t>
  </si>
  <si>
    <t>www.lixinger.com/analytics/company/sz/000801/801/detail</t>
  </si>
  <si>
    <t>汇金股份</t>
  </si>
  <si>
    <t>www.lixinger.com/analytics/company/sz/300368/300368/detail</t>
  </si>
  <si>
    <t>普利特</t>
  </si>
  <si>
    <t>www.lixinger.com/analytics/company/sz/002324/2324/detail</t>
  </si>
  <si>
    <t>新宝股份</t>
  </si>
  <si>
    <t>www.lixinger.com/analytics/company/sz/002705/2705/detail</t>
  </si>
  <si>
    <t>*ST康美</t>
  </si>
  <si>
    <t>www.lixinger.com/analytics/company/sh/600518/600518/detail</t>
  </si>
  <si>
    <t>西部超导</t>
  </si>
  <si>
    <t>www.lixinger.com/analytics/company/sh/688122/688122/detail</t>
  </si>
  <si>
    <t>杭氧股份</t>
  </si>
  <si>
    <t>www.lixinger.com/analytics/company/sz/002430/2430/detail</t>
  </si>
  <si>
    <t>火炬电子</t>
  </si>
  <si>
    <t>www.lixinger.com/analytics/company/sh/603678/603678/detail</t>
  </si>
  <si>
    <t>一汽解放</t>
  </si>
  <si>
    <t>www.lixinger.com/analytics/company/sz/000800/800/detail</t>
  </si>
  <si>
    <t>天源迪科</t>
  </si>
  <si>
    <t>www.lixinger.com/analytics/company/sz/300047/300047/detail</t>
  </si>
  <si>
    <t>双环传动</t>
  </si>
  <si>
    <t>www.lixinger.com/analytics/company/sz/002472/2472/detail</t>
  </si>
  <si>
    <t>德邦股份</t>
  </si>
  <si>
    <t>www.lixinger.com/analytics/company/sh/603056/603056/detail</t>
  </si>
  <si>
    <t>广汇汽车</t>
  </si>
  <si>
    <t>www.lixinger.com/analytics/company/sh/600297/600297/detail</t>
  </si>
  <si>
    <t>莱宝高科</t>
  </si>
  <si>
    <t>www.lixinger.com/analytics/company/sz/002106/2106/detail</t>
  </si>
  <si>
    <t>招商轮船</t>
  </si>
  <si>
    <t>www.lixinger.com/analytics/company/sh/601872/601872/detail</t>
  </si>
  <si>
    <t>华数传媒</t>
  </si>
  <si>
    <t>www.lixinger.com/analytics/company/sz/000156/156/detail</t>
  </si>
  <si>
    <t>甘肃电投</t>
  </si>
  <si>
    <t>www.lixinger.com/analytics/company/sz/000791/791/detail</t>
  </si>
  <si>
    <t>*ST数知</t>
  </si>
  <si>
    <t>www.lixinger.com/analytics/company/sz/300038/300038/detail</t>
  </si>
  <si>
    <t>玉龙股份</t>
  </si>
  <si>
    <t>www.lixinger.com/analytics/company/sh/601028/601028/detail</t>
  </si>
  <si>
    <t>河钢股份</t>
  </si>
  <si>
    <t>www.lixinger.com/analytics/company/sz/000709/709/detail</t>
  </si>
  <si>
    <t>长源电力</t>
  </si>
  <si>
    <t>www.lixinger.com/analytics/company/sz/000966/966/detail</t>
  </si>
  <si>
    <t>南亚新材</t>
  </si>
  <si>
    <t>www.lixinger.com/analytics/company/sh/688519/688519/detail</t>
  </si>
  <si>
    <t>保变电气</t>
  </si>
  <si>
    <t>www.lixinger.com/analytics/company/sh/600550/600550/detail</t>
  </si>
  <si>
    <t>天阳科技</t>
  </si>
  <si>
    <t>www.lixinger.com/analytics/company/sz/300872/300872/detail</t>
  </si>
  <si>
    <t>公元股份</t>
  </si>
  <si>
    <t>管材</t>
  </si>
  <si>
    <t>www.lixinger.com/analytics/company/sz/002641/2641/detail</t>
  </si>
  <si>
    <t>长久物流</t>
  </si>
  <si>
    <t>www.lixinger.com/analytics/company/sh/603569/603569/detail</t>
  </si>
  <si>
    <t>中国东航</t>
  </si>
  <si>
    <t>www.lixinger.com/analytics/company/sh/600115/600115/detail</t>
  </si>
  <si>
    <t>华润双鹤</t>
  </si>
  <si>
    <t>www.lixinger.com/analytics/company/sh/600062/600062/detail</t>
  </si>
  <si>
    <t>鸿远电子</t>
  </si>
  <si>
    <t>www.lixinger.com/analytics/company/sh/603267/603267/detail</t>
  </si>
  <si>
    <t>华通线缆</t>
  </si>
  <si>
    <t>www.lixinger.com/analytics/company/sh/605196/605196/detail</t>
  </si>
  <si>
    <t>博天环境</t>
  </si>
  <si>
    <t>www.lixinger.com/analytics/company/sh/603603/603603/detail</t>
  </si>
  <si>
    <t>安琪酵母</t>
  </si>
  <si>
    <t>调味发酵品</t>
  </si>
  <si>
    <t>www.lixinger.com/analytics/company/sh/600298/600298/detail</t>
  </si>
  <si>
    <t>鹏辉能源</t>
  </si>
  <si>
    <t>www.lixinger.com/analytics/company/sz/300438/300438/detail</t>
  </si>
  <si>
    <t>天津港</t>
  </si>
  <si>
    <t>www.lixinger.com/analytics/company/sh/600717/600717/detail</t>
  </si>
  <si>
    <t>商络电子</t>
  </si>
  <si>
    <t>www.lixinger.com/analytics/company/sz/300975/300975/detail</t>
  </si>
  <si>
    <t>立达信</t>
  </si>
  <si>
    <t>www.lixinger.com/analytics/company/sh/605365/605365/detail</t>
  </si>
  <si>
    <t>华阳集团</t>
  </si>
  <si>
    <t>www.lixinger.com/analytics/company/sz/002906/2906/detail</t>
  </si>
  <si>
    <t>四方新材</t>
  </si>
  <si>
    <t>www.lixinger.com/analytics/company/sh/605122/605122/detail</t>
  </si>
  <si>
    <t>天通股份</t>
  </si>
  <si>
    <t>www.lixinger.com/analytics/company/sh/600330/600330/detail</t>
  </si>
  <si>
    <t>春秋电子</t>
  </si>
  <si>
    <t>www.lixinger.com/analytics/company/sh/603890/603890/detail</t>
  </si>
  <si>
    <t>太阳电缆</t>
  </si>
  <si>
    <t>www.lixinger.com/analytics/company/sz/002300/2300/detail</t>
  </si>
  <si>
    <t>东贝集团</t>
  </si>
  <si>
    <t>www.lixinger.com/analytics/company/sh/601956/601956/detail</t>
  </si>
  <si>
    <t>杭萧钢构</t>
  </si>
  <si>
    <t>www.lixinger.com/analytics/company/sh/600477/600477/detail</t>
  </si>
  <si>
    <t>第一创业</t>
  </si>
  <si>
    <t>www.lixinger.com/analytics/company/sz/002797/2797/detail</t>
  </si>
  <si>
    <t>全柴动力</t>
  </si>
  <si>
    <t>www.lixinger.com/analytics/company/sh/600218/600218/detail</t>
  </si>
  <si>
    <t>创业慧康</t>
  </si>
  <si>
    <t>www.lixinger.com/analytics/company/sz/300451/300451/detail</t>
  </si>
  <si>
    <t>亚太科技</t>
  </si>
  <si>
    <t>www.lixinger.com/analytics/company/sz/002540/2540/detail</t>
  </si>
  <si>
    <t>普洛药业</t>
  </si>
  <si>
    <t>www.lixinger.com/analytics/company/sz/000739/739/detail</t>
  </si>
  <si>
    <t>金信诺</t>
  </si>
  <si>
    <t>www.lixinger.com/analytics/company/sz/300252/300252/detail</t>
  </si>
  <si>
    <t>中国黄金</t>
  </si>
  <si>
    <t>www.lixinger.com/analytics/company/sh/600916/600916/detail</t>
  </si>
  <si>
    <t>常铝股份</t>
  </si>
  <si>
    <t>www.lixinger.com/analytics/company/sz/002160/2160/detail</t>
  </si>
  <si>
    <t>国瓷材料</t>
  </si>
  <si>
    <t>www.lixinger.com/analytics/company/sz/300285/300285/detail</t>
  </si>
  <si>
    <t>康跃科技</t>
  </si>
  <si>
    <t>www.lixinger.com/analytics/company/sz/300391/300391/detail</t>
  </si>
  <si>
    <t>维信诺</t>
  </si>
  <si>
    <t>www.lixinger.com/analytics/company/sz/002387/2387/detail</t>
  </si>
  <si>
    <t>华自科技</t>
  </si>
  <si>
    <t>www.lixinger.com/analytics/company/sz/300490/300490/detail</t>
  </si>
  <si>
    <t>白云机场</t>
  </si>
  <si>
    <t>机场</t>
  </si>
  <si>
    <t>www.lixinger.com/analytics/company/sh/600004/600004/detail</t>
  </si>
  <si>
    <t>*ST基础</t>
  </si>
  <si>
    <t>www.lixinger.com/analytics/company/sh/600515/600515/detail</t>
  </si>
  <si>
    <t>德方纳米</t>
  </si>
  <si>
    <t>www.lixinger.com/analytics/company/sz/300769/300769/detail</t>
  </si>
  <si>
    <t>美锦能源</t>
  </si>
  <si>
    <t>www.lixinger.com/analytics/company/sz/000723/723/detail</t>
  </si>
  <si>
    <t>广东鸿图</t>
  </si>
  <si>
    <t>www.lixinger.com/analytics/company/sz/002101/2101/detail</t>
  </si>
  <si>
    <t>神马股份</t>
  </si>
  <si>
    <t>锦纶</t>
  </si>
  <si>
    <t>www.lixinger.com/analytics/company/sh/600810/600810/detail</t>
  </si>
  <si>
    <t>世联行</t>
  </si>
  <si>
    <t>房产租赁经纪</t>
  </si>
  <si>
    <t>www.lixinger.com/analytics/company/sz/002285/2285/detail</t>
  </si>
  <si>
    <t>达嘉维康</t>
  </si>
  <si>
    <t>www.lixinger.com/analytics/company/sz/301126/301126/detail</t>
  </si>
  <si>
    <t>交运股份</t>
  </si>
  <si>
    <t>www.lixinger.com/analytics/company/sh/600676/600676/detail</t>
  </si>
  <si>
    <t>中原传媒</t>
  </si>
  <si>
    <t>大众出版</t>
  </si>
  <si>
    <t>www.lixinger.com/analytics/company/sz/000719/719/detail</t>
  </si>
  <si>
    <t>中国天楹</t>
  </si>
  <si>
    <t>www.lixinger.com/analytics/company/sz/000035/35/detail</t>
  </si>
  <si>
    <t>麦格米特</t>
  </si>
  <si>
    <t>www.lixinger.com/analytics/company/sz/002851/2851/detail</t>
  </si>
  <si>
    <t>万里扬</t>
  </si>
  <si>
    <t>www.lixinger.com/analytics/company/sz/002434/2434/detail</t>
  </si>
  <si>
    <t>蓝焰控股</t>
  </si>
  <si>
    <t>油气开采</t>
  </si>
  <si>
    <t>www.lixinger.com/analytics/company/sz/000968/968/detail</t>
  </si>
  <si>
    <t>中南传媒</t>
  </si>
  <si>
    <t>www.lixinger.com/analytics/company/sh/601098/601098/detail</t>
  </si>
  <si>
    <t>澳柯玛</t>
  </si>
  <si>
    <t>www.lixinger.com/analytics/company/sh/600336/600336/detail</t>
  </si>
  <si>
    <t>传音控股</t>
  </si>
  <si>
    <t>品牌消费电子</t>
  </si>
  <si>
    <t>www.lixinger.com/analytics/company/sh/688036/688036/detail</t>
  </si>
  <si>
    <t>用友网络</t>
  </si>
  <si>
    <t>www.lixinger.com/analytics/company/sh/600588/600588/detail</t>
  </si>
  <si>
    <t>大丰实业</t>
  </si>
  <si>
    <t>www.lixinger.com/analytics/company/sh/603081/603081/detail</t>
  </si>
  <si>
    <t>顺络电子</t>
  </si>
  <si>
    <t>被动元件</t>
  </si>
  <si>
    <t>www.lixinger.com/analytics/company/sz/002138/2138/detail</t>
  </si>
  <si>
    <t>华铁股份</t>
  </si>
  <si>
    <t>www.lixinger.com/analytics/company/sz/000976/976/detail</t>
  </si>
  <si>
    <t>安泰科技</t>
  </si>
  <si>
    <t>其他金属新材料</t>
  </si>
  <si>
    <t>www.lixinger.com/analytics/company/sz/000969/969/detail</t>
  </si>
  <si>
    <t>骆驼股份</t>
  </si>
  <si>
    <t>www.lixinger.com/analytics/company/sh/601311/601311/detail</t>
  </si>
  <si>
    <t>同仁堂</t>
  </si>
  <si>
    <t>www.lixinger.com/analytics/company/sh/600085/600085/detail</t>
  </si>
  <si>
    <t>辰安科技</t>
  </si>
  <si>
    <t>www.lixinger.com/analytics/company/sz/300523/300523/detail</t>
  </si>
  <si>
    <t>节能国祯</t>
  </si>
  <si>
    <t>www.lixinger.com/analytics/company/sz/300388/300388/detail</t>
  </si>
  <si>
    <t>南极电商</t>
  </si>
  <si>
    <t>电商服务</t>
  </si>
  <si>
    <t>www.lixinger.com/analytics/company/sz/002127/2127/detail</t>
  </si>
  <si>
    <t>赛伍技术</t>
  </si>
  <si>
    <t>www.lixinger.com/analytics/company/sh/603212/603212/detail</t>
  </si>
  <si>
    <t>锡业股份</t>
  </si>
  <si>
    <t>www.lixinger.com/analytics/company/sz/000960/960/detail</t>
  </si>
  <si>
    <t>博众精工</t>
  </si>
  <si>
    <t>其他自动化设备</t>
  </si>
  <si>
    <t>www.lixinger.com/analytics/company/sh/688097/688097/detail</t>
  </si>
  <si>
    <t>鄂尔多斯</t>
  </si>
  <si>
    <t>冶钢辅料</t>
  </si>
  <si>
    <t>www.lixinger.com/analytics/company/sh/600295/600295/detail</t>
  </si>
  <si>
    <t>华正新材</t>
  </si>
  <si>
    <t>www.lixinger.com/analytics/company/sh/603186/603186/detail</t>
  </si>
  <si>
    <t>珠海港</t>
  </si>
  <si>
    <t>www.lixinger.com/analytics/company/sz/000507/507/detail</t>
  </si>
  <si>
    <t>康恩贝</t>
  </si>
  <si>
    <t>www.lixinger.com/analytics/company/sh/600572/600572/detail</t>
  </si>
  <si>
    <t>新智认知</t>
  </si>
  <si>
    <t>www.lixinger.com/analytics/company/sh/603869/603869/detail</t>
  </si>
  <si>
    <t>新泉股份</t>
  </si>
  <si>
    <t>www.lixinger.com/analytics/company/sh/603179/603179/detail</t>
  </si>
  <si>
    <t>步长制药</t>
  </si>
  <si>
    <t>www.lixinger.com/analytics/company/sh/603858/603858/detail</t>
  </si>
  <si>
    <t>数字政通</t>
  </si>
  <si>
    <t>www.lixinger.com/analytics/company/sz/300075/300075/detail</t>
  </si>
  <si>
    <t>创世纪</t>
  </si>
  <si>
    <t>www.lixinger.com/analytics/company/sz/300083/300083/detail</t>
  </si>
  <si>
    <t>至纯科技</t>
  </si>
  <si>
    <t>www.lixinger.com/analytics/company/sh/603690/603690/detail</t>
  </si>
  <si>
    <t>南天信息</t>
  </si>
  <si>
    <t>www.lixinger.com/analytics/company/sz/000948/948/detail</t>
  </si>
  <si>
    <t>奥特佳</t>
  </si>
  <si>
    <t>www.lixinger.com/analytics/company/sz/002239/2239/detail</t>
  </si>
  <si>
    <t>英飞拓</t>
  </si>
  <si>
    <t>www.lixinger.com/analytics/company/sz/002528/2528/detail</t>
  </si>
  <si>
    <t>东方盛虹</t>
  </si>
  <si>
    <t>www.lixinger.com/analytics/company/sz/000301/301/detail</t>
  </si>
  <si>
    <t>南威软件</t>
  </si>
  <si>
    <t>www.lixinger.com/analytics/company/sh/603636/603636/detail</t>
  </si>
  <si>
    <t>三环集团</t>
  </si>
  <si>
    <t>www.lixinger.com/analytics/company/sz/300408/300408/detail</t>
  </si>
  <si>
    <t>高能环境</t>
  </si>
  <si>
    <t>www.lixinger.com/analytics/company/sh/603588/603588/detail</t>
  </si>
  <si>
    <t>盈趣科技</t>
  </si>
  <si>
    <t>www.lixinger.com/analytics/company/sz/002925/2925/detail</t>
  </si>
  <si>
    <t>豪美新材</t>
  </si>
  <si>
    <t>www.lixinger.com/analytics/company/sz/002988/2988/detail</t>
  </si>
  <si>
    <t>孚能科技</t>
  </si>
  <si>
    <t>www.lixinger.com/analytics/company/sh/688567/688567/detail</t>
  </si>
  <si>
    <t>新潮能源</t>
  </si>
  <si>
    <t>www.lixinger.com/analytics/company/sh/600777/600777/detail</t>
  </si>
  <si>
    <t>亚光科技</t>
  </si>
  <si>
    <t>www.lixinger.com/analytics/company/sz/300123/300123/detail</t>
  </si>
  <si>
    <t>万顺新材</t>
  </si>
  <si>
    <t>www.lixinger.com/analytics/company/sz/300057/300057/detail</t>
  </si>
  <si>
    <t>城发环境</t>
  </si>
  <si>
    <t>www.lixinger.com/analytics/company/sz/000885/885/detail</t>
  </si>
  <si>
    <t>振华新材</t>
  </si>
  <si>
    <t>www.lixinger.com/analytics/company/sh/688707/688707/detail</t>
  </si>
  <si>
    <t>招商公路</t>
  </si>
  <si>
    <t>www.lixinger.com/analytics/company/sz/001965/1965/detail</t>
  </si>
  <si>
    <t>万年青</t>
  </si>
  <si>
    <t>www.lixinger.com/analytics/company/sz/000789/789/detail</t>
  </si>
  <si>
    <t>诺力股份</t>
  </si>
  <si>
    <t>www.lixinger.com/analytics/company/sh/603611/603611/detail</t>
  </si>
  <si>
    <t>阳煤化工</t>
  </si>
  <si>
    <t>氮肥</t>
  </si>
  <si>
    <t>www.lixinger.com/analytics/company/sh/600691/600691/detail</t>
  </si>
  <si>
    <t>一拖股份</t>
  </si>
  <si>
    <t>农用机械</t>
  </si>
  <si>
    <t>www.lixinger.com/analytics/company/sh/601038/601038/detail</t>
  </si>
  <si>
    <t>润和软件</t>
  </si>
  <si>
    <t>www.lixinger.com/analytics/company/sz/300339/300339/detail</t>
  </si>
  <si>
    <t>昇兴股份</t>
  </si>
  <si>
    <t>www.lixinger.com/analytics/company/sz/002752/2752/detail</t>
  </si>
  <si>
    <t>梦百合</t>
  </si>
  <si>
    <t>www.lixinger.com/analytics/company/sh/603313/603313/detail</t>
  </si>
  <si>
    <t>博世科</t>
  </si>
  <si>
    <t>www.lixinger.com/analytics/company/sz/300422/300422/detail</t>
  </si>
  <si>
    <t>盛和资源</t>
  </si>
  <si>
    <t>www.lixinger.com/analytics/company/sh/600392/600392/detail</t>
  </si>
  <si>
    <t>风语筑</t>
  </si>
  <si>
    <t>其他数字媒体</t>
  </si>
  <si>
    <t>www.lixinger.com/analytics/company/sh/603466/603466/detail</t>
  </si>
  <si>
    <t>福然德</t>
  </si>
  <si>
    <t>www.lixinger.com/analytics/company/sh/605050/605050/detail</t>
  </si>
  <si>
    <t>郑州煤电</t>
  </si>
  <si>
    <t>www.lixinger.com/analytics/company/sh/600121/600121/detail</t>
  </si>
  <si>
    <t>海力风电</t>
  </si>
  <si>
    <t>www.lixinger.com/analytics/company/sz/301155/301155/detail</t>
  </si>
  <si>
    <t>华孚时尚</t>
  </si>
  <si>
    <t>棉纺</t>
  </si>
  <si>
    <t>www.lixinger.com/analytics/company/sz/002042/2042/detail</t>
  </si>
  <si>
    <t>中文传媒</t>
  </si>
  <si>
    <t>www.lixinger.com/analytics/company/sh/600373/600373/detail</t>
  </si>
  <si>
    <t>宁波韵升</t>
  </si>
  <si>
    <t>www.lixinger.com/analytics/company/sh/600366/600366/detail</t>
  </si>
  <si>
    <t>聚光科技</t>
  </si>
  <si>
    <t>www.lixinger.com/analytics/company/sz/300203/300203/detail</t>
  </si>
  <si>
    <t>金龙羽</t>
  </si>
  <si>
    <t>www.lixinger.com/analytics/company/sz/002882/2882/detail</t>
  </si>
  <si>
    <t>奥海科技</t>
  </si>
  <si>
    <t>www.lixinger.com/analytics/company/sz/002993/2993/detail</t>
  </si>
  <si>
    <t>海联金汇</t>
  </si>
  <si>
    <t>www.lixinger.com/analytics/company/sz/002537/2537/detail</t>
  </si>
  <si>
    <t>科沃斯</t>
  </si>
  <si>
    <t>www.lixinger.com/analytics/company/sh/603486/603486/detail</t>
  </si>
  <si>
    <t>众合科技</t>
  </si>
  <si>
    <t>www.lixinger.com/analytics/company/sz/000925/925/detail</t>
  </si>
  <si>
    <t>友发集团</t>
  </si>
  <si>
    <t>www.lixinger.com/analytics/company/sh/601686/601686/detail</t>
  </si>
  <si>
    <t>华峰铝业</t>
  </si>
  <si>
    <t>www.lixinger.com/analytics/company/sh/601702/601702/detail</t>
  </si>
  <si>
    <t>华大基因</t>
  </si>
  <si>
    <t>www.lixinger.com/analytics/company/sz/300676/300676/detail</t>
  </si>
  <si>
    <t>鼎汉技术</t>
  </si>
  <si>
    <t>www.lixinger.com/analytics/company/sz/300011/300011/detail</t>
  </si>
  <si>
    <t>华侨城Ａ</t>
  </si>
  <si>
    <t>www.lixinger.com/analytics/company/sz/000069/69/detail</t>
  </si>
  <si>
    <t>三聚环保</t>
  </si>
  <si>
    <t>www.lixinger.com/analytics/company/sz/300072/300072/detail</t>
  </si>
  <si>
    <t>崇达技术</t>
  </si>
  <si>
    <t>www.lixinger.com/analytics/company/sz/002815/2815/detail</t>
  </si>
  <si>
    <t>康龙化成</t>
  </si>
  <si>
    <t>www.lixinger.com/analytics/company/sz/300759/300759/detail</t>
  </si>
  <si>
    <t>西子洁能</t>
  </si>
  <si>
    <t>火电设备</t>
  </si>
  <si>
    <t>www.lixinger.com/analytics/company/sz/002534/2534/detail</t>
  </si>
  <si>
    <t>亚盛集团</t>
  </si>
  <si>
    <t>其他种植业</t>
  </si>
  <si>
    <t>www.lixinger.com/analytics/company/sh/600108/600108/detail</t>
  </si>
  <si>
    <t>伟明环保</t>
  </si>
  <si>
    <t>www.lixinger.com/analytics/company/sh/603568/603568/detail</t>
  </si>
  <si>
    <t>国信证券</t>
  </si>
  <si>
    <t>www.lixinger.com/analytics/company/sz/002736/2736/detail</t>
  </si>
  <si>
    <t>科陆电子</t>
  </si>
  <si>
    <t>www.lixinger.com/analytics/company/sz/002121/2121/detail</t>
  </si>
  <si>
    <t>京山轻机</t>
  </si>
  <si>
    <t>印刷包装机械</t>
  </si>
  <si>
    <t>www.lixinger.com/analytics/company/sz/000821/821/detail</t>
  </si>
  <si>
    <t>日月股份</t>
  </si>
  <si>
    <t>www.lixinger.com/analytics/company/sh/603218/603218/detail</t>
  </si>
  <si>
    <t>安洁科技</t>
  </si>
  <si>
    <t>www.lixinger.com/analytics/company/sz/002635/2635/detail</t>
  </si>
  <si>
    <t>苏州科达</t>
  </si>
  <si>
    <t>www.lixinger.com/analytics/company/sh/603660/603660/detail</t>
  </si>
  <si>
    <t>河钢资源</t>
  </si>
  <si>
    <t>铁矿石</t>
  </si>
  <si>
    <t>www.lixinger.com/analytics/company/sz/000923/923/detail</t>
  </si>
  <si>
    <t>拓日新能</t>
  </si>
  <si>
    <t>www.lixinger.com/analytics/company/sz/002218/2218/detail</t>
  </si>
  <si>
    <t>梦网科技</t>
  </si>
  <si>
    <t>www.lixinger.com/analytics/company/sz/002123/2123/detail</t>
  </si>
  <si>
    <t>金鹰重工</t>
  </si>
  <si>
    <t>www.lixinger.com/analytics/company/sz/301048/301048/detail</t>
  </si>
  <si>
    <t>金山股份</t>
  </si>
  <si>
    <t>www.lixinger.com/analytics/company/sh/600396/600396/detail</t>
  </si>
  <si>
    <t>杭叉集团</t>
  </si>
  <si>
    <t>www.lixinger.com/analytics/company/sh/603298/603298/detail</t>
  </si>
  <si>
    <t>拓斯达</t>
  </si>
  <si>
    <t>机器人</t>
  </si>
  <si>
    <t>www.lixinger.com/analytics/company/sz/300607/300607/detail</t>
  </si>
  <si>
    <t>博威合金</t>
  </si>
  <si>
    <t>www.lixinger.com/analytics/company/sh/601137/601137/detail</t>
  </si>
  <si>
    <t>雷科防务</t>
  </si>
  <si>
    <t>www.lixinger.com/analytics/company/sz/002413/2413/detail</t>
  </si>
  <si>
    <t>申达股份</t>
  </si>
  <si>
    <t>www.lixinger.com/analytics/company/sh/600626/600626/detail</t>
  </si>
  <si>
    <t>大北农</t>
  </si>
  <si>
    <t>畜禽饲料</t>
  </si>
  <si>
    <t>www.lixinger.com/analytics/company/sz/002385/2385/detail</t>
  </si>
  <si>
    <t>金盘科技</t>
  </si>
  <si>
    <t>www.lixinger.com/analytics/company/sh/688676/688676/detail</t>
  </si>
  <si>
    <t>模塑科技</t>
  </si>
  <si>
    <t>www.lixinger.com/analytics/company/sz/000700/700/detail</t>
  </si>
  <si>
    <t>华新水泥</t>
  </si>
  <si>
    <t>www.lixinger.com/analytics/company/sh/600801/600801/detail</t>
  </si>
  <si>
    <t>航天宏图</t>
  </si>
  <si>
    <t>www.lixinger.com/analytics/company/sh/688066/688066/detail</t>
  </si>
  <si>
    <t>华荣股份</t>
  </si>
  <si>
    <t>www.lixinger.com/analytics/company/sh/603855/603855/detail</t>
  </si>
  <si>
    <t>普邦股份</t>
  </si>
  <si>
    <t>www.lixinger.com/analytics/company/sz/002663/2663/detail</t>
  </si>
  <si>
    <t>威海广泰</t>
  </si>
  <si>
    <t>www.lixinger.com/analytics/company/sz/002111/2111/detail</t>
  </si>
  <si>
    <t>中际旭创</t>
  </si>
  <si>
    <t>www.lixinger.com/analytics/company/sz/300308/300308/detail</t>
  </si>
  <si>
    <t>厦门港务</t>
  </si>
  <si>
    <t>www.lixinger.com/analytics/company/sz/000905/905/detail</t>
  </si>
  <si>
    <t>会通股份</t>
  </si>
  <si>
    <t>www.lixinger.com/analytics/company/sh/688219/688219/detail</t>
  </si>
  <si>
    <t>经纬纺机</t>
  </si>
  <si>
    <t>信托</t>
  </si>
  <si>
    <t>www.lixinger.com/analytics/company/sz/000666/666/detail</t>
  </si>
  <si>
    <t>益丰药房</t>
  </si>
  <si>
    <t>www.lixinger.com/analytics/company/sh/603939/603939/detail</t>
  </si>
  <si>
    <t>中泰证券</t>
  </si>
  <si>
    <t>www.lixinger.com/analytics/company/sh/600918/600918/detail</t>
  </si>
  <si>
    <t>马钢股份</t>
  </si>
  <si>
    <t>www.lixinger.com/analytics/company/sh/600808/600808/detail</t>
  </si>
  <si>
    <t>浙版传媒</t>
  </si>
  <si>
    <t>www.lixinger.com/analytics/company/sh/601921/601921/detail</t>
  </si>
  <si>
    <t>捷成股份</t>
  </si>
  <si>
    <t>www.lixinger.com/analytics/company/sz/300182/300182/detail</t>
  </si>
  <si>
    <t>汉得信息</t>
  </si>
  <si>
    <t>www.lixinger.com/analytics/company/sz/300170/300170/detail</t>
  </si>
  <si>
    <t>国恩股份</t>
  </si>
  <si>
    <t>www.lixinger.com/analytics/company/sz/002768/2768/detail</t>
  </si>
  <si>
    <t>兰卫医学</t>
  </si>
  <si>
    <t>www.lixinger.com/analytics/company/sz/301060/301060/detail</t>
  </si>
  <si>
    <t>青龙管业</t>
  </si>
  <si>
    <t>www.lixinger.com/analytics/company/sz/002457/2457/detail</t>
  </si>
  <si>
    <t>天华超净</t>
  </si>
  <si>
    <t>www.lixinger.com/analytics/company/sz/300390/300390/detail</t>
  </si>
  <si>
    <t>瓦轴B</t>
  </si>
  <si>
    <t>www.lixinger.com/analytics/company/sz/200706/200706/detail</t>
  </si>
  <si>
    <t>西陇科学</t>
  </si>
  <si>
    <t>电子化学品</t>
  </si>
  <si>
    <t>www.lixinger.com/analytics/company/sz/002584/2584/detail</t>
  </si>
  <si>
    <t>博腾股份</t>
  </si>
  <si>
    <t>www.lixinger.com/analytics/company/sz/300363/300363/detail</t>
  </si>
  <si>
    <t>康盛股份</t>
  </si>
  <si>
    <t>www.lixinger.com/analytics/company/sz/002418/2418/detail</t>
  </si>
  <si>
    <t>仙鹤股份</t>
  </si>
  <si>
    <t>特种纸</t>
  </si>
  <si>
    <t>www.lixinger.com/analytics/company/sh/603733/603733/detail</t>
  </si>
  <si>
    <t>久盛电气</t>
  </si>
  <si>
    <t>www.lixinger.com/analytics/company/sz/301082/301082/detail</t>
  </si>
  <si>
    <t>兴源环境</t>
  </si>
  <si>
    <t>www.lixinger.com/analytics/company/sz/300266/300266/detail</t>
  </si>
  <si>
    <t>科大智能</t>
  </si>
  <si>
    <t>www.lixinger.com/analytics/company/sz/300222/300222/detail</t>
  </si>
  <si>
    <t>北大医药</t>
  </si>
  <si>
    <t>www.lixinger.com/analytics/company/sz/000788/788/detail</t>
  </si>
  <si>
    <t>捷佳伟创</t>
  </si>
  <si>
    <t>www.lixinger.com/analytics/company/sz/300724/300724/detail</t>
  </si>
  <si>
    <t>盾安环境</t>
  </si>
  <si>
    <t>www.lixinger.com/analytics/company/sz/002011/2011/detail</t>
  </si>
  <si>
    <t>国光电器</t>
  </si>
  <si>
    <t>www.lixinger.com/analytics/company/sz/002045/2045/detail</t>
  </si>
  <si>
    <t>*ST华源</t>
  </si>
  <si>
    <t>www.lixinger.com/analytics/company/sh/600726/600726/detail</t>
  </si>
  <si>
    <t>京蓝科技</t>
  </si>
  <si>
    <t>www.lixinger.com/analytics/company/sz/000711/711/detail</t>
  </si>
  <si>
    <t>南京熊猫</t>
  </si>
  <si>
    <t>www.lixinger.com/analytics/company/sh/600775/600775/detail</t>
  </si>
  <si>
    <t>诚志股份</t>
  </si>
  <si>
    <t>www.lixinger.com/analytics/company/sz/000990/990/detail</t>
  </si>
  <si>
    <t>远大控股</t>
  </si>
  <si>
    <t>www.lixinger.com/analytics/company/sz/000626/626/detail</t>
  </si>
  <si>
    <t>东宏股份</t>
  </si>
  <si>
    <t>www.lixinger.com/analytics/company/sh/603856/603856/detail</t>
  </si>
  <si>
    <t>贵州轮胎</t>
  </si>
  <si>
    <t>www.lixinger.com/analytics/company/sz/000589/589/detail</t>
  </si>
  <si>
    <t>恒华科技</t>
  </si>
  <si>
    <t>www.lixinger.com/analytics/company/sz/300365/300365/detail</t>
  </si>
  <si>
    <t>中科创达</t>
  </si>
  <si>
    <t>www.lixinger.com/analytics/company/sz/300496/300496/detail</t>
  </si>
  <si>
    <t>东北证券</t>
  </si>
  <si>
    <t>www.lixinger.com/analytics/company/sz/000686/686/detail</t>
  </si>
  <si>
    <t>万和电气</t>
  </si>
  <si>
    <t>卫浴电器</t>
  </si>
  <si>
    <t>www.lixinger.com/analytics/company/sz/002543/2543/detail</t>
  </si>
  <si>
    <t>三峡水利</t>
  </si>
  <si>
    <t>www.lixinger.com/analytics/company/sh/600116/600116/detail</t>
  </si>
  <si>
    <t>冰轮环境</t>
  </si>
  <si>
    <t>制冷空调设备</t>
  </si>
  <si>
    <t>www.lixinger.com/analytics/company/sz/000811/811/detail</t>
  </si>
  <si>
    <t>创意信息</t>
  </si>
  <si>
    <t>www.lixinger.com/analytics/company/sz/300366/300366/detail</t>
  </si>
  <si>
    <t>扬杰科技</t>
  </si>
  <si>
    <t>www.lixinger.com/analytics/company/sz/300373/300373/detail</t>
  </si>
  <si>
    <t>皖新传媒</t>
  </si>
  <si>
    <t>www.lixinger.com/analytics/company/sh/601801/601801/detail</t>
  </si>
  <si>
    <t>康德莱</t>
  </si>
  <si>
    <t>www.lixinger.com/analytics/company/sh/603987/603987/detail</t>
  </si>
  <si>
    <t>胜利精密</t>
  </si>
  <si>
    <t>www.lixinger.com/analytics/company/sz/002426/2426/detail</t>
  </si>
  <si>
    <t>兔宝宝</t>
  </si>
  <si>
    <t>www.lixinger.com/analytics/company/sz/002043/2043/detail</t>
  </si>
  <si>
    <t>恒力石化</t>
  </si>
  <si>
    <t>www.lixinger.com/analytics/company/sh/600346/600346/detail</t>
  </si>
  <si>
    <t>华西能源</t>
  </si>
  <si>
    <t>www.lixinger.com/analytics/company/sz/002630/2630/detail</t>
  </si>
  <si>
    <t>云南能投</t>
  </si>
  <si>
    <t>无机盐</t>
  </si>
  <si>
    <t>www.lixinger.com/analytics/company/sz/002053/2053/detail</t>
  </si>
  <si>
    <t>大金重工</t>
  </si>
  <si>
    <t>www.lixinger.com/analytics/company/sz/002487/2487/detail</t>
  </si>
  <si>
    <t>华兰疫苗</t>
  </si>
  <si>
    <t>www.lixinger.com/analytics/company/sz/301207/301207/detail</t>
  </si>
  <si>
    <t>长江传媒</t>
  </si>
  <si>
    <t>www.lixinger.com/analytics/company/sh/600757/600757/detail</t>
  </si>
  <si>
    <t>证通电子</t>
  </si>
  <si>
    <t>www.lixinger.com/analytics/company/sz/002197/2197/detail</t>
  </si>
  <si>
    <t>兰石重装</t>
  </si>
  <si>
    <t>www.lixinger.com/analytics/company/sh/603169/603169/detail</t>
  </si>
  <si>
    <t>南玻Ｂ</t>
  </si>
  <si>
    <t>www.lixinger.com/analytics/company/sz/200012/200012/detail</t>
  </si>
  <si>
    <t>山煤国际</t>
  </si>
  <si>
    <t>www.lixinger.com/analytics/company/sh/600546/600546/detail</t>
  </si>
  <si>
    <t>天音控股</t>
  </si>
  <si>
    <t>www.lixinger.com/analytics/company/sz/000829/829/detail</t>
  </si>
  <si>
    <t>SST佳通</t>
  </si>
  <si>
    <t>www.lixinger.com/analytics/company/sh/600182/600182/detail</t>
  </si>
  <si>
    <t>凯盛科技</t>
  </si>
  <si>
    <t>www.lixinger.com/analytics/company/sh/600552/600552/detail</t>
  </si>
  <si>
    <t>豫园股份</t>
  </si>
  <si>
    <t>www.lixinger.com/analytics/company/sh/600655/600655/detail</t>
  </si>
  <si>
    <t>双星新材</t>
  </si>
  <si>
    <t>膜材料</t>
  </si>
  <si>
    <t>www.lixinger.com/analytics/company/sz/002585/2585/detail</t>
  </si>
  <si>
    <t>航天科技</t>
  </si>
  <si>
    <t>www.lixinger.com/analytics/company/sz/000901/901/detail</t>
  </si>
  <si>
    <t>宇信科技</t>
  </si>
  <si>
    <t>www.lixinger.com/analytics/company/sz/300674/300674/detail</t>
  </si>
  <si>
    <t>神剑股份</t>
  </si>
  <si>
    <t>www.lixinger.com/analytics/company/sz/002361/2361/detail</t>
  </si>
  <si>
    <t>精测电子</t>
  </si>
  <si>
    <t>仪器仪表</t>
  </si>
  <si>
    <t>www.lixinger.com/analytics/company/sz/300567/300567/detail</t>
  </si>
  <si>
    <t>浙江富润</t>
  </si>
  <si>
    <t>www.lixinger.com/analytics/company/sh/600070/600070/detail</t>
  </si>
  <si>
    <t>奥士康</t>
  </si>
  <si>
    <t>www.lixinger.com/analytics/company/sz/002913/2913/detail</t>
  </si>
  <si>
    <t>飞乐音响</t>
  </si>
  <si>
    <t>www.lixinger.com/analytics/company/sh/600651/600651/detail</t>
  </si>
  <si>
    <t>贵州燃气</t>
  </si>
  <si>
    <t>www.lixinger.com/analytics/company/sh/600903/600903/detail</t>
  </si>
  <si>
    <t>星期六</t>
  </si>
  <si>
    <t>www.lixinger.com/analytics/company/sz/002291/2291/detail</t>
  </si>
  <si>
    <t>上海机场</t>
  </si>
  <si>
    <t>www.lixinger.com/analytics/company/sh/600009/600009/detail</t>
  </si>
  <si>
    <t>天铁股份</t>
  </si>
  <si>
    <t>其他橡胶制品</t>
  </si>
  <si>
    <t>www.lixinger.com/analytics/company/sz/300587/300587/detail</t>
  </si>
  <si>
    <t>龙蟠科技</t>
  </si>
  <si>
    <t>www.lixinger.com/analytics/company/sh/603906/603906/detail</t>
  </si>
  <si>
    <t>双良节能</t>
  </si>
  <si>
    <t>www.lixinger.com/analytics/company/sh/600481/600481/detail</t>
  </si>
  <si>
    <t>道氏技术</t>
  </si>
  <si>
    <t>www.lixinger.com/analytics/company/sz/300409/300409/detail</t>
  </si>
  <si>
    <t>广誉远</t>
  </si>
  <si>
    <t>www.lixinger.com/analytics/company/sh/600771/600771/detail</t>
  </si>
  <si>
    <t>航天晨光</t>
  </si>
  <si>
    <t>www.lixinger.com/analytics/company/sh/600501/600501/detail</t>
  </si>
  <si>
    <t>法本信息</t>
  </si>
  <si>
    <t>www.lixinger.com/analytics/company/sz/300925/300925/detail</t>
  </si>
  <si>
    <t>文灿股份</t>
  </si>
  <si>
    <t>www.lixinger.com/analytics/company/sh/603348/603348/detail</t>
  </si>
  <si>
    <t>香雪制药</t>
  </si>
  <si>
    <t>www.lixinger.com/analytics/company/sz/300147/300147/detail</t>
  </si>
  <si>
    <t>中创物流</t>
  </si>
  <si>
    <t>www.lixinger.com/analytics/company/sh/603967/603967/detail</t>
  </si>
  <si>
    <t>安旭生物</t>
  </si>
  <si>
    <t>www.lixinger.com/analytics/company/sh/688075/688075/detail</t>
  </si>
  <si>
    <t>汇通集团</t>
  </si>
  <si>
    <t>www.lixinger.com/analytics/company/sh/603176/603176/detail</t>
  </si>
  <si>
    <t>杰克股份</t>
  </si>
  <si>
    <t>www.lixinger.com/analytics/company/sh/603337/603337/detail</t>
  </si>
  <si>
    <t>蒙娜丽莎</t>
  </si>
  <si>
    <t>www.lixinger.com/analytics/company/sz/002918/2918/detail</t>
  </si>
  <si>
    <t>长城电工</t>
  </si>
  <si>
    <t>www.lixinger.com/analytics/company/sh/600192/600192/detail</t>
  </si>
  <si>
    <t>永鼎股份</t>
  </si>
  <si>
    <t>www.lixinger.com/analytics/company/sh/600105/600105/detail</t>
  </si>
  <si>
    <t>喜临门</t>
  </si>
  <si>
    <t>www.lixinger.com/analytics/company/sh/603008/603008/detail</t>
  </si>
  <si>
    <t>天桥起重</t>
  </si>
  <si>
    <t>www.lixinger.com/analytics/company/sz/002523/2523/detail</t>
  </si>
  <si>
    <t>华东重机</t>
  </si>
  <si>
    <t>机床工具</t>
  </si>
  <si>
    <t>www.lixinger.com/analytics/company/sz/002685/2685/detail</t>
  </si>
  <si>
    <t>ST奇信</t>
  </si>
  <si>
    <t>www.lixinger.com/analytics/company/sz/002781/2781/detail</t>
  </si>
  <si>
    <t>江山股份</t>
  </si>
  <si>
    <t>www.lixinger.com/analytics/company/sh/600389/600389/detail</t>
  </si>
  <si>
    <t>亚普股份</t>
  </si>
  <si>
    <t>www.lixinger.com/analytics/company/sh/603013/603013/detail</t>
  </si>
  <si>
    <t>烽火电子</t>
  </si>
  <si>
    <t>www.lixinger.com/analytics/company/sz/000561/561/detail</t>
  </si>
  <si>
    <t>巨化股份</t>
  </si>
  <si>
    <t>www.lixinger.com/analytics/company/sh/600160/600160/detail</t>
  </si>
  <si>
    <t>银龙股份</t>
  </si>
  <si>
    <t>www.lixinger.com/analytics/company/sh/603969/603969/detail</t>
  </si>
  <si>
    <t>海达股份</t>
  </si>
  <si>
    <t>www.lixinger.com/analytics/company/sz/300320/300320/detail</t>
  </si>
  <si>
    <t>ST方科</t>
  </si>
  <si>
    <t>www.lixinger.com/analytics/company/sh/600601/600601/detail</t>
  </si>
  <si>
    <t>上海家化</t>
  </si>
  <si>
    <t>品牌化妆品</t>
  </si>
  <si>
    <t>www.lixinger.com/analytics/company/sh/600315/600315/detail</t>
  </si>
  <si>
    <t>园林股份</t>
  </si>
  <si>
    <t>www.lixinger.com/analytics/company/sh/605303/605303/detail</t>
  </si>
  <si>
    <t>南京新百</t>
  </si>
  <si>
    <t>www.lixinger.com/analytics/company/sh/600682/600682/detail</t>
  </si>
  <si>
    <t>交控科技</t>
  </si>
  <si>
    <t>www.lixinger.com/analytics/company/sh/688015/688015/detail</t>
  </si>
  <si>
    <t>中海达</t>
  </si>
  <si>
    <t>www.lixinger.com/analytics/company/sz/300177/300177/detail</t>
  </si>
  <si>
    <t>金卡智能</t>
  </si>
  <si>
    <t>www.lixinger.com/analytics/company/sz/300349/300349/detail</t>
  </si>
  <si>
    <t>通达股份</t>
  </si>
  <si>
    <t>www.lixinger.com/analytics/company/sz/002560/2560/detail</t>
  </si>
  <si>
    <t>沪光股份</t>
  </si>
  <si>
    <t>www.lixinger.com/analytics/company/sh/605333/605333/detail</t>
  </si>
  <si>
    <t>美晨生态</t>
  </si>
  <si>
    <t>www.lixinger.com/analytics/company/sz/300237/300237/detail</t>
  </si>
  <si>
    <t>东鹏控股</t>
  </si>
  <si>
    <t>www.lixinger.com/analytics/company/sz/003012/3012/detail</t>
  </si>
  <si>
    <t>三元股份</t>
  </si>
  <si>
    <t>www.lixinger.com/analytics/company/sh/600429/600429/detail</t>
  </si>
  <si>
    <t>三圣股份</t>
  </si>
  <si>
    <t>www.lixinger.com/analytics/company/sz/002742/2742/detail</t>
  </si>
  <si>
    <t>长城军工</t>
  </si>
  <si>
    <t>www.lixinger.com/analytics/company/sh/601606/601606/detail</t>
  </si>
  <si>
    <t>天士力</t>
  </si>
  <si>
    <t>www.lixinger.com/analytics/company/sh/600535/600535/detail</t>
  </si>
  <si>
    <t>英洛华</t>
  </si>
  <si>
    <t>www.lixinger.com/analytics/company/sz/000795/795/detail</t>
  </si>
  <si>
    <t>江海股份</t>
  </si>
  <si>
    <t>www.lixinger.com/analytics/company/sz/002484/2484/detail</t>
  </si>
  <si>
    <t>飞利信</t>
  </si>
  <si>
    <t>www.lixinger.com/analytics/company/sz/300287/300287/detail</t>
  </si>
  <si>
    <t>软控股份</t>
  </si>
  <si>
    <t>www.lixinger.com/analytics/company/sz/002073/2073/detail</t>
  </si>
  <si>
    <t>ST远程</t>
  </si>
  <si>
    <t>www.lixinger.com/analytics/company/sz/002692/2692/detail</t>
  </si>
  <si>
    <t>大业股份</t>
  </si>
  <si>
    <t>www.lixinger.com/analytics/company/sh/603278/603278/detail</t>
  </si>
  <si>
    <t>中富通</t>
  </si>
  <si>
    <t>www.lixinger.com/analytics/company/sz/300560/300560/detail</t>
  </si>
  <si>
    <t>恒立液压</t>
  </si>
  <si>
    <t>工程机械器件</t>
  </si>
  <si>
    <t>www.lixinger.com/analytics/company/sh/601100/601100/detail</t>
  </si>
  <si>
    <t>鼎信通讯</t>
  </si>
  <si>
    <t>www.lixinger.com/analytics/company/sh/603421/603421/detail</t>
  </si>
  <si>
    <t>正平股份</t>
  </si>
  <si>
    <t>www.lixinger.com/analytics/company/sh/603843/603843/detail</t>
  </si>
  <si>
    <t>华润微</t>
  </si>
  <si>
    <t>集成电路制造</t>
  </si>
  <si>
    <t>www.lixinger.com/analytics/company/sh/688396/688396/detail</t>
  </si>
  <si>
    <t>中天金融</t>
  </si>
  <si>
    <t>www.lixinger.com/analytics/company/sz/000540/540/detail</t>
  </si>
  <si>
    <t>松芝股份</t>
  </si>
  <si>
    <t>www.lixinger.com/analytics/company/sz/002454/2454/detail</t>
  </si>
  <si>
    <t>多氟多</t>
  </si>
  <si>
    <t>www.lixinger.com/analytics/company/sz/002407/2407/detail</t>
  </si>
  <si>
    <t>和而泰</t>
  </si>
  <si>
    <t>www.lixinger.com/analytics/company/sz/002402/2402/detail</t>
  </si>
  <si>
    <t>顺钠股份</t>
  </si>
  <si>
    <t>www.lixinger.com/analytics/company/sz/000533/533/detail</t>
  </si>
  <si>
    <t>城投控股</t>
  </si>
  <si>
    <t>www.lixinger.com/analytics/company/sh/600649/600649/detail</t>
  </si>
  <si>
    <t>亿帆医药</t>
  </si>
  <si>
    <t>www.lixinger.com/analytics/company/sz/002019/2019/detail</t>
  </si>
  <si>
    <t>曲江文旅</t>
  </si>
  <si>
    <t>www.lixinger.com/analytics/company/sh/600706/600706/detail</t>
  </si>
  <si>
    <t>闰土股份</t>
  </si>
  <si>
    <t>www.lixinger.com/analytics/company/sz/002440/2440/detail</t>
  </si>
  <si>
    <t>恺英网络</t>
  </si>
  <si>
    <t>www.lixinger.com/analytics/company/sz/002517/2517/detail</t>
  </si>
  <si>
    <t>伯特利</t>
  </si>
  <si>
    <t>www.lixinger.com/analytics/company/sh/603596/603596/detail</t>
  </si>
  <si>
    <t>中国武夷</t>
  </si>
  <si>
    <t>www.lixinger.com/analytics/company/sz/000797/797/detail</t>
  </si>
  <si>
    <t>京北方</t>
  </si>
  <si>
    <t>www.lixinger.com/analytics/company/sz/002987/2987/detail</t>
  </si>
  <si>
    <t>科恒股份</t>
  </si>
  <si>
    <t>www.lixinger.com/analytics/company/sz/300340/300340/detail</t>
  </si>
  <si>
    <t>禾丰股份</t>
  </si>
  <si>
    <t>www.lixinger.com/analytics/company/sh/603609/603609/detail</t>
  </si>
  <si>
    <t>华帝股份</t>
  </si>
  <si>
    <t>www.lixinger.com/analytics/company/sz/002035/2035/detail</t>
  </si>
  <si>
    <t>新强联</t>
  </si>
  <si>
    <t>www.lixinger.com/analytics/company/sz/300850/300850/detail</t>
  </si>
  <si>
    <t>美盈森</t>
  </si>
  <si>
    <t>www.lixinger.com/analytics/company/sz/002303/2303/detail</t>
  </si>
  <si>
    <t>甘咨询</t>
  </si>
  <si>
    <t>www.lixinger.com/analytics/company/sz/000779/779/detail</t>
  </si>
  <si>
    <t>三维股份</t>
  </si>
  <si>
    <t>www.lixinger.com/analytics/company/sh/603033/603033/detail</t>
  </si>
  <si>
    <t>贝瑞基因</t>
  </si>
  <si>
    <t>www.lixinger.com/analytics/company/sz/000710/710/detail</t>
  </si>
  <si>
    <t>海澜之家</t>
  </si>
  <si>
    <t>www.lixinger.com/analytics/company/sh/600398/600398/detail</t>
  </si>
  <si>
    <t>森特股份</t>
  </si>
  <si>
    <t>www.lixinger.com/analytics/company/sh/603098/603098/detail</t>
  </si>
  <si>
    <t>白银有色</t>
  </si>
  <si>
    <t>白银</t>
  </si>
  <si>
    <t>www.lixinger.com/analytics/company/sh/601212/601212/detail</t>
  </si>
  <si>
    <t>海容冷链</t>
  </si>
  <si>
    <t>www.lixinger.com/analytics/company/sh/603187/603187/detail</t>
  </si>
  <si>
    <t>佛燃能源</t>
  </si>
  <si>
    <t>www.lixinger.com/analytics/company/sz/002911/2911/detail</t>
  </si>
  <si>
    <t>东方电子</t>
  </si>
  <si>
    <t>www.lixinger.com/analytics/company/sz/000682/682/detail</t>
  </si>
  <si>
    <t>中控技术</t>
  </si>
  <si>
    <t>www.lixinger.com/analytics/company/sh/688777/688777/detail</t>
  </si>
  <si>
    <t>天润工业</t>
  </si>
  <si>
    <t>www.lixinger.com/analytics/company/sz/002283/2283/detail</t>
  </si>
  <si>
    <t>ST奥马</t>
  </si>
  <si>
    <t>www.lixinger.com/analytics/company/sz/002668/2668/detail</t>
  </si>
  <si>
    <t>我爱我家</t>
  </si>
  <si>
    <t>www.lixinger.com/analytics/company/sz/000560/560/detail</t>
  </si>
  <si>
    <t>科林电气</t>
  </si>
  <si>
    <t>www.lixinger.com/analytics/company/sh/603050/603050/detail</t>
  </si>
  <si>
    <t>中粮科技</t>
  </si>
  <si>
    <t>其他农产品加工</t>
  </si>
  <si>
    <t>www.lixinger.com/analytics/company/sz/000930/930/detail</t>
  </si>
  <si>
    <t>远光软件</t>
  </si>
  <si>
    <t>www.lixinger.com/analytics/company/sz/002063/2063/detail</t>
  </si>
  <si>
    <t>中科电气</t>
  </si>
  <si>
    <t>www.lixinger.com/analytics/company/sz/300035/300035/detail</t>
  </si>
  <si>
    <t>银星能源</t>
  </si>
  <si>
    <t>www.lixinger.com/analytics/company/sz/000862/862/detail</t>
  </si>
  <si>
    <t>世运电路</t>
  </si>
  <si>
    <t>www.lixinger.com/analytics/company/sh/603920/603920/detail</t>
  </si>
  <si>
    <t>弘信电子</t>
  </si>
  <si>
    <t>www.lixinger.com/analytics/company/sz/300657/300657/detail</t>
  </si>
  <si>
    <t>广和通</t>
  </si>
  <si>
    <t>www.lixinger.com/analytics/company/sz/300638/300638/detail</t>
  </si>
  <si>
    <t>嘉寓股份</t>
  </si>
  <si>
    <t>www.lixinger.com/analytics/company/sz/300117/300117/detail</t>
  </si>
  <si>
    <t>长江证券</t>
  </si>
  <si>
    <t>www.lixinger.com/analytics/company/sz/000783/783/detail</t>
  </si>
  <si>
    <t>新乡化纤</t>
  </si>
  <si>
    <t>www.lixinger.com/analytics/company/sz/000949/949/detail</t>
  </si>
  <si>
    <t>海优新材</t>
  </si>
  <si>
    <t>www.lixinger.com/analytics/company/sh/688680/688680/detail</t>
  </si>
  <si>
    <t>尚纬股份</t>
  </si>
  <si>
    <t>www.lixinger.com/analytics/company/sh/603333/603333/detail</t>
  </si>
  <si>
    <t>通鼎互联</t>
  </si>
  <si>
    <t>www.lixinger.com/analytics/company/sz/002491/2491/detail</t>
  </si>
  <si>
    <t>禾望电气</t>
  </si>
  <si>
    <t>www.lixinger.com/analytics/company/sh/603063/603063/detail</t>
  </si>
  <si>
    <t>中兵红箭</t>
  </si>
  <si>
    <t>www.lixinger.com/analytics/company/sz/000519/519/detail</t>
  </si>
  <si>
    <t>巨力索具</t>
  </si>
  <si>
    <t>www.lixinger.com/analytics/company/sz/002342/2342/detail</t>
  </si>
  <si>
    <t>新点软件</t>
  </si>
  <si>
    <t>www.lixinger.com/analytics/company/sh/688232/688232/detail</t>
  </si>
  <si>
    <t>陆家嘴</t>
  </si>
  <si>
    <t>www.lixinger.com/analytics/company/sh/600663/600663/detail</t>
  </si>
  <si>
    <t>华兴源创</t>
  </si>
  <si>
    <t>www.lixinger.com/analytics/company/sh/688001/688001/detail</t>
  </si>
  <si>
    <t>中京电子</t>
  </si>
  <si>
    <t>www.lixinger.com/analytics/company/sz/002579/2579/detail</t>
  </si>
  <si>
    <t>航天长峰</t>
  </si>
  <si>
    <t>www.lixinger.com/analytics/company/sh/600855/600855/detail</t>
  </si>
  <si>
    <t>瑞泰科技</t>
  </si>
  <si>
    <t>www.lixinger.com/analytics/company/sz/002066/2066/detail</t>
  </si>
  <si>
    <t>艾华集团</t>
  </si>
  <si>
    <t>www.lixinger.com/analytics/company/sh/603989/603989/detail</t>
  </si>
  <si>
    <t>柳钢股份</t>
  </si>
  <si>
    <t>www.lixinger.com/analytics/company/sh/601003/601003/detail</t>
  </si>
  <si>
    <t>银信科技</t>
  </si>
  <si>
    <t>www.lixinger.com/analytics/company/sz/300231/300231/detail</t>
  </si>
  <si>
    <t>华夏航空</t>
  </si>
  <si>
    <t>www.lixinger.com/analytics/company/sz/002928/2928/detail</t>
  </si>
  <si>
    <t>冠城大通</t>
  </si>
  <si>
    <t>www.lixinger.com/analytics/company/sh/600067/600067/detail</t>
  </si>
  <si>
    <t>奥佳华</t>
  </si>
  <si>
    <t>其他家电</t>
  </si>
  <si>
    <t>www.lixinger.com/analytics/company/sz/002614/2614/detail</t>
  </si>
  <si>
    <t>华润材料</t>
  </si>
  <si>
    <t>www.lixinger.com/analytics/company/sz/301090/301090/detail</t>
  </si>
  <si>
    <t>联创光电</t>
  </si>
  <si>
    <t>www.lixinger.com/analytics/company/sh/600363/600363/detail</t>
  </si>
  <si>
    <t>大有能源</t>
  </si>
  <si>
    <t>www.lixinger.com/analytics/company/sh/600403/600403/detail</t>
  </si>
  <si>
    <t>索菲亚</t>
  </si>
  <si>
    <t>定制家居</t>
  </si>
  <si>
    <t>www.lixinger.com/analytics/company/sz/002572/2572/detail</t>
  </si>
  <si>
    <t>红墙股份</t>
  </si>
  <si>
    <t>www.lixinger.com/analytics/company/sz/002809/2809/detail</t>
  </si>
  <si>
    <t>宝新能源</t>
  </si>
  <si>
    <t>www.lixinger.com/analytics/company/sz/000690/690/detail</t>
  </si>
  <si>
    <t>新时达</t>
  </si>
  <si>
    <t>www.lixinger.com/analytics/company/sz/002527/2527/detail</t>
  </si>
  <si>
    <t>东方通信</t>
  </si>
  <si>
    <t>其他通信设备</t>
  </si>
  <si>
    <t>www.lixinger.com/analytics/company/sh/600776/600776/detail</t>
  </si>
  <si>
    <t>合纵科技</t>
  </si>
  <si>
    <t>www.lixinger.com/analytics/company/sz/300477/300477/detail</t>
  </si>
  <si>
    <t>隆华科技</t>
  </si>
  <si>
    <t>www.lixinger.com/analytics/company/sz/300263/300263/detail</t>
  </si>
  <si>
    <t>www.lixinger.com/analytics/company/sz/300024/300024/detail</t>
  </si>
  <si>
    <t>江山欧派</t>
  </si>
  <si>
    <t>www.lixinger.com/analytics/company/sh/603208/603208/detail</t>
  </si>
  <si>
    <t>东江环保</t>
  </si>
  <si>
    <t>www.lixinger.com/analytics/company/sz/002672/2672/detail</t>
  </si>
  <si>
    <t>联化科技</t>
  </si>
  <si>
    <t>www.lixinger.com/analytics/company/sz/002250/2250/detail</t>
  </si>
  <si>
    <t>九联科技</t>
  </si>
  <si>
    <t>www.lixinger.com/analytics/company/sh/688609/688609/detail</t>
  </si>
  <si>
    <t>高澜股份</t>
  </si>
  <si>
    <t>www.lixinger.com/analytics/company/sz/300499/300499/detail</t>
  </si>
  <si>
    <t>积成电子</t>
  </si>
  <si>
    <t>www.lixinger.com/analytics/company/sz/002339/2339/detail</t>
  </si>
  <si>
    <t>中辰股份</t>
  </si>
  <si>
    <t>www.lixinger.com/analytics/company/sz/300933/300933/detail</t>
  </si>
  <si>
    <t>飞荣达</t>
  </si>
  <si>
    <t>www.lixinger.com/analytics/company/sz/300602/300602/detail</t>
  </si>
  <si>
    <t>泛海控股</t>
  </si>
  <si>
    <t>www.lixinger.com/analytics/company/sz/000046/46/detail</t>
  </si>
  <si>
    <t>电声股份</t>
  </si>
  <si>
    <t>www.lixinger.com/analytics/company/sz/300805/300805/detail</t>
  </si>
  <si>
    <t>冰山B</t>
  </si>
  <si>
    <t>www.lixinger.com/analytics/company/sz/200530/200530/detail</t>
  </si>
  <si>
    <t>中信国安</t>
  </si>
  <si>
    <t>www.lixinger.com/analytics/company/sz/000839/839/detail</t>
  </si>
  <si>
    <t>成大生物</t>
  </si>
  <si>
    <t>www.lixinger.com/analytics/company/sh/688739/688739/detail</t>
  </si>
  <si>
    <t>英维克</t>
  </si>
  <si>
    <t>www.lixinger.com/analytics/company/sz/002837/2837/detail</t>
  </si>
  <si>
    <t>健友股份</t>
  </si>
  <si>
    <t>www.lixinger.com/analytics/company/sh/603707/603707/detail</t>
  </si>
  <si>
    <t>洛阳钼业</t>
  </si>
  <si>
    <t>钼</t>
  </si>
  <si>
    <t>www.lixinger.com/analytics/company/sh/603993/603993/detail</t>
  </si>
  <si>
    <t>达实智能</t>
  </si>
  <si>
    <t>www.lixinger.com/analytics/company/sz/002421/2421/detail</t>
  </si>
  <si>
    <t>高铁电气</t>
  </si>
  <si>
    <t>www.lixinger.com/analytics/company/sh/688285/688285/detail</t>
  </si>
  <si>
    <t>欧派家居</t>
  </si>
  <si>
    <t>www.lixinger.com/analytics/company/sh/603833/603833/detail</t>
  </si>
  <si>
    <t>卫士通</t>
  </si>
  <si>
    <t>www.lixinger.com/analytics/company/sz/002268/2268/detail</t>
  </si>
  <si>
    <t>风华高科</t>
  </si>
  <si>
    <t>www.lixinger.com/analytics/company/sz/000636/636/detail</t>
  </si>
  <si>
    <t>川仪股份</t>
  </si>
  <si>
    <t>www.lixinger.com/analytics/company/sh/603100/603100/detail</t>
  </si>
  <si>
    <t>宏达电子</t>
  </si>
  <si>
    <t>www.lixinger.com/analytics/company/sz/300726/300726/detail</t>
  </si>
  <si>
    <t>宏昌电子</t>
  </si>
  <si>
    <t>www.lixinger.com/analytics/company/sh/603002/603002/detail</t>
  </si>
  <si>
    <t>飞凯材料</t>
  </si>
  <si>
    <t>www.lixinger.com/analytics/company/sz/300398/300398/detail</t>
  </si>
  <si>
    <t>奥康国际</t>
  </si>
  <si>
    <t>鞋帽及其他</t>
  </si>
  <si>
    <t>www.lixinger.com/analytics/company/sh/603001/603001/detail</t>
  </si>
  <si>
    <t>万润科技</t>
  </si>
  <si>
    <t>www.lixinger.com/analytics/company/sz/002654/2654/detail</t>
  </si>
  <si>
    <t>应流股份</t>
  </si>
  <si>
    <t>www.lixinger.com/analytics/company/sh/603308/603308/detail</t>
  </si>
  <si>
    <t>华测检测</t>
  </si>
  <si>
    <t>检测服务</t>
  </si>
  <si>
    <t>www.lixinger.com/analytics/company/sz/300012/300012/detail</t>
  </si>
  <si>
    <t>双林股份</t>
  </si>
  <si>
    <t>www.lixinger.com/analytics/company/sz/300100/300100/detail</t>
  </si>
  <si>
    <t>龙腾光电</t>
  </si>
  <si>
    <t>www.lixinger.com/analytics/company/sh/688055/688055/detail</t>
  </si>
  <si>
    <t>卓然股份</t>
  </si>
  <si>
    <t>www.lixinger.com/analytics/company/sh/688121/688121/detail</t>
  </si>
  <si>
    <t>洪城环境</t>
  </si>
  <si>
    <t>www.lixinger.com/analytics/company/sh/600461/600461/detail</t>
  </si>
  <si>
    <t>设计总院</t>
  </si>
  <si>
    <t>www.lixinger.com/analytics/company/sh/603357/603357/detail</t>
  </si>
  <si>
    <t>安图生物</t>
  </si>
  <si>
    <t>www.lixinger.com/analytics/company/sh/603658/603658/detail</t>
  </si>
  <si>
    <t>力帆科技</t>
  </si>
  <si>
    <t>www.lixinger.com/analytics/company/sh/601777/601777/detail</t>
  </si>
  <si>
    <t>*ST银亿</t>
  </si>
  <si>
    <t>www.lixinger.com/analytics/company/sz/000981/981/detail</t>
  </si>
  <si>
    <t>华胜天成</t>
  </si>
  <si>
    <t>www.lixinger.com/analytics/company/sh/600410/600410/detail</t>
  </si>
  <si>
    <t>万集科技</t>
  </si>
  <si>
    <t>www.lixinger.com/analytics/company/sz/300552/300552/detail</t>
  </si>
  <si>
    <t>国机精工</t>
  </si>
  <si>
    <t>www.lixinger.com/analytics/company/sz/002046/2046/detail</t>
  </si>
  <si>
    <t>思创医惠</t>
  </si>
  <si>
    <t>www.lixinger.com/analytics/company/sz/300078/300078/detail</t>
  </si>
  <si>
    <t>中核钛白</t>
  </si>
  <si>
    <t>www.lixinger.com/analytics/company/sz/002145/2145/detail</t>
  </si>
  <si>
    <t>小康股份</t>
  </si>
  <si>
    <t>www.lixinger.com/analytics/company/sh/601127/601127/detail</t>
  </si>
  <si>
    <t>安凯客车</t>
  </si>
  <si>
    <t>www.lixinger.com/analytics/company/sz/000868/868/detail</t>
  </si>
  <si>
    <t>苏常柴Ｂ</t>
  </si>
  <si>
    <t>www.lixinger.com/analytics/company/sz/200570/200570/detail</t>
  </si>
  <si>
    <t>广电计量</t>
  </si>
  <si>
    <t>www.lixinger.com/analytics/company/sz/002967/2967/detail</t>
  </si>
  <si>
    <t>新大陆</t>
  </si>
  <si>
    <t>www.lixinger.com/analytics/company/sz/000997/997/detail</t>
  </si>
  <si>
    <t>生益电子</t>
  </si>
  <si>
    <t>www.lixinger.com/analytics/company/sh/688183/688183/detail</t>
  </si>
  <si>
    <t>中建环能</t>
  </si>
  <si>
    <t>www.lixinger.com/analytics/company/sz/300425/300425/detail</t>
  </si>
  <si>
    <t>杭可科技</t>
  </si>
  <si>
    <t>www.lixinger.com/analytics/company/sh/688006/688006/detail</t>
  </si>
  <si>
    <t>华菱线缆</t>
  </si>
  <si>
    <t>www.lixinger.com/analytics/company/sz/001208/1208/detail</t>
  </si>
  <si>
    <t>南玻Ａ</t>
  </si>
  <si>
    <t>玻璃制造</t>
  </si>
  <si>
    <t>www.lixinger.com/analytics/company/sz/000012/12/detail</t>
  </si>
  <si>
    <t>光弘科技</t>
  </si>
  <si>
    <t>www.lixinger.com/analytics/company/sz/300735/300735/detail</t>
  </si>
  <si>
    <t>亿晶光电</t>
  </si>
  <si>
    <t>www.lixinger.com/analytics/company/sh/600537/600537/detail</t>
  </si>
  <si>
    <t>东富龙</t>
  </si>
  <si>
    <t>www.lixinger.com/analytics/company/sz/300171/300171/detail</t>
  </si>
  <si>
    <t>海兴电力</t>
  </si>
  <si>
    <t>www.lixinger.com/analytics/company/sh/603556/603556/detail</t>
  </si>
  <si>
    <t>通光线缆</t>
  </si>
  <si>
    <t>www.lixinger.com/analytics/company/sz/300265/300265/detail</t>
  </si>
  <si>
    <t>四方股份</t>
  </si>
  <si>
    <t>www.lixinger.com/analytics/company/sh/601126/601126/detail</t>
  </si>
  <si>
    <t>中船防务</t>
  </si>
  <si>
    <t>www.lixinger.com/analytics/company/sh/600685/600685/detail</t>
  </si>
  <si>
    <t>思美传媒</t>
  </si>
  <si>
    <t>www.lixinger.com/analytics/company/sz/002712/2712/detail</t>
  </si>
  <si>
    <t>迪马股份</t>
  </si>
  <si>
    <t>www.lixinger.com/analytics/company/sh/600565/600565/detail</t>
  </si>
  <si>
    <t>富通信息</t>
  </si>
  <si>
    <t>www.lixinger.com/analytics/company/sz/000836/836/detail</t>
  </si>
  <si>
    <t>科蓝软件</t>
  </si>
  <si>
    <t>www.lixinger.com/analytics/company/sz/300663/300663/detail</t>
  </si>
  <si>
    <t>百利电气</t>
  </si>
  <si>
    <t>www.lixinger.com/analytics/company/sh/600468/600468/detail</t>
  </si>
  <si>
    <t>信达地产</t>
  </si>
  <si>
    <t>www.lixinger.com/analytics/company/sh/600657/600657/detail</t>
  </si>
  <si>
    <t>中恒电气</t>
  </si>
  <si>
    <t>www.lixinger.com/analytics/company/sz/002364/2364/detail</t>
  </si>
  <si>
    <t>中钢天源</t>
  </si>
  <si>
    <t>www.lixinger.com/analytics/company/sz/002057/2057/detail</t>
  </si>
  <si>
    <t>谱尼测试</t>
  </si>
  <si>
    <t>www.lixinger.com/analytics/company/sz/300887/300887/detail</t>
  </si>
  <si>
    <t>新华制药</t>
  </si>
  <si>
    <t>www.lixinger.com/analytics/company/sz/000756/756/detail</t>
  </si>
  <si>
    <t>旷达科技</t>
  </si>
  <si>
    <t>www.lixinger.com/analytics/company/sz/002516/2516/detail</t>
  </si>
  <si>
    <t>星宇股份</t>
  </si>
  <si>
    <t>www.lixinger.com/analytics/company/sh/601799/601799/detail</t>
  </si>
  <si>
    <t>金杯汽车</t>
  </si>
  <si>
    <t>www.lixinger.com/analytics/company/sh/600609/600609/detail</t>
  </si>
  <si>
    <t>科翔股份</t>
  </si>
  <si>
    <t>www.lixinger.com/analytics/company/sz/300903/300903/detail</t>
  </si>
  <si>
    <t>渤海汽车</t>
  </si>
  <si>
    <t>www.lixinger.com/analytics/company/sh/600960/600960/detail</t>
  </si>
  <si>
    <t>大参林</t>
  </si>
  <si>
    <t>www.lixinger.com/analytics/company/sh/603233/603233/detail</t>
  </si>
  <si>
    <t>万邦德</t>
  </si>
  <si>
    <t>www.lixinger.com/analytics/company/sz/002082/2082/detail</t>
  </si>
  <si>
    <t>回天新材</t>
  </si>
  <si>
    <t>www.lixinger.com/analytics/company/sz/300041/300041/detail</t>
  </si>
  <si>
    <t>九强生物</t>
  </si>
  <si>
    <t>www.lixinger.com/analytics/company/sz/300406/300406/detail</t>
  </si>
  <si>
    <t>荣联科技</t>
  </si>
  <si>
    <t>www.lixinger.com/analytics/company/sz/002642/2642/detail</t>
  </si>
  <si>
    <t>博敏电子</t>
  </si>
  <si>
    <t>www.lixinger.com/analytics/company/sh/603936/603936/detail</t>
  </si>
  <si>
    <t>精艺股份</t>
  </si>
  <si>
    <t>www.lixinger.com/analytics/company/sz/002295/2295/detail</t>
  </si>
  <si>
    <t>三维通信</t>
  </si>
  <si>
    <t>www.lixinger.com/analytics/company/sz/002115/2115/detail</t>
  </si>
  <si>
    <t>新野纺织</t>
  </si>
  <si>
    <t>www.lixinger.com/analytics/company/sz/002087/2087/detail</t>
  </si>
  <si>
    <t>康华生物</t>
  </si>
  <si>
    <t>www.lixinger.com/analytics/company/sz/300841/300841/detail</t>
  </si>
  <si>
    <t>东睦股份</t>
  </si>
  <si>
    <t>www.lixinger.com/analytics/company/sh/600114/600114/detail</t>
  </si>
  <si>
    <t>老凤祥</t>
  </si>
  <si>
    <t>www.lixinger.com/analytics/company/sh/600612/600612/detail</t>
  </si>
  <si>
    <t>云赛智联</t>
  </si>
  <si>
    <t>www.lixinger.com/analytics/company/sh/600602/600602/detail</t>
  </si>
  <si>
    <t>亿利洁能</t>
  </si>
  <si>
    <t>www.lixinger.com/analytics/company/sh/600277/600277/detail</t>
  </si>
  <si>
    <t>法拉电子</t>
  </si>
  <si>
    <t>www.lixinger.com/analytics/company/sh/600563/600563/detail</t>
  </si>
  <si>
    <t>仕净科技</t>
  </si>
  <si>
    <t>www.lixinger.com/analytics/company/sz/301030/301030/detail</t>
  </si>
  <si>
    <t>佳讯飞鸿</t>
  </si>
  <si>
    <t>www.lixinger.com/analytics/company/sz/300213/300213/detail</t>
  </si>
  <si>
    <t>西部材料</t>
  </si>
  <si>
    <t>www.lixinger.com/analytics/company/sz/002149/2149/detail</t>
  </si>
  <si>
    <t>涪陵电力</t>
  </si>
  <si>
    <t>www.lixinger.com/analytics/company/sh/600452/600452/detail</t>
  </si>
  <si>
    <t>派克新材</t>
  </si>
  <si>
    <t>www.lixinger.com/analytics/company/sh/605123/605123/detail</t>
  </si>
  <si>
    <t>淮河能源</t>
  </si>
  <si>
    <t>www.lixinger.com/analytics/company/sh/600575/600575/detail</t>
  </si>
  <si>
    <t>阳谷华泰</t>
  </si>
  <si>
    <t>橡胶助剂</t>
  </si>
  <si>
    <t>www.lixinger.com/analytics/company/sz/300121/300121/detail</t>
  </si>
  <si>
    <t>岱美股份</t>
  </si>
  <si>
    <t>www.lixinger.com/analytics/company/sh/603730/603730/detail</t>
  </si>
  <si>
    <t>居然之家</t>
  </si>
  <si>
    <t>www.lixinger.com/analytics/company/sz/000785/785/detail</t>
  </si>
  <si>
    <t>道恩股份</t>
  </si>
  <si>
    <t>www.lixinger.com/analytics/company/sz/002838/2838/detail</t>
  </si>
  <si>
    <t>麦捷科技</t>
  </si>
  <si>
    <t>www.lixinger.com/analytics/company/sz/300319/300319/detail</t>
  </si>
  <si>
    <t>圣元环保</t>
  </si>
  <si>
    <t>www.lixinger.com/analytics/company/sz/300867/300867/detail</t>
  </si>
  <si>
    <t>阳光照明</t>
  </si>
  <si>
    <t>www.lixinger.com/analytics/company/sh/600261/600261/detail</t>
  </si>
  <si>
    <t>稳健医疗</t>
  </si>
  <si>
    <t>生活用纸</t>
  </si>
  <si>
    <t>www.lixinger.com/analytics/company/sz/300888/300888/detail</t>
  </si>
  <si>
    <t>海利尔</t>
  </si>
  <si>
    <t>www.lixinger.com/analytics/company/sh/603639/603639/detail</t>
  </si>
  <si>
    <t>恒星科技</t>
  </si>
  <si>
    <t>www.lixinger.com/analytics/company/sz/002132/2132/detail</t>
  </si>
  <si>
    <t>东软集团</t>
  </si>
  <si>
    <t>www.lixinger.com/analytics/company/sh/600718/600718/detail</t>
  </si>
  <si>
    <t>东安动力</t>
  </si>
  <si>
    <t>www.lixinger.com/analytics/company/sh/600178/600178/detail</t>
  </si>
  <si>
    <t>宁夏建材</t>
  </si>
  <si>
    <t>www.lixinger.com/analytics/company/sh/600449/600449/detail</t>
  </si>
  <si>
    <t>依顿电子</t>
  </si>
  <si>
    <t>www.lixinger.com/analytics/company/sh/603328/603328/detail</t>
  </si>
  <si>
    <t>森马服饰</t>
  </si>
  <si>
    <t>www.lixinger.com/analytics/company/sz/002563/2563/detail</t>
  </si>
  <si>
    <t>科瑞技术</t>
  </si>
  <si>
    <t>www.lixinger.com/analytics/company/sz/002957/2957/detail</t>
  </si>
  <si>
    <t>锐科激光</t>
  </si>
  <si>
    <t>www.lixinger.com/analytics/company/sz/300747/300747/detail</t>
  </si>
  <si>
    <t>旭升股份</t>
  </si>
  <si>
    <t>www.lixinger.com/analytics/company/sh/603305/603305/detail</t>
  </si>
  <si>
    <t>上海瀚讯</t>
  </si>
  <si>
    <t>www.lixinger.com/analytics/company/sz/300762/300762/detail</t>
  </si>
  <si>
    <t>新致软件</t>
  </si>
  <si>
    <t>www.lixinger.com/analytics/company/sh/688590/688590/detail</t>
  </si>
  <si>
    <t>东诚药业</t>
  </si>
  <si>
    <t>www.lixinger.com/analytics/company/sz/002675/2675/detail</t>
  </si>
  <si>
    <t>秦川机床</t>
  </si>
  <si>
    <t>www.lixinger.com/analytics/company/sz/000837/837/detail</t>
  </si>
  <si>
    <t>中科软</t>
  </si>
  <si>
    <t>www.lixinger.com/analytics/company/sh/603927/603927/detail</t>
  </si>
  <si>
    <t>旋极信息</t>
  </si>
  <si>
    <t>www.lixinger.com/analytics/company/sz/300324/300324/detail</t>
  </si>
  <si>
    <t>长高集团</t>
  </si>
  <si>
    <t>www.lixinger.com/analytics/company/sz/002452/2452/detail</t>
  </si>
  <si>
    <t>华泰股份</t>
  </si>
  <si>
    <t>www.lixinger.com/analytics/company/sh/600308/600308/detail</t>
  </si>
  <si>
    <t>中能电气</t>
  </si>
  <si>
    <t>www.lixinger.com/analytics/company/sz/300062/300062/detail</t>
  </si>
  <si>
    <t>天奇股份</t>
  </si>
  <si>
    <t>www.lixinger.com/analytics/company/sz/002009/2009/detail</t>
  </si>
  <si>
    <t>东珠生态</t>
  </si>
  <si>
    <t>www.lixinger.com/analytics/company/sh/603359/603359/detail</t>
  </si>
  <si>
    <t>中材节能</t>
  </si>
  <si>
    <t>www.lixinger.com/analytics/company/sh/603126/603126/detail</t>
  </si>
  <si>
    <t>通用股份</t>
  </si>
  <si>
    <t>www.lixinger.com/analytics/company/sh/601500/601500/detail</t>
  </si>
  <si>
    <t>爱柯迪</t>
  </si>
  <si>
    <t>www.lixinger.com/analytics/company/sh/600933/600933/detail</t>
  </si>
  <si>
    <t>赢时胜</t>
  </si>
  <si>
    <t>www.lixinger.com/analytics/company/sz/300377/300377/detail</t>
  </si>
  <si>
    <t>和邦生物</t>
  </si>
  <si>
    <t>纯碱</t>
  </si>
  <si>
    <t>www.lixinger.com/analytics/company/sh/603077/603077/detail</t>
  </si>
  <si>
    <t>龙星化工</t>
  </si>
  <si>
    <t>www.lixinger.com/analytics/company/sz/002442/2442/detail</t>
  </si>
  <si>
    <t>惠达卫浴</t>
  </si>
  <si>
    <t>卫浴制品</t>
  </si>
  <si>
    <t>www.lixinger.com/analytics/company/sh/603385/603385/detail</t>
  </si>
  <si>
    <t>雄韬股份</t>
  </si>
  <si>
    <t>www.lixinger.com/analytics/company/sz/002733/2733/detail</t>
  </si>
  <si>
    <t>完美世界</t>
  </si>
  <si>
    <t>www.lixinger.com/analytics/company/sz/002624/2624/detail</t>
  </si>
  <si>
    <t>康达新材</t>
  </si>
  <si>
    <t>胶黏剂及胶带</t>
  </si>
  <si>
    <t>www.lixinger.com/analytics/company/sz/002669/2669/detail</t>
  </si>
  <si>
    <t>中航电测</t>
  </si>
  <si>
    <t>www.lixinger.com/analytics/company/sz/300114/300114/detail</t>
  </si>
  <si>
    <t>维业股份</t>
  </si>
  <si>
    <t>www.lixinger.com/analytics/company/sz/300621/300621/detail</t>
  </si>
  <si>
    <t>恒生电子</t>
  </si>
  <si>
    <t>www.lixinger.com/analytics/company/sh/600570/600570/detail</t>
  </si>
  <si>
    <t>安通控股</t>
  </si>
  <si>
    <t>www.lixinger.com/analytics/company/sh/600179/600179/detail</t>
  </si>
  <si>
    <t>中顺洁柔</t>
  </si>
  <si>
    <t>www.lixinger.com/analytics/company/sz/002511/2511/detail</t>
  </si>
  <si>
    <t>科士达</t>
  </si>
  <si>
    <t>www.lixinger.com/analytics/company/sz/002518/2518/detail</t>
  </si>
  <si>
    <t>中金环境</t>
  </si>
  <si>
    <t>www.lixinger.com/analytics/company/sz/300145/300145/detail</t>
  </si>
  <si>
    <t>鑫铂股份</t>
  </si>
  <si>
    <t>www.lixinger.com/analytics/company/sz/003038/3038/detail</t>
  </si>
  <si>
    <t>江苏雷利</t>
  </si>
  <si>
    <t>www.lixinger.com/analytics/company/sz/300660/300660/detail</t>
  </si>
  <si>
    <t>康力电梯</t>
  </si>
  <si>
    <t>www.lixinger.com/analytics/company/sz/002367/2367/detail</t>
  </si>
  <si>
    <t>首航高科</t>
  </si>
  <si>
    <t>www.lixinger.com/analytics/company/sz/002665/2665/detail</t>
  </si>
  <si>
    <t>中牧股份</t>
  </si>
  <si>
    <t>动物保健</t>
  </si>
  <si>
    <t>www.lixinger.com/analytics/company/sh/600195/600195/detail</t>
  </si>
  <si>
    <t>大立科技</t>
  </si>
  <si>
    <t>www.lixinger.com/analytics/company/sz/002214/2214/detail</t>
  </si>
  <si>
    <t>海利得</t>
  </si>
  <si>
    <t>涤纶</t>
  </si>
  <si>
    <t>www.lixinger.com/analytics/company/sz/002206/2206/detail</t>
  </si>
  <si>
    <t>金证股份</t>
  </si>
  <si>
    <t>www.lixinger.com/analytics/company/sh/600446/600446/detail</t>
  </si>
  <si>
    <t>力合科创</t>
  </si>
  <si>
    <t>化妆品制造及其他</t>
  </si>
  <si>
    <t>www.lixinger.com/analytics/company/sz/002243/2243/detail</t>
  </si>
  <si>
    <t>金圆股份</t>
  </si>
  <si>
    <t>www.lixinger.com/analytics/company/sz/000546/546/detail</t>
  </si>
  <si>
    <t>海陆重工</t>
  </si>
  <si>
    <t>www.lixinger.com/analytics/company/sz/002255/2255/detail</t>
  </si>
  <si>
    <t>立昂技术</t>
  </si>
  <si>
    <t>www.lixinger.com/analytics/company/sz/300603/300603/detail</t>
  </si>
  <si>
    <t>山东药玻</t>
  </si>
  <si>
    <t>www.lixinger.com/analytics/company/sh/600529/600529/detail</t>
  </si>
  <si>
    <t>金通灵</t>
  </si>
  <si>
    <t>www.lixinger.com/analytics/company/sz/300091/300091/detail</t>
  </si>
  <si>
    <t>拉卡拉</t>
  </si>
  <si>
    <t>金融信息服务</t>
  </si>
  <si>
    <t>www.lixinger.com/analytics/company/sz/300773/300773/detail</t>
  </si>
  <si>
    <t>王力安防</t>
  </si>
  <si>
    <t>www.lixinger.com/analytics/company/sh/605268/605268/detail</t>
  </si>
  <si>
    <t>智光电气</t>
  </si>
  <si>
    <t>www.lixinger.com/analytics/company/sz/002169/2169/detail</t>
  </si>
  <si>
    <t>迈为股份</t>
  </si>
  <si>
    <t>www.lixinger.com/analytics/company/sz/300751/300751/detail</t>
  </si>
  <si>
    <t>星源材质</t>
  </si>
  <si>
    <t>www.lixinger.com/analytics/company/sz/300568/300568/detail</t>
  </si>
  <si>
    <t>飞力达</t>
  </si>
  <si>
    <t>www.lixinger.com/analytics/company/sz/300240/300240/detail</t>
  </si>
  <si>
    <t>美亚柏科</t>
  </si>
  <si>
    <t>www.lixinger.com/analytics/company/sz/300188/300188/detail</t>
  </si>
  <si>
    <t>侨银股份</t>
  </si>
  <si>
    <t>www.lixinger.com/analytics/company/sz/002973/2973/detail</t>
  </si>
  <si>
    <t>国联证券</t>
  </si>
  <si>
    <t>www.lixinger.com/analytics/company/sh/601456/601456/detail</t>
  </si>
  <si>
    <t>深高速</t>
  </si>
  <si>
    <t>www.lixinger.com/analytics/company/sh/600548/600548/detail</t>
  </si>
  <si>
    <t>日丰股份</t>
  </si>
  <si>
    <t>www.lixinger.com/analytics/company/sz/002953/2953/detail</t>
  </si>
  <si>
    <t>大唐电信</t>
  </si>
  <si>
    <t>www.lixinger.com/analytics/company/sh/600198/600198/detail</t>
  </si>
  <si>
    <t>金埔园林</t>
  </si>
  <si>
    <t>www.lixinger.com/analytics/company/sz/301098/301098/detail</t>
  </si>
  <si>
    <t>名家汇</t>
  </si>
  <si>
    <t>www.lixinger.com/analytics/company/sz/300506/300506/detail</t>
  </si>
  <si>
    <t>嘉化能源</t>
  </si>
  <si>
    <t>www.lixinger.com/analytics/company/sh/600273/600273/detail</t>
  </si>
  <si>
    <t>浙大网新</t>
  </si>
  <si>
    <t>www.lixinger.com/analytics/company/sh/600797/600797/detail</t>
  </si>
  <si>
    <t>华伍股份</t>
  </si>
  <si>
    <t>www.lixinger.com/analytics/company/sz/300095/300095/detail</t>
  </si>
  <si>
    <t>鸿利智汇</t>
  </si>
  <si>
    <t>www.lixinger.com/analytics/company/sz/300219/300219/detail</t>
  </si>
  <si>
    <t>汉威科技</t>
  </si>
  <si>
    <t>www.lixinger.com/analytics/company/sz/300007/300007/detail</t>
  </si>
  <si>
    <t>华策影视</t>
  </si>
  <si>
    <t>www.lixinger.com/analytics/company/sz/300133/300133/detail</t>
  </si>
  <si>
    <t>内蒙一机</t>
  </si>
  <si>
    <t>www.lixinger.com/analytics/company/sh/600967/600967/detail</t>
  </si>
  <si>
    <t>新北洋</t>
  </si>
  <si>
    <t>www.lixinger.com/analytics/company/sz/002376/2376/detail</t>
  </si>
  <si>
    <t>华锦股份</t>
  </si>
  <si>
    <t>www.lixinger.com/analytics/company/sz/000059/59/detail</t>
  </si>
  <si>
    <t>爱仕达</t>
  </si>
  <si>
    <t>www.lixinger.com/analytics/company/sz/002403/2403/detail</t>
  </si>
  <si>
    <t>圣湘生物</t>
  </si>
  <si>
    <t>www.lixinger.com/analytics/company/sh/688289/688289/detail</t>
  </si>
  <si>
    <t>普利制药</t>
  </si>
  <si>
    <t>www.lixinger.com/analytics/company/sz/300630/300630/detail</t>
  </si>
  <si>
    <t>万凯新材</t>
  </si>
  <si>
    <t>www.lixinger.com/analytics/company/sz/301216/301216/detail</t>
  </si>
  <si>
    <t>南山控股</t>
  </si>
  <si>
    <t>www.lixinger.com/analytics/company/sz/002314/2314/detail</t>
  </si>
  <si>
    <t>聚石化学</t>
  </si>
  <si>
    <t>www.lixinger.com/analytics/company/sh/688669/688669/detail</t>
  </si>
  <si>
    <t>金达莱</t>
  </si>
  <si>
    <t>www.lixinger.com/analytics/company/sh/688057/688057/detail</t>
  </si>
  <si>
    <t>旺能环境</t>
  </si>
  <si>
    <t>www.lixinger.com/analytics/company/sz/002034/2034/detail</t>
  </si>
  <si>
    <t>桂东电力</t>
  </si>
  <si>
    <t>www.lixinger.com/analytics/company/sh/600310/600310/detail</t>
  </si>
  <si>
    <t>光启技术</t>
  </si>
  <si>
    <t>www.lixinger.com/analytics/company/sz/002625/2625/detail</t>
  </si>
  <si>
    <t>江苏有线</t>
  </si>
  <si>
    <t>www.lixinger.com/analytics/company/sh/600959/600959/detail</t>
  </si>
  <si>
    <t>久立特材</t>
  </si>
  <si>
    <t>www.lixinger.com/analytics/company/sz/002318/2318/detail</t>
  </si>
  <si>
    <t>美康生物</t>
  </si>
  <si>
    <t>www.lixinger.com/analytics/company/sz/300439/300439/detail</t>
  </si>
  <si>
    <t>双杰电气</t>
  </si>
  <si>
    <t>www.lixinger.com/analytics/company/sz/300444/300444/detail</t>
  </si>
  <si>
    <t>威胜信息</t>
  </si>
  <si>
    <t>www.lixinger.com/analytics/company/sh/688100/688100/detail</t>
  </si>
  <si>
    <t>超图软件</t>
  </si>
  <si>
    <t>www.lixinger.com/analytics/company/sz/300036/300036/detail</t>
  </si>
  <si>
    <t>中国电研</t>
  </si>
  <si>
    <t>www.lixinger.com/analytics/company/sh/688128/688128/detail</t>
  </si>
  <si>
    <t>英唐智控</t>
  </si>
  <si>
    <t>www.lixinger.com/analytics/company/sz/300131/300131/detail</t>
  </si>
  <si>
    <t>海鸥住工</t>
  </si>
  <si>
    <t>www.lixinger.com/analytics/company/sz/002084/2084/detail</t>
  </si>
  <si>
    <t>春兴精工</t>
  </si>
  <si>
    <t>www.lixinger.com/analytics/company/sz/002547/2547/detail</t>
  </si>
  <si>
    <t>华力创通</t>
  </si>
  <si>
    <t>www.lixinger.com/analytics/company/sz/300045/300045/detail</t>
  </si>
  <si>
    <t>钢研高纳</t>
  </si>
  <si>
    <t>www.lixinger.com/analytics/company/sz/300034/300034/detail</t>
  </si>
  <si>
    <t>赛腾股份</t>
  </si>
  <si>
    <t>www.lixinger.com/analytics/company/sh/603283/603283/detail</t>
  </si>
  <si>
    <t>正海磁材</t>
  </si>
  <si>
    <t>www.lixinger.com/analytics/company/sz/300224/300224/detail</t>
  </si>
  <si>
    <t>宏润建设</t>
  </si>
  <si>
    <t>www.lixinger.com/analytics/company/sz/002062/2062/detail</t>
  </si>
  <si>
    <t>五洋停车</t>
  </si>
  <si>
    <t>www.lixinger.com/analytics/company/sz/300420/300420/detail</t>
  </si>
  <si>
    <t>润邦股份</t>
  </si>
  <si>
    <t>www.lixinger.com/analytics/company/sz/002483/2483/detail</t>
  </si>
  <si>
    <t>常熟汽饰</t>
  </si>
  <si>
    <t>www.lixinger.com/analytics/company/sh/603035/603035/detail</t>
  </si>
  <si>
    <t>三角防务</t>
  </si>
  <si>
    <t>www.lixinger.com/analytics/company/sz/300775/300775/detail</t>
  </si>
  <si>
    <t>金安国纪</t>
  </si>
  <si>
    <t>www.lixinger.com/analytics/company/sz/002636/2636/detail</t>
  </si>
  <si>
    <t>鹏鹞环保</t>
  </si>
  <si>
    <t>www.lixinger.com/analytics/company/sz/300664/300664/detail</t>
  </si>
  <si>
    <t>君正集团</t>
  </si>
  <si>
    <t>www.lixinger.com/analytics/company/sh/601216/601216/detail</t>
  </si>
  <si>
    <t>中环装备</t>
  </si>
  <si>
    <t>www.lixinger.com/analytics/company/sz/300140/300140/detail</t>
  </si>
  <si>
    <t>盛新锂能</t>
  </si>
  <si>
    <t>www.lixinger.com/analytics/company/sz/002240/2240/detail</t>
  </si>
  <si>
    <t>振东制药</t>
  </si>
  <si>
    <t>www.lixinger.com/analytics/company/sz/300158/300158/detail</t>
  </si>
  <si>
    <t>江苏神通</t>
  </si>
  <si>
    <t>www.lixinger.com/analytics/company/sz/002438/2438/detail</t>
  </si>
  <si>
    <t>风范股份</t>
  </si>
  <si>
    <t>www.lixinger.com/analytics/company/sh/601700/601700/detail</t>
  </si>
  <si>
    <t>山东矿机</t>
  </si>
  <si>
    <t>www.lixinger.com/analytics/company/sz/002526/2526/detail</t>
  </si>
  <si>
    <t>建霖家居</t>
  </si>
  <si>
    <t>www.lixinger.com/analytics/company/sh/603408/603408/detail</t>
  </si>
  <si>
    <t>云煤能源</t>
  </si>
  <si>
    <t>www.lixinger.com/analytics/company/sh/600792/600792/detail</t>
  </si>
  <si>
    <t>长青股份</t>
  </si>
  <si>
    <t>www.lixinger.com/analytics/company/sz/002391/2391/detail</t>
  </si>
  <si>
    <t>*ST美尚</t>
  </si>
  <si>
    <t>www.lixinger.com/analytics/company/sz/300495/300495/detail</t>
  </si>
  <si>
    <t>凤凰传媒</t>
  </si>
  <si>
    <t>www.lixinger.com/analytics/company/sh/601928/601928/detail</t>
  </si>
  <si>
    <t>湖北广电</t>
  </si>
  <si>
    <t>www.lixinger.com/analytics/company/sz/000665/665/detail</t>
  </si>
  <si>
    <t>高新发展</t>
  </si>
  <si>
    <t>www.lixinger.com/analytics/company/sz/000628/628/detail</t>
  </si>
  <si>
    <t>金钼股份</t>
  </si>
  <si>
    <t>www.lixinger.com/analytics/company/sh/601958/601958/detail</t>
  </si>
  <si>
    <t>风神股份</t>
  </si>
  <si>
    <t>www.lixinger.com/analytics/company/sh/600469/600469/detail</t>
  </si>
  <si>
    <t>兴业股份</t>
  </si>
  <si>
    <t>www.lixinger.com/analytics/company/sh/603928/603928/detail</t>
  </si>
  <si>
    <t>赞宇科技</t>
  </si>
  <si>
    <t>www.lixinger.com/analytics/company/sz/002637/2637/detail</t>
  </si>
  <si>
    <t>华翔股份</t>
  </si>
  <si>
    <t>www.lixinger.com/analytics/company/sh/603112/603112/detail</t>
  </si>
  <si>
    <t>春风动力</t>
  </si>
  <si>
    <t>www.lixinger.com/analytics/company/sh/603129/603129/detail</t>
  </si>
  <si>
    <t>保隆科技</t>
  </si>
  <si>
    <t>www.lixinger.com/analytics/company/sh/603197/603197/detail</t>
  </si>
  <si>
    <t>安阳钢铁</t>
  </si>
  <si>
    <t>www.lixinger.com/analytics/company/sh/600569/600569/detail</t>
  </si>
  <si>
    <t>川润股份</t>
  </si>
  <si>
    <t>www.lixinger.com/analytics/company/sz/002272/2272/detail</t>
  </si>
  <si>
    <t>佳电股份</t>
  </si>
  <si>
    <t>www.lixinger.com/analytics/company/sz/000922/922/detail</t>
  </si>
  <si>
    <t>荣丰控股</t>
  </si>
  <si>
    <t>www.lixinger.com/analytics/company/sz/000668/668/detail</t>
  </si>
  <si>
    <t>生物股份</t>
  </si>
  <si>
    <t>www.lixinger.com/analytics/company/sh/600201/600201/detail</t>
  </si>
  <si>
    <t>富临精工</t>
  </si>
  <si>
    <t>www.lixinger.com/analytics/company/sz/300432/300432/detail</t>
  </si>
  <si>
    <t>震裕科技</t>
  </si>
  <si>
    <t>www.lixinger.com/analytics/company/sz/300953/300953/detail</t>
  </si>
  <si>
    <t>依米康</t>
  </si>
  <si>
    <t>www.lixinger.com/analytics/company/sz/300249/300249/detail</t>
  </si>
  <si>
    <t>诺普信</t>
  </si>
  <si>
    <t>www.lixinger.com/analytics/company/sz/002215/2215/detail</t>
  </si>
  <si>
    <t>能科科技</t>
  </si>
  <si>
    <t>www.lixinger.com/analytics/company/sh/603859/603859/detail</t>
  </si>
  <si>
    <t>有研新材</t>
  </si>
  <si>
    <t>www.lixinger.com/analytics/company/sh/600206/600206/detail</t>
  </si>
  <si>
    <t>冀东装备</t>
  </si>
  <si>
    <t>www.lixinger.com/analytics/company/sz/000856/856/detail</t>
  </si>
  <si>
    <t>亿嘉和</t>
  </si>
  <si>
    <t>www.lixinger.com/analytics/company/sh/603666/603666/detail</t>
  </si>
  <si>
    <t>冰山冷热</t>
  </si>
  <si>
    <t>www.lixinger.com/analytics/company/sz/000530/530/detail</t>
  </si>
  <si>
    <t>劲嘉股份</t>
  </si>
  <si>
    <t>www.lixinger.com/analytics/company/sz/002191/2191/detail</t>
  </si>
  <si>
    <t>中色股份</t>
  </si>
  <si>
    <t>铅锌</t>
  </si>
  <si>
    <t>www.lixinger.com/analytics/company/sz/000758/758/detail</t>
  </si>
  <si>
    <t>智度股份</t>
  </si>
  <si>
    <t>www.lixinger.com/analytics/company/sz/000676/676/detail</t>
  </si>
  <si>
    <t>金辰股份</t>
  </si>
  <si>
    <t>www.lixinger.com/analytics/company/sh/603396/603396/detail</t>
  </si>
  <si>
    <t>五洲特纸</t>
  </si>
  <si>
    <t>www.lixinger.com/analytics/company/sh/605007/605007/detail</t>
  </si>
  <si>
    <t>鲁泰Ｂ</t>
  </si>
  <si>
    <t>www.lixinger.com/analytics/company/sz/200726/200726/detail</t>
  </si>
  <si>
    <t>运达科技</t>
  </si>
  <si>
    <t>www.lixinger.com/analytics/company/sz/300440/300440/detail</t>
  </si>
  <si>
    <t>中国出版</t>
  </si>
  <si>
    <t>www.lixinger.com/analytics/company/sh/601949/601949/detail</t>
  </si>
  <si>
    <t>中关村</t>
  </si>
  <si>
    <t>www.lixinger.com/analytics/company/sz/000931/931/detail</t>
  </si>
  <si>
    <t>泰格医药</t>
  </si>
  <si>
    <t>www.lixinger.com/analytics/company/sz/300347/300347/detail</t>
  </si>
  <si>
    <t>保立佳</t>
  </si>
  <si>
    <t>涂料油墨</t>
  </si>
  <si>
    <t>www.lixinger.com/analytics/company/sz/301037/301037/detail</t>
  </si>
  <si>
    <t>中光学</t>
  </si>
  <si>
    <t>www.lixinger.com/analytics/company/sz/002189/2189/detail</t>
  </si>
  <si>
    <t>飞龙股份</t>
  </si>
  <si>
    <t>www.lixinger.com/analytics/company/sz/002536/2536/detail</t>
  </si>
  <si>
    <t>沧州明珠</t>
  </si>
  <si>
    <t>其他塑料制品</t>
  </si>
  <si>
    <t>www.lixinger.com/analytics/company/sz/002108/2108/detail</t>
  </si>
  <si>
    <t>国创高新</t>
  </si>
  <si>
    <t>www.lixinger.com/analytics/company/sz/002377/2377/detail</t>
  </si>
  <si>
    <t>无锡振华</t>
  </si>
  <si>
    <t>www.lixinger.com/analytics/company/sh/605319/605319/detail</t>
  </si>
  <si>
    <t>科博达</t>
  </si>
  <si>
    <t>www.lixinger.com/analytics/company/sh/603786/603786/detail</t>
  </si>
  <si>
    <t>广州港</t>
  </si>
  <si>
    <t>www.lixinger.com/analytics/company/sh/601228/601228/detail</t>
  </si>
  <si>
    <t>粤海饲料</t>
  </si>
  <si>
    <t>www.lixinger.com/analytics/company/sz/001313/1313/detail</t>
  </si>
  <si>
    <t>中粮糖业</t>
  </si>
  <si>
    <t>www.lixinger.com/analytics/company/sh/600737/600737/detail</t>
  </si>
  <si>
    <t>浙农股份</t>
  </si>
  <si>
    <t>www.lixinger.com/analytics/company/sz/002758/2758/detail</t>
  </si>
  <si>
    <t>威派格</t>
  </si>
  <si>
    <t>www.lixinger.com/analytics/company/sh/603956/603956/detail</t>
  </si>
  <si>
    <t>ST华仪</t>
  </si>
  <si>
    <t>www.lixinger.com/analytics/company/sh/600290/600290/detail</t>
  </si>
  <si>
    <t>联络互动</t>
  </si>
  <si>
    <t>跨境电商</t>
  </si>
  <si>
    <t>www.lixinger.com/analytics/company/sz/002280/2280/detail</t>
  </si>
  <si>
    <t>高测股份</t>
  </si>
  <si>
    <t>www.lixinger.com/analytics/company/sh/688556/688556/detail</t>
  </si>
  <si>
    <t>东方中科</t>
  </si>
  <si>
    <t>www.lixinger.com/analytics/company/sz/002819/2819/detail</t>
  </si>
  <si>
    <t>华仁药业</t>
  </si>
  <si>
    <t>www.lixinger.com/analytics/company/sz/300110/300110/detail</t>
  </si>
  <si>
    <t>ST宏图</t>
  </si>
  <si>
    <t>www.lixinger.com/analytics/company/sh/600122/600122/detail</t>
  </si>
  <si>
    <t>吉林敖东</t>
  </si>
  <si>
    <t>www.lixinger.com/analytics/company/sz/000623/623/detail</t>
  </si>
  <si>
    <t>冠豪高新</t>
  </si>
  <si>
    <t>www.lixinger.com/analytics/company/sh/600433/600433/detail</t>
  </si>
  <si>
    <t>苏文电能</t>
  </si>
  <si>
    <t>www.lixinger.com/analytics/company/sz/300982/300982/detail</t>
  </si>
  <si>
    <t>创元科技</t>
  </si>
  <si>
    <t>www.lixinger.com/analytics/company/sz/000551/551/detail</t>
  </si>
  <si>
    <t>黄河旋风</t>
  </si>
  <si>
    <t>磨具磨料</t>
  </si>
  <si>
    <t>www.lixinger.com/analytics/company/sh/600172/600172/detail</t>
  </si>
  <si>
    <t>康缘药业</t>
  </si>
  <si>
    <t>www.lixinger.com/analytics/company/sh/600557/600557/detail</t>
  </si>
  <si>
    <t>正元地信</t>
  </si>
  <si>
    <t>www.lixinger.com/analytics/company/sh/688509/688509/detail</t>
  </si>
  <si>
    <t>北斗星通</t>
  </si>
  <si>
    <t>www.lixinger.com/analytics/company/sz/002151/2151/detail</t>
  </si>
  <si>
    <t>中核科技</t>
  </si>
  <si>
    <t>www.lixinger.com/analytics/company/sz/000777/777/detail</t>
  </si>
  <si>
    <t>聚飞光电</t>
  </si>
  <si>
    <t>www.lixinger.com/analytics/company/sz/300303/300303/detail</t>
  </si>
  <si>
    <t>成都路桥</t>
  </si>
  <si>
    <t>www.lixinger.com/analytics/company/sz/002628/2628/detail</t>
  </si>
  <si>
    <t>通宝能源</t>
  </si>
  <si>
    <t>www.lixinger.com/analytics/company/sh/600780/600780/detail</t>
  </si>
  <si>
    <t>苏常柴Ａ</t>
  </si>
  <si>
    <t>www.lixinger.com/analytics/company/sz/000570/570/detail</t>
  </si>
  <si>
    <t>和胜股份</t>
  </si>
  <si>
    <t>www.lixinger.com/analytics/company/sz/002824/2824/detail</t>
  </si>
  <si>
    <t>华灿光电</t>
  </si>
  <si>
    <t>www.lixinger.com/analytics/company/sz/300323/300323/detail</t>
  </si>
  <si>
    <t>太钢不锈</t>
  </si>
  <si>
    <t>www.lixinger.com/analytics/company/sz/000825/825/detail</t>
  </si>
  <si>
    <t>怡球资源</t>
  </si>
  <si>
    <t>www.lixinger.com/analytics/company/sh/601388/601388/detail</t>
  </si>
  <si>
    <t>珈伟新能</t>
  </si>
  <si>
    <t>www.lixinger.com/analytics/company/sz/300317/300317/detail</t>
  </si>
  <si>
    <t>天富能源</t>
  </si>
  <si>
    <t>www.lixinger.com/analytics/company/sh/600509/600509/detail</t>
  </si>
  <si>
    <t>航发科技</t>
  </si>
  <si>
    <t>www.lixinger.com/analytics/company/sh/600391/600391/detail</t>
  </si>
  <si>
    <t>运机集团</t>
  </si>
  <si>
    <t>www.lixinger.com/analytics/company/sz/001288/1288/detail</t>
  </si>
  <si>
    <t>时代出版</t>
  </si>
  <si>
    <t>www.lixinger.com/analytics/company/sh/600551/600551/detail</t>
  </si>
  <si>
    <t>永太科技</t>
  </si>
  <si>
    <t>www.lixinger.com/analytics/company/sz/002326/2326/detail</t>
  </si>
  <si>
    <t>福鞍股份</t>
  </si>
  <si>
    <t>www.lixinger.com/analytics/company/sh/603315/603315/detail</t>
  </si>
  <si>
    <t>长川科技</t>
  </si>
  <si>
    <t>www.lixinger.com/analytics/company/sz/300604/300604/detail</t>
  </si>
  <si>
    <t>青岛双星</t>
  </si>
  <si>
    <t>www.lixinger.com/analytics/company/sz/000599/599/detail</t>
  </si>
  <si>
    <t>超讯通信</t>
  </si>
  <si>
    <t>www.lixinger.com/analytics/company/sh/603322/603322/detail</t>
  </si>
  <si>
    <t>鸿合科技</t>
  </si>
  <si>
    <t>www.lixinger.com/analytics/company/sz/002955/2955/detail</t>
  </si>
  <si>
    <t>楚天科技</t>
  </si>
  <si>
    <t>www.lixinger.com/analytics/company/sz/300358/300358/detail</t>
  </si>
  <si>
    <t>天正电气</t>
  </si>
  <si>
    <t>www.lixinger.com/analytics/company/sh/605066/605066/detail</t>
  </si>
  <si>
    <t>隆平高科</t>
  </si>
  <si>
    <t>种子</t>
  </si>
  <si>
    <t>www.lixinger.com/analytics/company/sz/000998/998/detail</t>
  </si>
  <si>
    <t>深纺织Ｂ</t>
  </si>
  <si>
    <t>www.lixinger.com/analytics/company/sz/200045/200045/detail</t>
  </si>
  <si>
    <t>广联达</t>
  </si>
  <si>
    <t>www.lixinger.com/analytics/company/sz/002410/2410/detail</t>
  </si>
  <si>
    <t>芯原股份</t>
  </si>
  <si>
    <t>www.lixinger.com/analytics/company/sh/688521/688521/detail</t>
  </si>
  <si>
    <t>水晶光电</t>
  </si>
  <si>
    <t>www.lixinger.com/analytics/company/sz/002273/2273/detail</t>
  </si>
  <si>
    <t>科思科技</t>
  </si>
  <si>
    <t>www.lixinger.com/analytics/company/sh/688788/688788/detail</t>
  </si>
  <si>
    <t>宜通世纪</t>
  </si>
  <si>
    <t>www.lixinger.com/analytics/company/sz/300310/300310/detail</t>
  </si>
  <si>
    <t>*ST盈方</t>
  </si>
  <si>
    <t>www.lixinger.com/analytics/company/sz/000670/670/detail</t>
  </si>
  <si>
    <t>欧比特</t>
  </si>
  <si>
    <t>www.lixinger.com/analytics/company/sz/300053/300053/detail</t>
  </si>
  <si>
    <t>联美控股</t>
  </si>
  <si>
    <t>www.lixinger.com/analytics/company/sh/600167/600167/detail</t>
  </si>
  <si>
    <t>九号公司</t>
  </si>
  <si>
    <t>其他运输设备</t>
  </si>
  <si>
    <t>www.lixinger.com/analytics/company/sh/689009/689009/detail</t>
  </si>
  <si>
    <t>万控智造</t>
  </si>
  <si>
    <t>www.lixinger.com/analytics/company/sh/603070/603070/detail</t>
  </si>
  <si>
    <t>汇金通</t>
  </si>
  <si>
    <t>www.lixinger.com/analytics/company/sh/603577/603577/detail</t>
  </si>
  <si>
    <t>立昂微</t>
  </si>
  <si>
    <t>www.lixinger.com/analytics/company/sh/605358/605358/detail</t>
  </si>
  <si>
    <t>永安行</t>
  </si>
  <si>
    <t>www.lixinger.com/analytics/company/sh/603776/603776/detail</t>
  </si>
  <si>
    <t>江苏阳光</t>
  </si>
  <si>
    <t>其他纺织</t>
  </si>
  <si>
    <t>www.lixinger.com/analytics/company/sh/600220/600220/detail</t>
  </si>
  <si>
    <t>蓝黛科技</t>
  </si>
  <si>
    <t>www.lixinger.com/analytics/company/sz/002765/2765/detail</t>
  </si>
  <si>
    <t>渤海股份</t>
  </si>
  <si>
    <t>www.lixinger.com/analytics/company/sz/000605/605/detail</t>
  </si>
  <si>
    <t>中信海直</t>
  </si>
  <si>
    <t>www.lixinger.com/analytics/company/sz/000099/99/detail</t>
  </si>
  <si>
    <t>鱼跃医疗</t>
  </si>
  <si>
    <t>www.lixinger.com/analytics/company/sz/002223/2223/detail</t>
  </si>
  <si>
    <t>ST红太阳</t>
  </si>
  <si>
    <t>www.lixinger.com/analytics/company/sz/000525/525/detail</t>
  </si>
  <si>
    <t>先河环保</t>
  </si>
  <si>
    <t>www.lixinger.com/analytics/company/sz/300137/300137/detail</t>
  </si>
  <si>
    <t>海峡环保</t>
  </si>
  <si>
    <t>www.lixinger.com/analytics/company/sh/603817/603817/detail</t>
  </si>
  <si>
    <t>北京科锐</t>
  </si>
  <si>
    <t>www.lixinger.com/analytics/company/sz/002350/2350/detail</t>
  </si>
  <si>
    <t>金地集团</t>
  </si>
  <si>
    <t>www.lixinger.com/analytics/company/sh/600383/600383/detail</t>
  </si>
  <si>
    <t>永茂泰</t>
  </si>
  <si>
    <t>www.lixinger.com/analytics/company/sh/605208/605208/detail</t>
  </si>
  <si>
    <t>百克生物</t>
  </si>
  <si>
    <t>www.lixinger.com/analytics/company/sh/688276/688276/detail</t>
  </si>
  <si>
    <t>文科园林</t>
  </si>
  <si>
    <t>www.lixinger.com/analytics/company/sz/002775/2775/detail</t>
  </si>
  <si>
    <t>金洲管道</t>
  </si>
  <si>
    <t>www.lixinger.com/analytics/company/sz/002443/2443/detail</t>
  </si>
  <si>
    <t>丰原药业</t>
  </si>
  <si>
    <t>www.lixinger.com/analytics/company/sz/000153/153/detail</t>
  </si>
  <si>
    <t>吉鑫科技</t>
  </si>
  <si>
    <t>www.lixinger.com/analytics/company/sh/601218/601218/detail</t>
  </si>
  <si>
    <t>四维图新</t>
  </si>
  <si>
    <t>www.lixinger.com/analytics/company/sz/002405/2405/detail</t>
  </si>
  <si>
    <t>安克创新</t>
  </si>
  <si>
    <t>www.lixinger.com/analytics/company/sz/300866/300866/detail</t>
  </si>
  <si>
    <t>光华科技</t>
  </si>
  <si>
    <t>www.lixinger.com/analytics/company/sz/002741/2741/detail</t>
  </si>
  <si>
    <t>国投资本</t>
  </si>
  <si>
    <t>金融控股</t>
  </si>
  <si>
    <t>www.lixinger.com/analytics/company/sh/600061/600061/detail</t>
  </si>
  <si>
    <t>景嘉微</t>
  </si>
  <si>
    <t>www.lixinger.com/analytics/company/sz/300474/300474/detail</t>
  </si>
  <si>
    <t>金禾实业</t>
  </si>
  <si>
    <t>www.lixinger.com/analytics/company/sz/002597/2597/detail</t>
  </si>
  <si>
    <t>金融街</t>
  </si>
  <si>
    <t>www.lixinger.com/analytics/company/sz/000402/402/detail</t>
  </si>
  <si>
    <t>协创数据</t>
  </si>
  <si>
    <t>www.lixinger.com/analytics/company/sz/300857/300857/detail</t>
  </si>
  <si>
    <t>长鹰信质</t>
  </si>
  <si>
    <t>www.lixinger.com/analytics/company/sz/002664/2664/detail</t>
  </si>
  <si>
    <t>绿茵生态</t>
  </si>
  <si>
    <t>www.lixinger.com/analytics/company/sz/002887/2887/detail</t>
  </si>
  <si>
    <t>五洲新春</t>
  </si>
  <si>
    <t>www.lixinger.com/analytics/company/sh/603667/603667/detail</t>
  </si>
  <si>
    <t>三角轮胎</t>
  </si>
  <si>
    <t>www.lixinger.com/analytics/company/sh/601163/601163/detail</t>
  </si>
  <si>
    <t>鲁抗医药</t>
  </si>
  <si>
    <t>www.lixinger.com/analytics/company/sh/600789/600789/detail</t>
  </si>
  <si>
    <t>甘李药业</t>
  </si>
  <si>
    <t>www.lixinger.com/analytics/company/sh/603087/603087/detail</t>
  </si>
  <si>
    <t>新亚制程</t>
  </si>
  <si>
    <t>www.lixinger.com/analytics/company/sz/002388/2388/detail</t>
  </si>
  <si>
    <t>世纪瑞尔</t>
  </si>
  <si>
    <t>www.lixinger.com/analytics/company/sz/300150/300150/detail</t>
  </si>
  <si>
    <t>雪浪环境</t>
  </si>
  <si>
    <t>www.lixinger.com/analytics/company/sz/300385/300385/detail</t>
  </si>
  <si>
    <t>红相股份</t>
  </si>
  <si>
    <t>www.lixinger.com/analytics/company/sz/300427/300427/detail</t>
  </si>
  <si>
    <t>激智科技</t>
  </si>
  <si>
    <t>www.lixinger.com/analytics/company/sz/300566/300566/detail</t>
  </si>
  <si>
    <t>贝因美</t>
  </si>
  <si>
    <t>www.lixinger.com/analytics/company/sz/002570/2570/detail</t>
  </si>
  <si>
    <t>动力源</t>
  </si>
  <si>
    <t>www.lixinger.com/analytics/company/sh/600405/600405/detail</t>
  </si>
  <si>
    <t>日上集团</t>
  </si>
  <si>
    <t>www.lixinger.com/analytics/company/sz/002593/2593/detail</t>
  </si>
  <si>
    <t>盛视科技</t>
  </si>
  <si>
    <t>www.lixinger.com/analytics/company/sz/002990/2990/detail</t>
  </si>
  <si>
    <t>欧陆通</t>
  </si>
  <si>
    <t>www.lixinger.com/analytics/company/sz/300870/300870/detail</t>
  </si>
  <si>
    <t>埃斯顿</t>
  </si>
  <si>
    <t>www.lixinger.com/analytics/company/sz/002747/2747/detail</t>
  </si>
  <si>
    <t>申昊科技</t>
  </si>
  <si>
    <t>www.lixinger.com/analytics/company/sz/300853/300853/detail</t>
  </si>
  <si>
    <t>申菱环境</t>
  </si>
  <si>
    <t>www.lixinger.com/analytics/company/sz/301018/301018/detail</t>
  </si>
  <si>
    <t>德联集团</t>
  </si>
  <si>
    <t>www.lixinger.com/analytics/company/sz/002666/2666/detail</t>
  </si>
  <si>
    <t>万达信息</t>
  </si>
  <si>
    <t>www.lixinger.com/analytics/company/sz/300168/300168/detail</t>
  </si>
  <si>
    <t>方大炭素</t>
  </si>
  <si>
    <t>www.lixinger.com/analytics/company/sh/600516/600516/detail</t>
  </si>
  <si>
    <t>京威股份</t>
  </si>
  <si>
    <t>www.lixinger.com/analytics/company/sz/002662/2662/detail</t>
  </si>
  <si>
    <t>华脉科技</t>
  </si>
  <si>
    <t>www.lixinger.com/analytics/company/sh/603042/603042/detail</t>
  </si>
  <si>
    <t>亿联网络</t>
  </si>
  <si>
    <t>www.lixinger.com/analytics/company/sz/300628/300628/detail</t>
  </si>
  <si>
    <t>斯迪克</t>
  </si>
  <si>
    <t>www.lixinger.com/analytics/company/sz/300806/300806/detail</t>
  </si>
  <si>
    <t>捷顺科技</t>
  </si>
  <si>
    <t>www.lixinger.com/analytics/company/sz/002609/2609/detail</t>
  </si>
  <si>
    <t>悦康药业</t>
  </si>
  <si>
    <t>www.lixinger.com/analytics/company/sh/688658/688658/detail</t>
  </si>
  <si>
    <t>中国汽研</t>
  </si>
  <si>
    <t>汽车综合服务</t>
  </si>
  <si>
    <t>www.lixinger.com/analytics/company/sh/601965/601965/detail</t>
  </si>
  <si>
    <t>雪人股份</t>
  </si>
  <si>
    <t>www.lixinger.com/analytics/company/sz/002639/2639/detail</t>
  </si>
  <si>
    <t>圣阳股份</t>
  </si>
  <si>
    <t>www.lixinger.com/analytics/company/sz/002580/2580/detail</t>
  </si>
  <si>
    <t>美芝股份</t>
  </si>
  <si>
    <t>www.lixinger.com/analytics/company/sz/002856/2856/detail</t>
  </si>
  <si>
    <t>金智科技</t>
  </si>
  <si>
    <t>www.lixinger.com/analytics/company/sz/002090/2090/detail</t>
  </si>
  <si>
    <t>博实股份</t>
  </si>
  <si>
    <t>www.lixinger.com/analytics/company/sz/002698/2698/detail</t>
  </si>
  <si>
    <t>华达科技</t>
  </si>
  <si>
    <t>www.lixinger.com/analytics/company/sh/603358/603358/detail</t>
  </si>
  <si>
    <t>三利谱</t>
  </si>
  <si>
    <t>www.lixinger.com/analytics/company/sz/002876/2876/detail</t>
  </si>
  <si>
    <t>宏力达</t>
  </si>
  <si>
    <t>www.lixinger.com/analytics/company/sh/688330/688330/detail</t>
  </si>
  <si>
    <t>鼎龙股份</t>
  </si>
  <si>
    <t>www.lixinger.com/analytics/company/sz/300054/300054/detail</t>
  </si>
  <si>
    <t>雅化集团</t>
  </si>
  <si>
    <t>www.lixinger.com/analytics/company/sz/002497/2497/detail</t>
  </si>
  <si>
    <t>仁和药业</t>
  </si>
  <si>
    <t>www.lixinger.com/analytics/company/sz/000650/650/detail</t>
  </si>
  <si>
    <t>元隆雅图</t>
  </si>
  <si>
    <t>会展服务</t>
  </si>
  <si>
    <t>www.lixinger.com/analytics/company/sz/002878/2878/detail</t>
  </si>
  <si>
    <t>*ST华昌</t>
  </si>
  <si>
    <t>www.lixinger.com/analytics/company/sz/300278/300278/detail</t>
  </si>
  <si>
    <t>东材科技</t>
  </si>
  <si>
    <t>www.lixinger.com/analytics/company/sh/601208/601208/detail</t>
  </si>
  <si>
    <t>柯利达</t>
  </si>
  <si>
    <t>www.lixinger.com/analytics/company/sh/603828/603828/detail</t>
  </si>
  <si>
    <t>威奥股份</t>
  </si>
  <si>
    <t>www.lixinger.com/analytics/company/sh/605001/605001/detail</t>
  </si>
  <si>
    <t>物产环能</t>
  </si>
  <si>
    <t>www.lixinger.com/analytics/company/sh/603071/603071/detail</t>
  </si>
  <si>
    <t>万安科技</t>
  </si>
  <si>
    <t>www.lixinger.com/analytics/company/sz/002590/2590/detail</t>
  </si>
  <si>
    <t>楚天龙</t>
  </si>
  <si>
    <t>www.lixinger.com/analytics/company/sz/003040/3040/detail</t>
  </si>
  <si>
    <t>利元亨</t>
  </si>
  <si>
    <t>www.lixinger.com/analytics/company/sh/688499/688499/detail</t>
  </si>
  <si>
    <t>瑞和股份</t>
  </si>
  <si>
    <t>www.lixinger.com/analytics/company/sz/002620/2620/detail</t>
  </si>
  <si>
    <t>海洋王</t>
  </si>
  <si>
    <t>www.lixinger.com/analytics/company/sz/002724/2724/detail</t>
  </si>
  <si>
    <t>龙洲股份</t>
  </si>
  <si>
    <t>www.lixinger.com/analytics/company/sz/002682/2682/detail</t>
  </si>
  <si>
    <t>卓胜微</t>
  </si>
  <si>
    <t>模拟芯片设计</t>
  </si>
  <si>
    <t>www.lixinger.com/analytics/company/sz/300782/300782/detail</t>
  </si>
  <si>
    <t>朗进科技</t>
  </si>
  <si>
    <t>www.lixinger.com/analytics/company/sz/300594/300594/detail</t>
  </si>
  <si>
    <t>华录百纳</t>
  </si>
  <si>
    <t>www.lixinger.com/analytics/company/sz/300291/300291/detail</t>
  </si>
  <si>
    <t>中国海诚</t>
  </si>
  <si>
    <t>www.lixinger.com/analytics/company/sz/002116/2116/detail</t>
  </si>
  <si>
    <t>尤安设计</t>
  </si>
  <si>
    <t>www.lixinger.com/analytics/company/sz/300983/300983/detail</t>
  </si>
  <si>
    <t>湘财股份</t>
  </si>
  <si>
    <t>www.lixinger.com/analytics/company/sh/600095/600095/detail</t>
  </si>
  <si>
    <t>哈空调</t>
  </si>
  <si>
    <t>www.lixinger.com/analytics/company/sh/600202/600202/detail</t>
  </si>
  <si>
    <t>引力传媒</t>
  </si>
  <si>
    <t>www.lixinger.com/analytics/company/sh/603598/603598/detail</t>
  </si>
  <si>
    <t>盛剑环境</t>
  </si>
  <si>
    <t>www.lixinger.com/analytics/company/sh/603324/603324/detail</t>
  </si>
  <si>
    <t>瑞斯康达</t>
  </si>
  <si>
    <t>www.lixinger.com/analytics/company/sh/603803/603803/detail</t>
  </si>
  <si>
    <t>启迪设计</t>
  </si>
  <si>
    <t>www.lixinger.com/analytics/company/sz/300500/300500/detail</t>
  </si>
  <si>
    <t>帝科股份</t>
  </si>
  <si>
    <t>www.lixinger.com/analytics/company/sz/300842/300842/detail</t>
  </si>
  <si>
    <t>耀皮玻璃</t>
  </si>
  <si>
    <t>www.lixinger.com/analytics/company/sh/600819/600819/detail</t>
  </si>
  <si>
    <t>中远海能</t>
  </si>
  <si>
    <t>www.lixinger.com/analytics/company/sh/600026/600026/detail</t>
  </si>
  <si>
    <t>威腾电气</t>
  </si>
  <si>
    <t>www.lixinger.com/analytics/company/sh/688226/688226/detail</t>
  </si>
  <si>
    <t>ST起步</t>
  </si>
  <si>
    <t>www.lixinger.com/analytics/company/sh/603557/603557/detail</t>
  </si>
  <si>
    <t>国盛金控</t>
  </si>
  <si>
    <t>www.lixinger.com/analytics/company/sz/002670/2670/detail</t>
  </si>
  <si>
    <t>爱克股份</t>
  </si>
  <si>
    <t>www.lixinger.com/analytics/company/sz/300889/300889/detail</t>
  </si>
  <si>
    <t>圣济堂</t>
  </si>
  <si>
    <t>www.lixinger.com/analytics/company/sh/600227/600227/detail</t>
  </si>
  <si>
    <t>中原环保</t>
  </si>
  <si>
    <t>www.lixinger.com/analytics/company/sz/000544/544/detail</t>
  </si>
  <si>
    <t>东风股份</t>
  </si>
  <si>
    <t>www.lixinger.com/analytics/company/sh/601515/601515/detail</t>
  </si>
  <si>
    <t>上海莱士</t>
  </si>
  <si>
    <t>www.lixinger.com/analytics/company/sz/002252/2252/detail</t>
  </si>
  <si>
    <t>恩华药业</t>
  </si>
  <si>
    <t>www.lixinger.com/analytics/company/sz/002262/2262/detail</t>
  </si>
  <si>
    <t>蓝帆医疗</t>
  </si>
  <si>
    <t>www.lixinger.com/analytics/company/sz/002382/2382/detail</t>
  </si>
  <si>
    <t>海目星</t>
  </si>
  <si>
    <t>www.lixinger.com/analytics/company/sh/688559/688559/detail</t>
  </si>
  <si>
    <t>江苏吴中</t>
  </si>
  <si>
    <t>www.lixinger.com/analytics/company/sh/600200/600200/detail</t>
  </si>
  <si>
    <t>香山股份</t>
  </si>
  <si>
    <t>www.lixinger.com/analytics/company/sz/002870/2870/detail</t>
  </si>
  <si>
    <t>西宁特钢</t>
  </si>
  <si>
    <t>www.lixinger.com/analytics/company/sh/600117/600117/detail</t>
  </si>
  <si>
    <t>海南发展</t>
  </si>
  <si>
    <t>www.lixinger.com/analytics/company/sz/002163/2163/detail</t>
  </si>
  <si>
    <t>电科数字</t>
  </si>
  <si>
    <t>www.lixinger.com/analytics/company/sh/600850/600850/detail</t>
  </si>
  <si>
    <t>德昌股份</t>
  </si>
  <si>
    <t>www.lixinger.com/analytics/company/sh/605555/605555/detail</t>
  </si>
  <si>
    <t>汇顶科技</t>
  </si>
  <si>
    <t>www.lixinger.com/analytics/company/sh/603160/603160/detail</t>
  </si>
  <si>
    <t>辽宁能源</t>
  </si>
  <si>
    <t>www.lixinger.com/analytics/company/sh/600758/600758/detail</t>
  </si>
  <si>
    <t>英力股份</t>
  </si>
  <si>
    <t>www.lixinger.com/analytics/company/sz/300956/300956/detail</t>
  </si>
  <si>
    <t>北方股份</t>
  </si>
  <si>
    <t>www.lixinger.com/analytics/company/sh/600262/600262/detail</t>
  </si>
  <si>
    <t>绿盟科技</t>
  </si>
  <si>
    <t>www.lixinger.com/analytics/company/sz/300369/300369/detail</t>
  </si>
  <si>
    <t>天马科技</t>
  </si>
  <si>
    <t>www.lixinger.com/analytics/company/sh/603668/603668/detail</t>
  </si>
  <si>
    <t>百隆东方</t>
  </si>
  <si>
    <t>www.lixinger.com/analytics/company/sh/601339/601339/detail</t>
  </si>
  <si>
    <t>久祺股份</t>
  </si>
  <si>
    <t>www.lixinger.com/analytics/company/sz/300994/300994/detail</t>
  </si>
  <si>
    <t>慈星股份</t>
  </si>
  <si>
    <t>www.lixinger.com/analytics/company/sz/300307/300307/detail</t>
  </si>
  <si>
    <t>雅克科技</t>
  </si>
  <si>
    <t>www.lixinger.com/analytics/company/sz/002409/2409/detail</t>
  </si>
  <si>
    <t>合康新能</t>
  </si>
  <si>
    <t>www.lixinger.com/analytics/company/sz/300048/300048/detail</t>
  </si>
  <si>
    <t>石大胜华</t>
  </si>
  <si>
    <t>www.lixinger.com/analytics/company/sh/603026/603026/detail</t>
  </si>
  <si>
    <t>金能科技</t>
  </si>
  <si>
    <t>www.lixinger.com/analytics/company/sh/603113/603113/detail</t>
  </si>
  <si>
    <t>硅宝科技</t>
  </si>
  <si>
    <t>www.lixinger.com/analytics/company/sz/300019/300019/detail</t>
  </si>
  <si>
    <t>九洲药业</t>
  </si>
  <si>
    <t>www.lixinger.com/analytics/company/sh/603456/603456/detail</t>
  </si>
  <si>
    <t>中国卫通</t>
  </si>
  <si>
    <t>www.lixinger.com/analytics/company/sh/601698/601698/detail</t>
  </si>
  <si>
    <t>大富科技</t>
  </si>
  <si>
    <t>www.lixinger.com/analytics/company/sz/300134/300134/detail</t>
  </si>
  <si>
    <t>银邦股份</t>
  </si>
  <si>
    <t>www.lixinger.com/analytics/company/sz/300337/300337/detail</t>
  </si>
  <si>
    <t>乾照光电</t>
  </si>
  <si>
    <t>www.lixinger.com/analytics/company/sz/300102/300102/detail</t>
  </si>
  <si>
    <t>铁龙物流</t>
  </si>
  <si>
    <t>www.lixinger.com/analytics/company/sh/600125/600125/detail</t>
  </si>
  <si>
    <t>三和管桩</t>
  </si>
  <si>
    <t>www.lixinger.com/analytics/company/sz/003037/3037/detail</t>
  </si>
  <si>
    <t>新益昌</t>
  </si>
  <si>
    <t>www.lixinger.com/analytics/company/sh/688383/688383/detail</t>
  </si>
  <si>
    <t>中岩大地</t>
  </si>
  <si>
    <t>www.lixinger.com/analytics/company/sz/003001/3001/detail</t>
  </si>
  <si>
    <t>华中数控</t>
  </si>
  <si>
    <t>www.lixinger.com/analytics/company/sz/300161/300161/detail</t>
  </si>
  <si>
    <t>陕西黑猫</t>
  </si>
  <si>
    <t>www.lixinger.com/analytics/company/sh/601015/601015/detail</t>
  </si>
  <si>
    <t>苏大维格</t>
  </si>
  <si>
    <t>www.lixinger.com/analytics/company/sz/300331/300331/detail</t>
  </si>
  <si>
    <t>硕世生物</t>
  </si>
  <si>
    <t>www.lixinger.com/analytics/company/sh/688399/688399/detail</t>
  </si>
  <si>
    <t>广大特材</t>
  </si>
  <si>
    <t>www.lixinger.com/analytics/company/sh/688186/688186/detail</t>
  </si>
  <si>
    <t>华强科技</t>
  </si>
  <si>
    <t>www.lixinger.com/analytics/company/sh/688151/688151/detail</t>
  </si>
  <si>
    <t>合盛硅业</t>
  </si>
  <si>
    <t>www.lixinger.com/analytics/company/sh/603260/603260/detail</t>
  </si>
  <si>
    <t>英威腾</t>
  </si>
  <si>
    <t>www.lixinger.com/analytics/company/sz/002334/2334/detail</t>
  </si>
  <si>
    <t>大恒科技</t>
  </si>
  <si>
    <t>www.lixinger.com/analytics/company/sh/600288/600288/detail</t>
  </si>
  <si>
    <t>桐昆股份</t>
  </si>
  <si>
    <t>www.lixinger.com/analytics/company/sh/601233/601233/detail</t>
  </si>
  <si>
    <t>恒林股份</t>
  </si>
  <si>
    <t>www.lixinger.com/analytics/company/sh/603661/603661/detail</t>
  </si>
  <si>
    <t>东方精工</t>
  </si>
  <si>
    <t>www.lixinger.com/analytics/company/sz/002611/2611/detail</t>
  </si>
  <si>
    <t>陕天然气</t>
  </si>
  <si>
    <t>www.lixinger.com/analytics/company/sz/002267/2267/detail</t>
  </si>
  <si>
    <t>康拓红外</t>
  </si>
  <si>
    <t>www.lixinger.com/analytics/company/sz/300455/300455/detail</t>
  </si>
  <si>
    <t>卫宁健康</t>
  </si>
  <si>
    <t>www.lixinger.com/analytics/company/sz/300253/300253/detail</t>
  </si>
  <si>
    <t>德美化工</t>
  </si>
  <si>
    <t>www.lixinger.com/analytics/company/sz/002054/2054/detail</t>
  </si>
  <si>
    <t>苏州固锝</t>
  </si>
  <si>
    <t>www.lixinger.com/analytics/company/sz/002079/2079/detail</t>
  </si>
  <si>
    <t>腾龙股份</t>
  </si>
  <si>
    <t>www.lixinger.com/analytics/company/sh/603158/603158/detail</t>
  </si>
  <si>
    <t>宇通重工</t>
  </si>
  <si>
    <t>www.lixinger.com/analytics/company/sh/600817/600817/detail</t>
  </si>
  <si>
    <t>亿华通</t>
  </si>
  <si>
    <t>燃料电池</t>
  </si>
  <si>
    <t>www.lixinger.com/analytics/company/sh/688339/688339/detail</t>
  </si>
  <si>
    <t>海波重科</t>
  </si>
  <si>
    <t>www.lixinger.com/analytics/company/sz/300517/300517/detail</t>
  </si>
  <si>
    <t>片仔癀</t>
  </si>
  <si>
    <t>www.lixinger.com/analytics/company/sh/600436/600436/detail</t>
  </si>
  <si>
    <t>金冠股份</t>
  </si>
  <si>
    <t>www.lixinger.com/analytics/company/sz/300510/300510/detail</t>
  </si>
  <si>
    <t>经纬恒润</t>
  </si>
  <si>
    <t>www.lixinger.com/analytics/company/sh/688326/688326/detail</t>
  </si>
  <si>
    <t>振德医疗</t>
  </si>
  <si>
    <t>www.lixinger.com/analytics/company/sh/603301/603301/detail</t>
  </si>
  <si>
    <t>祥鑫科技</t>
  </si>
  <si>
    <t>www.lixinger.com/analytics/company/sz/002965/2965/detail</t>
  </si>
  <si>
    <t>ST和佳</t>
  </si>
  <si>
    <t>www.lixinger.com/analytics/company/sz/300273/300273/detail</t>
  </si>
  <si>
    <t>中远海特</t>
  </si>
  <si>
    <t>www.lixinger.com/analytics/company/sh/600428/600428/detail</t>
  </si>
  <si>
    <t>博汇纸业</t>
  </si>
  <si>
    <t>www.lixinger.com/analytics/company/sh/600966/600966/detail</t>
  </si>
  <si>
    <t>健民集团</t>
  </si>
  <si>
    <t>www.lixinger.com/analytics/company/sh/600976/600976/detail</t>
  </si>
  <si>
    <t>开山股份</t>
  </si>
  <si>
    <t>www.lixinger.com/analytics/company/sz/300257/300257/detail</t>
  </si>
  <si>
    <t>天宜上佳</t>
  </si>
  <si>
    <t>www.lixinger.com/analytics/company/sh/688033/688033/detail</t>
  </si>
  <si>
    <t>华康医疗</t>
  </si>
  <si>
    <t>www.lixinger.com/analytics/company/sz/301235/301235/detail</t>
  </si>
  <si>
    <t>英科医疗</t>
  </si>
  <si>
    <t>www.lixinger.com/analytics/company/sz/300677/300677/detail</t>
  </si>
  <si>
    <t>出版传媒</t>
  </si>
  <si>
    <t>www.lixinger.com/analytics/company/sh/601999/601999/detail</t>
  </si>
  <si>
    <t>金城医药</t>
  </si>
  <si>
    <t>www.lixinger.com/analytics/company/sz/300233/300233/detail</t>
  </si>
  <si>
    <t>尚荣医疗</t>
  </si>
  <si>
    <t>www.lixinger.com/analytics/company/sz/002551/2551/detail</t>
  </si>
  <si>
    <t>声光电科</t>
  </si>
  <si>
    <t>www.lixinger.com/analytics/company/sh/600877/600877/detail</t>
  </si>
  <si>
    <t>九芝堂</t>
  </si>
  <si>
    <t>www.lixinger.com/analytics/company/sz/000989/989/detail</t>
  </si>
  <si>
    <t>永东股份</t>
  </si>
  <si>
    <t>www.lixinger.com/analytics/company/sz/002753/2753/detail</t>
  </si>
  <si>
    <t>宁水集团</t>
  </si>
  <si>
    <t>www.lixinger.com/analytics/company/sh/603700/603700/detail</t>
  </si>
  <si>
    <t>航新科技</t>
  </si>
  <si>
    <t>www.lixinger.com/analytics/company/sz/300424/300424/detail</t>
  </si>
  <si>
    <t>森麒麟</t>
  </si>
  <si>
    <t>www.lixinger.com/analytics/company/sz/002984/2984/detail</t>
  </si>
  <si>
    <t>鲁泰Ａ</t>
  </si>
  <si>
    <t>www.lixinger.com/analytics/company/sz/000726/726/detail</t>
  </si>
  <si>
    <t>海螺新材</t>
  </si>
  <si>
    <t>www.lixinger.com/analytics/company/sz/000619/619/detail</t>
  </si>
  <si>
    <t>韩建河山</t>
  </si>
  <si>
    <t>www.lixinger.com/analytics/company/sh/603616/603616/detail</t>
  </si>
  <si>
    <t>云南旅游</t>
  </si>
  <si>
    <t>www.lixinger.com/analytics/company/sz/002059/2059/detail</t>
  </si>
  <si>
    <t>铭普光磁</t>
  </si>
  <si>
    <t>www.lixinger.com/analytics/company/sz/002902/2902/detail</t>
  </si>
  <si>
    <t>深天地Ａ</t>
  </si>
  <si>
    <t>www.lixinger.com/analytics/company/sz/000023/23/detail</t>
  </si>
  <si>
    <t>永贵电器</t>
  </si>
  <si>
    <t>www.lixinger.com/analytics/company/sz/300351/300351/detail</t>
  </si>
  <si>
    <t>海南橡胶</t>
  </si>
  <si>
    <t>www.lixinger.com/analytics/company/sh/601118/601118/detail</t>
  </si>
  <si>
    <t>中山公用</t>
  </si>
  <si>
    <t>www.lixinger.com/analytics/company/sz/000685/685/detail</t>
  </si>
  <si>
    <t>正业科技</t>
  </si>
  <si>
    <t>www.lixinger.com/analytics/company/sz/300410/300410/detail</t>
  </si>
  <si>
    <t>*ST跨境</t>
  </si>
  <si>
    <t>www.lixinger.com/analytics/company/sz/002640/2640/detail</t>
  </si>
  <si>
    <t>永福股份</t>
  </si>
  <si>
    <t>www.lixinger.com/analytics/company/sz/300712/300712/detail</t>
  </si>
  <si>
    <t>国检集团</t>
  </si>
  <si>
    <t>www.lixinger.com/analytics/company/sh/603060/603060/detail</t>
  </si>
  <si>
    <t>长亮科技</t>
  </si>
  <si>
    <t>www.lixinger.com/analytics/company/sz/300348/300348/detail</t>
  </si>
  <si>
    <t>广西广电</t>
  </si>
  <si>
    <t>www.lixinger.com/analytics/company/sh/600936/600936/detail</t>
  </si>
  <si>
    <t>协鑫集成</t>
  </si>
  <si>
    <t>www.lixinger.com/analytics/company/sz/002506/2506/detail</t>
  </si>
  <si>
    <t>英利汽车</t>
  </si>
  <si>
    <t>www.lixinger.com/analytics/company/sh/601279/601279/detail</t>
  </si>
  <si>
    <t>先进数通</t>
  </si>
  <si>
    <t>www.lixinger.com/analytics/company/sz/300541/300541/detail</t>
  </si>
  <si>
    <t>传艺科技</t>
  </si>
  <si>
    <t>www.lixinger.com/analytics/company/sz/002866/2866/detail</t>
  </si>
  <si>
    <t>易尚展示</t>
  </si>
  <si>
    <t>www.lixinger.com/analytics/company/sz/002751/2751/detail</t>
  </si>
  <si>
    <t>三友化工</t>
  </si>
  <si>
    <t>粘胶</t>
  </si>
  <si>
    <t>www.lixinger.com/analytics/company/sh/600409/600409/detail</t>
  </si>
  <si>
    <t>全信股份</t>
  </si>
  <si>
    <t>www.lixinger.com/analytics/company/sz/300447/300447/detail</t>
  </si>
  <si>
    <t>北京君正</t>
  </si>
  <si>
    <t>www.lixinger.com/analytics/company/sz/300223/300223/detail</t>
  </si>
  <si>
    <t>汇得科技</t>
  </si>
  <si>
    <t>www.lixinger.com/analytics/company/sh/603192/603192/detail</t>
  </si>
  <si>
    <t>经纬辉开</t>
  </si>
  <si>
    <t>www.lixinger.com/analytics/company/sz/300120/300120/detail</t>
  </si>
  <si>
    <t>龙泉股份</t>
  </si>
  <si>
    <t>www.lixinger.com/analytics/company/sz/002671/2671/detail</t>
  </si>
  <si>
    <t>合诚股份</t>
  </si>
  <si>
    <t>www.lixinger.com/analytics/company/sh/603909/603909/detail</t>
  </si>
  <si>
    <t>标准股份</t>
  </si>
  <si>
    <t>www.lixinger.com/analytics/company/sh/600302/600302/detail</t>
  </si>
  <si>
    <t>电广传媒</t>
  </si>
  <si>
    <t>www.lixinger.com/analytics/company/sz/000917/917/detail</t>
  </si>
  <si>
    <t>凯发电气</t>
  </si>
  <si>
    <t>www.lixinger.com/analytics/company/sz/300407/300407/detail</t>
  </si>
  <si>
    <t>仙琚制药</t>
  </si>
  <si>
    <t>www.lixinger.com/analytics/company/sz/002332/2332/detail</t>
  </si>
  <si>
    <t>北信源</t>
  </si>
  <si>
    <t>www.lixinger.com/analytics/company/sz/300352/300352/detail</t>
  </si>
  <si>
    <t>锦浪科技</t>
  </si>
  <si>
    <t>www.lixinger.com/analytics/company/sz/300763/300763/detail</t>
  </si>
  <si>
    <t>晋亿实业</t>
  </si>
  <si>
    <t>www.lixinger.com/analytics/company/sh/601002/601002/detail</t>
  </si>
  <si>
    <t>赛意信息</t>
  </si>
  <si>
    <t>www.lixinger.com/analytics/company/sz/300687/300687/detail</t>
  </si>
  <si>
    <t>航天动力</t>
  </si>
  <si>
    <t>www.lixinger.com/analytics/company/sh/600343/600343/detail</t>
  </si>
  <si>
    <t>中电环保</t>
  </si>
  <si>
    <t>www.lixinger.com/analytics/company/sz/300172/300172/detail</t>
  </si>
  <si>
    <t>蓝科高新</t>
  </si>
  <si>
    <t>www.lixinger.com/analytics/company/sh/601798/601798/detail</t>
  </si>
  <si>
    <t>永辉超市</t>
  </si>
  <si>
    <t>超市</t>
  </si>
  <si>
    <t>www.lixinger.com/analytics/company/sh/601933/601933/detail</t>
  </si>
  <si>
    <t>利安隆</t>
  </si>
  <si>
    <t>www.lixinger.com/analytics/company/sz/300596/300596/detail</t>
  </si>
  <si>
    <t>雅创电子</t>
  </si>
  <si>
    <t>www.lixinger.com/analytics/company/sz/301099/301099/detail</t>
  </si>
  <si>
    <t>通宇通讯</t>
  </si>
  <si>
    <t>www.lixinger.com/analytics/company/sz/002792/2792/detail</t>
  </si>
  <si>
    <t>司太立</t>
  </si>
  <si>
    <t>www.lixinger.com/analytics/company/sh/603520/603520/detail</t>
  </si>
  <si>
    <t>中衡设计</t>
  </si>
  <si>
    <t>www.lixinger.com/analytics/company/sh/603017/603017/detail</t>
  </si>
  <si>
    <t>德尔股份</t>
  </si>
  <si>
    <t>www.lixinger.com/analytics/company/sz/300473/300473/detail</t>
  </si>
  <si>
    <t>钱江生化</t>
  </si>
  <si>
    <t>www.lixinger.com/analytics/company/sh/600796/600796/detail</t>
  </si>
  <si>
    <t>龙宇燃油</t>
  </si>
  <si>
    <t>www.lixinger.com/analytics/company/sh/603003/603003/detail</t>
  </si>
  <si>
    <t>瑞普生物</t>
  </si>
  <si>
    <t>www.lixinger.com/analytics/company/sz/300119/300119/detail</t>
  </si>
  <si>
    <t>天晟新材</t>
  </si>
  <si>
    <t>www.lixinger.com/analytics/company/sz/300169/300169/detail</t>
  </si>
  <si>
    <t>申通快递</t>
  </si>
  <si>
    <t>www.lixinger.com/analytics/company/sz/002468/2468/detail</t>
  </si>
  <si>
    <t>卡倍亿</t>
  </si>
  <si>
    <t>www.lixinger.com/analytics/company/sz/300863/300863/detail</t>
  </si>
  <si>
    <t>震安科技</t>
  </si>
  <si>
    <t>www.lixinger.com/analytics/company/sz/300767/300767/detail</t>
  </si>
  <si>
    <t>太龙药业</t>
  </si>
  <si>
    <t>www.lixinger.com/analytics/company/sh/600222/600222/detail</t>
  </si>
  <si>
    <t>益客食品</t>
  </si>
  <si>
    <t>肉鸡养殖</t>
  </si>
  <si>
    <t>www.lixinger.com/analytics/company/sz/301116/301116/detail</t>
  </si>
  <si>
    <t>神火股份</t>
  </si>
  <si>
    <t>www.lixinger.com/analytics/company/sz/000933/933/detail</t>
  </si>
  <si>
    <t>彤程新材</t>
  </si>
  <si>
    <t>www.lixinger.com/analytics/company/sh/603650/603650/detail</t>
  </si>
  <si>
    <t>欣锐科技</t>
  </si>
  <si>
    <t>www.lixinger.com/analytics/company/sz/300745/300745/detail</t>
  </si>
  <si>
    <t>美邦服饰</t>
  </si>
  <si>
    <t>www.lixinger.com/analytics/company/sz/002269/2269/detail</t>
  </si>
  <si>
    <t>黑芝麻</t>
  </si>
  <si>
    <t>烘焙食品</t>
  </si>
  <si>
    <t>www.lixinger.com/analytics/company/sz/000716/716/detail</t>
  </si>
  <si>
    <t>卫星化学</t>
  </si>
  <si>
    <t>www.lixinger.com/analytics/company/sz/002648/2648/detail</t>
  </si>
  <si>
    <t>曲美家居</t>
  </si>
  <si>
    <t>www.lixinger.com/analytics/company/sh/603818/603818/detail</t>
  </si>
  <si>
    <t>伊戈尔</t>
  </si>
  <si>
    <t>www.lixinger.com/analytics/company/sz/002922/2922/detail</t>
  </si>
  <si>
    <t>九阳股份</t>
  </si>
  <si>
    <t>www.lixinger.com/analytics/company/sz/002242/2242/detail</t>
  </si>
  <si>
    <t>洛阳玻璃</t>
  </si>
  <si>
    <t>www.lixinger.com/analytics/company/sh/600876/600876/detail</t>
  </si>
  <si>
    <t>深纺织Ａ</t>
  </si>
  <si>
    <t>www.lixinger.com/analytics/company/sz/000045/45/detail</t>
  </si>
  <si>
    <t>台华新材</t>
  </si>
  <si>
    <t>www.lixinger.com/analytics/company/sh/603055/603055/detail</t>
  </si>
  <si>
    <t>中科星图</t>
  </si>
  <si>
    <t>www.lixinger.com/analytics/company/sh/688568/688568/detail</t>
  </si>
  <si>
    <t>*ST猛狮</t>
  </si>
  <si>
    <t>www.lixinger.com/analytics/company/sz/002684/2684/detail</t>
  </si>
  <si>
    <t>联赢激光</t>
  </si>
  <si>
    <t>www.lixinger.com/analytics/company/sh/688518/688518/detail</t>
  </si>
  <si>
    <t>齐峰新材</t>
  </si>
  <si>
    <t>www.lixinger.com/analytics/company/sz/002521/2521/detail</t>
  </si>
  <si>
    <t>洛凯股份</t>
  </si>
  <si>
    <t>www.lixinger.com/analytics/company/sh/603829/603829/detail</t>
  </si>
  <si>
    <t>华铭智能</t>
  </si>
  <si>
    <t>www.lixinger.com/analytics/company/sz/300462/300462/detail</t>
  </si>
  <si>
    <t>华峰超纤</t>
  </si>
  <si>
    <t>www.lixinger.com/analytics/company/sz/300180/300180/detail</t>
  </si>
  <si>
    <t>日照港</t>
  </si>
  <si>
    <t>www.lixinger.com/analytics/company/sh/600017/600017/detail</t>
  </si>
  <si>
    <t>内蒙新华</t>
  </si>
  <si>
    <t>www.lixinger.com/analytics/company/sh/603230/603230/detail</t>
  </si>
  <si>
    <t>南新制药</t>
  </si>
  <si>
    <t>www.lixinger.com/analytics/company/sh/688189/688189/detail</t>
  </si>
  <si>
    <t>红蜻蜓</t>
  </si>
  <si>
    <t>www.lixinger.com/analytics/company/sh/603116/603116/detail</t>
  </si>
  <si>
    <t>香农芯创</t>
  </si>
  <si>
    <t>www.lixinger.com/analytics/company/sz/300475/300475/detail</t>
  </si>
  <si>
    <t>沃格光电</t>
  </si>
  <si>
    <t>www.lixinger.com/analytics/company/sh/603773/603773/detail</t>
  </si>
  <si>
    <t>济南高新</t>
  </si>
  <si>
    <t>www.lixinger.com/analytics/company/sh/600807/600807/detail</t>
  </si>
  <si>
    <t>浙江震元</t>
  </si>
  <si>
    <t>www.lixinger.com/analytics/company/sz/000705/705/detail</t>
  </si>
  <si>
    <t>天安新材</t>
  </si>
  <si>
    <t>www.lixinger.com/analytics/company/sh/603725/603725/detail</t>
  </si>
  <si>
    <t>海得控制</t>
  </si>
  <si>
    <t>www.lixinger.com/analytics/company/sz/002184/2184/detail</t>
  </si>
  <si>
    <t>新乳业</t>
  </si>
  <si>
    <t>www.lixinger.com/analytics/company/sz/002946/2946/detail</t>
  </si>
  <si>
    <t>意华股份</t>
  </si>
  <si>
    <t>www.lixinger.com/analytics/company/sz/002897/2897/detail</t>
  </si>
  <si>
    <t>永冠新材</t>
  </si>
  <si>
    <t>www.lixinger.com/analytics/company/sh/603681/603681/detail</t>
  </si>
  <si>
    <t>山东威达</t>
  </si>
  <si>
    <t>www.lixinger.com/analytics/company/sz/002026/2026/detail</t>
  </si>
  <si>
    <t>三丰智能</t>
  </si>
  <si>
    <t>www.lixinger.com/analytics/company/sz/300276/300276/detail</t>
  </si>
  <si>
    <t>中持股份</t>
  </si>
  <si>
    <t>www.lixinger.com/analytics/company/sh/603903/603903/detail</t>
  </si>
  <si>
    <t>盛泰集团</t>
  </si>
  <si>
    <t>www.lixinger.com/analytics/company/sh/605138/605138/detail</t>
  </si>
  <si>
    <t>易成新能</t>
  </si>
  <si>
    <t>www.lixinger.com/analytics/company/sz/300080/300080/detail</t>
  </si>
  <si>
    <t>新元科技</t>
  </si>
  <si>
    <t>www.lixinger.com/analytics/company/sz/300472/300472/detail</t>
  </si>
  <si>
    <t>孚日股份</t>
  </si>
  <si>
    <t>www.lixinger.com/analytics/company/sz/002083/2083/detail</t>
  </si>
  <si>
    <t>上工申贝</t>
  </si>
  <si>
    <t>www.lixinger.com/analytics/company/sh/600843/600843/detail</t>
  </si>
  <si>
    <t>山石网科</t>
  </si>
  <si>
    <t>www.lixinger.com/analytics/company/sh/688030/688030/detail</t>
  </si>
  <si>
    <t>*ST恒康</t>
  </si>
  <si>
    <t>www.lixinger.com/analytics/company/sz/002219/2219/detail</t>
  </si>
  <si>
    <t>辰欣药业</t>
  </si>
  <si>
    <t>www.lixinger.com/analytics/company/sh/603367/603367/detail</t>
  </si>
  <si>
    <t>百洋股份</t>
  </si>
  <si>
    <t>水产养殖</t>
  </si>
  <si>
    <t>www.lixinger.com/analytics/company/sz/002696/2696/detail</t>
  </si>
  <si>
    <t>中航产融</t>
  </si>
  <si>
    <t>www.lixinger.com/analytics/company/sh/600705/600705/detail</t>
  </si>
  <si>
    <t>基蛋生物</t>
  </si>
  <si>
    <t>www.lixinger.com/analytics/company/sh/603387/603387/detail</t>
  </si>
  <si>
    <t>思维列控</t>
  </si>
  <si>
    <t>www.lixinger.com/analytics/company/sh/603508/603508/detail</t>
  </si>
  <si>
    <t>太和水</t>
  </si>
  <si>
    <t>www.lixinger.com/analytics/company/sh/605081/605081/detail</t>
  </si>
  <si>
    <t>新朋股份</t>
  </si>
  <si>
    <t>www.lixinger.com/analytics/company/sz/002328/2328/detail</t>
  </si>
  <si>
    <t>鲁阳节能</t>
  </si>
  <si>
    <t>www.lixinger.com/analytics/company/sz/002088/2088/detail</t>
  </si>
  <si>
    <t>深城交</t>
  </si>
  <si>
    <t>www.lixinger.com/analytics/company/sz/301091/301091/detail</t>
  </si>
  <si>
    <t>石基信息</t>
  </si>
  <si>
    <t>www.lixinger.com/analytics/company/sz/002153/2153/detail</t>
  </si>
  <si>
    <t>华明装备</t>
  </si>
  <si>
    <t>www.lixinger.com/analytics/company/sz/002270/2270/detail</t>
  </si>
  <si>
    <t>圣农发展</t>
  </si>
  <si>
    <t>www.lixinger.com/analytics/company/sz/002299/2299/detail</t>
  </si>
  <si>
    <t>华宝股份</t>
  </si>
  <si>
    <t>www.lixinger.com/analytics/company/sz/300741/300741/detail</t>
  </si>
  <si>
    <t>上能电气</t>
  </si>
  <si>
    <t>www.lixinger.com/analytics/company/sz/300827/300827/detail</t>
  </si>
  <si>
    <t>海特高新</t>
  </si>
  <si>
    <t>www.lixinger.com/analytics/company/sz/002023/2023/detail</t>
  </si>
  <si>
    <t>报喜鸟</t>
  </si>
  <si>
    <t>www.lixinger.com/analytics/company/sz/002154/2154/detail</t>
  </si>
  <si>
    <t>招商证券</t>
  </si>
  <si>
    <t>www.lixinger.com/analytics/company/sh/600999/600999/detail</t>
  </si>
  <si>
    <t>万邦达</t>
  </si>
  <si>
    <t>www.lixinger.com/analytics/company/sz/300055/300055/detail</t>
  </si>
  <si>
    <t>爱乐达</t>
  </si>
  <si>
    <t>www.lixinger.com/analytics/company/sz/300696/300696/detail</t>
  </si>
  <si>
    <t>武进不锈</t>
  </si>
  <si>
    <t>www.lixinger.com/analytics/company/sh/603878/603878/detail</t>
  </si>
  <si>
    <t>中恒集团</t>
  </si>
  <si>
    <t>www.lixinger.com/analytics/company/sh/600252/600252/detail</t>
  </si>
  <si>
    <t>八方股份</t>
  </si>
  <si>
    <t>www.lixinger.com/analytics/company/sh/603489/603489/detail</t>
  </si>
  <si>
    <t>王子新材</t>
  </si>
  <si>
    <t>www.lixinger.com/analytics/company/sz/002735/2735/detail</t>
  </si>
  <si>
    <t>ST中安</t>
  </si>
  <si>
    <t>www.lixinger.com/analytics/company/sh/600654/600654/detail</t>
  </si>
  <si>
    <t>*ST尤夫</t>
  </si>
  <si>
    <t>www.lixinger.com/analytics/company/sz/002427/2427/detail</t>
  </si>
  <si>
    <t>精研科技</t>
  </si>
  <si>
    <t>www.lixinger.com/analytics/company/sz/300709/300709/detail</t>
  </si>
  <si>
    <t>中金岭南</t>
  </si>
  <si>
    <t>www.lixinger.com/analytics/company/sz/000060/60/detail</t>
  </si>
  <si>
    <t>国泰集团</t>
  </si>
  <si>
    <t>www.lixinger.com/analytics/company/sh/603977/603977/detail</t>
  </si>
  <si>
    <t>奕东电子</t>
  </si>
  <si>
    <t>www.lixinger.com/analytics/company/sz/301123/301123/detail</t>
  </si>
  <si>
    <t>派能科技</t>
  </si>
  <si>
    <t>www.lixinger.com/analytics/company/sh/688063/688063/detail</t>
  </si>
  <si>
    <t>常青股份</t>
  </si>
  <si>
    <t>www.lixinger.com/analytics/company/sh/603768/603768/detail</t>
  </si>
  <si>
    <t>大叶股份</t>
  </si>
  <si>
    <t>www.lixinger.com/analytics/company/sz/300879/300879/detail</t>
  </si>
  <si>
    <t>天邑股份</t>
  </si>
  <si>
    <t>www.lixinger.com/analytics/company/sz/300504/300504/detail</t>
  </si>
  <si>
    <t>天壕环境</t>
  </si>
  <si>
    <t>www.lixinger.com/analytics/company/sz/300332/300332/detail</t>
  </si>
  <si>
    <t>亚太股份</t>
  </si>
  <si>
    <t>www.lixinger.com/analytics/company/sz/002284/2284/detail</t>
  </si>
  <si>
    <t>安靠智电</t>
  </si>
  <si>
    <t>www.lixinger.com/analytics/company/sz/300617/300617/detail</t>
  </si>
  <si>
    <t>*ST嘉信</t>
  </si>
  <si>
    <t>www.lixinger.com/analytics/company/sz/300071/300071/detail</t>
  </si>
  <si>
    <t>众源新材</t>
  </si>
  <si>
    <t>www.lixinger.com/analytics/company/sh/603527/603527/detail</t>
  </si>
  <si>
    <t>华软科技</t>
  </si>
  <si>
    <t>www.lixinger.com/analytics/company/sz/002453/2453/detail</t>
  </si>
  <si>
    <t>通化东宝</t>
  </si>
  <si>
    <t>www.lixinger.com/analytics/company/sh/600867/600867/detail</t>
  </si>
  <si>
    <t>福建高速</t>
  </si>
  <si>
    <t>www.lixinger.com/analytics/company/sh/600033/600033/detail</t>
  </si>
  <si>
    <t>长鸿高科</t>
  </si>
  <si>
    <t>www.lixinger.com/analytics/company/sh/605008/605008/detail</t>
  </si>
  <si>
    <t>合富中国</t>
  </si>
  <si>
    <t>www.lixinger.com/analytics/company/sh/603122/603122/detail</t>
  </si>
  <si>
    <t>普路通</t>
  </si>
  <si>
    <t>www.lixinger.com/analytics/company/sz/002769/2769/detail</t>
  </si>
  <si>
    <t>华源控股</t>
  </si>
  <si>
    <t>www.lixinger.com/analytics/company/sz/002787/2787/detail</t>
  </si>
  <si>
    <t>ST华鼎</t>
  </si>
  <si>
    <t>www.lixinger.com/analytics/company/sh/601113/601113/detail</t>
  </si>
  <si>
    <t>三友联众</t>
  </si>
  <si>
    <t>www.lixinger.com/analytics/company/sz/300932/300932/detail</t>
  </si>
  <si>
    <t>金龙机电</t>
  </si>
  <si>
    <t>www.lixinger.com/analytics/company/sz/300032/300032/detail</t>
  </si>
  <si>
    <t>中科微至</t>
  </si>
  <si>
    <t>www.lixinger.com/analytics/company/sh/688211/688211/detail</t>
  </si>
  <si>
    <t>德生科技</t>
  </si>
  <si>
    <t>www.lixinger.com/analytics/company/sz/002908/2908/detail</t>
  </si>
  <si>
    <t>苏试试验</t>
  </si>
  <si>
    <t>www.lixinger.com/analytics/company/sz/300416/300416/detail</t>
  </si>
  <si>
    <t>科大国创</t>
  </si>
  <si>
    <t>www.lixinger.com/analytics/company/sz/300520/300520/detail</t>
  </si>
  <si>
    <t>博思软件</t>
  </si>
  <si>
    <t>www.lixinger.com/analytics/company/sz/300525/300525/detail</t>
  </si>
  <si>
    <t>新易盛</t>
  </si>
  <si>
    <t>www.lixinger.com/analytics/company/sz/300502/300502/detail</t>
  </si>
  <si>
    <t>国海证券</t>
  </si>
  <si>
    <t>www.lixinger.com/analytics/company/sz/000750/750/detail</t>
  </si>
  <si>
    <t>顺威股份</t>
  </si>
  <si>
    <t>www.lixinger.com/analytics/company/sz/002676/2676/detail</t>
  </si>
  <si>
    <t>华测导航</t>
  </si>
  <si>
    <t>www.lixinger.com/analytics/company/sz/300627/300627/detail</t>
  </si>
  <si>
    <t>联发股份</t>
  </si>
  <si>
    <t>www.lixinger.com/analytics/company/sz/002394/2394/detail</t>
  </si>
  <si>
    <t>铜冠铜箔</t>
  </si>
  <si>
    <t>www.lixinger.com/analytics/company/sz/301217/301217/detail</t>
  </si>
  <si>
    <t>巨一科技</t>
  </si>
  <si>
    <t>www.lixinger.com/analytics/company/sh/688162/688162/detail</t>
  </si>
  <si>
    <t>伊之密</t>
  </si>
  <si>
    <t>www.lixinger.com/analytics/company/sz/300415/300415/detail</t>
  </si>
  <si>
    <t>海翔药业</t>
  </si>
  <si>
    <t>www.lixinger.com/analytics/company/sz/002099/2099/detail</t>
  </si>
  <si>
    <t>昆仑万维</t>
  </si>
  <si>
    <t>www.lixinger.com/analytics/company/sz/300418/300418/detail</t>
  </si>
  <si>
    <t>青松股份</t>
  </si>
  <si>
    <t>www.lixinger.com/analytics/company/sz/300132/300132/detail</t>
  </si>
  <si>
    <t>福蓉科技</t>
  </si>
  <si>
    <t>www.lixinger.com/analytics/company/sh/603327/603327/detail</t>
  </si>
  <si>
    <t>松霖科技</t>
  </si>
  <si>
    <t>www.lixinger.com/analytics/company/sh/603992/603992/detail</t>
  </si>
  <si>
    <t>盛路通信</t>
  </si>
  <si>
    <t>www.lixinger.com/analytics/company/sz/002446/2446/detail</t>
  </si>
  <si>
    <t>泰坦股份</t>
  </si>
  <si>
    <t>www.lixinger.com/analytics/company/sz/003036/3036/detail</t>
  </si>
  <si>
    <t>合众思壮</t>
  </si>
  <si>
    <t>www.lixinger.com/analytics/company/sz/002383/2383/detail</t>
  </si>
  <si>
    <t>旗天科技</t>
  </si>
  <si>
    <t>www.lixinger.com/analytics/company/sz/300061/300061/detail</t>
  </si>
  <si>
    <t>科远智慧</t>
  </si>
  <si>
    <t>www.lixinger.com/analytics/company/sz/002380/2380/detail</t>
  </si>
  <si>
    <t>百合花</t>
  </si>
  <si>
    <t>www.lixinger.com/analytics/company/sh/603823/603823/detail</t>
  </si>
  <si>
    <t>百联股份</t>
  </si>
  <si>
    <t>多业态零售</t>
  </si>
  <si>
    <t>www.lixinger.com/analytics/company/sh/600827/600827/detail</t>
  </si>
  <si>
    <t>国光电气</t>
  </si>
  <si>
    <t>www.lixinger.com/analytics/company/sh/688776/688776/detail</t>
  </si>
  <si>
    <t>山东华鹏</t>
  </si>
  <si>
    <t>其他家居用品</t>
  </si>
  <si>
    <t>www.lixinger.com/analytics/company/sh/603021/603021/detail</t>
  </si>
  <si>
    <t>国邦医药</t>
  </si>
  <si>
    <t>www.lixinger.com/analytics/company/sh/605507/605507/detail</t>
  </si>
  <si>
    <t>诺禾致源</t>
  </si>
  <si>
    <t>其他医疗服务</t>
  </si>
  <si>
    <t>www.lixinger.com/analytics/company/sh/688315/688315/detail</t>
  </si>
  <si>
    <t>北部湾港</t>
  </si>
  <si>
    <t>www.lixinger.com/analytics/company/sz/000582/582/detail</t>
  </si>
  <si>
    <t>厦工股份</t>
  </si>
  <si>
    <t>www.lixinger.com/analytics/company/sh/600815/600815/detail</t>
  </si>
  <si>
    <t>再升科技</t>
  </si>
  <si>
    <t>www.lixinger.com/analytics/company/sh/603601/603601/detail</t>
  </si>
  <si>
    <t>上纬新材</t>
  </si>
  <si>
    <t>www.lixinger.com/analytics/company/sh/688585/688585/detail</t>
  </si>
  <si>
    <t>东方通</t>
  </si>
  <si>
    <t>www.lixinger.com/analytics/company/sz/300379/300379/detail</t>
  </si>
  <si>
    <t>中船科技</t>
  </si>
  <si>
    <t>www.lixinger.com/analytics/company/sh/600072/600072/detail</t>
  </si>
  <si>
    <t>新莱应材</t>
  </si>
  <si>
    <t>www.lixinger.com/analytics/company/sz/300260/300260/detail</t>
  </si>
  <si>
    <t>ST榕泰</t>
  </si>
  <si>
    <t>www.lixinger.com/analytics/company/sh/600589/600589/detail</t>
  </si>
  <si>
    <t>宝色股份</t>
  </si>
  <si>
    <t>www.lixinger.com/analytics/company/sz/300402/300402/detail</t>
  </si>
  <si>
    <t>苏州高新</t>
  </si>
  <si>
    <t>www.lixinger.com/analytics/company/sh/600736/600736/detail</t>
  </si>
  <si>
    <t>华宏科技</t>
  </si>
  <si>
    <t>www.lixinger.com/analytics/company/sz/002645/2645/detail</t>
  </si>
  <si>
    <t>三川智慧</t>
  </si>
  <si>
    <t>www.lixinger.com/analytics/company/sz/300066/300066/detail</t>
  </si>
  <si>
    <t>惠博普</t>
  </si>
  <si>
    <t>www.lixinger.com/analytics/company/sz/002554/2554/detail</t>
  </si>
  <si>
    <t>方正电机</t>
  </si>
  <si>
    <t>www.lixinger.com/analytics/company/sz/002196/2196/detail</t>
  </si>
  <si>
    <t>新柴股份</t>
  </si>
  <si>
    <t>www.lixinger.com/analytics/company/sz/301032/301032/detail</t>
  </si>
  <si>
    <t>亚玛顿</t>
  </si>
  <si>
    <t>www.lixinger.com/analytics/company/sz/002623/2623/detail</t>
  </si>
  <si>
    <t>富佳股份</t>
  </si>
  <si>
    <t>www.lixinger.com/analytics/company/sh/603219/603219/detail</t>
  </si>
  <si>
    <t>当代文体</t>
  </si>
  <si>
    <t>体育</t>
  </si>
  <si>
    <t>www.lixinger.com/analytics/company/sh/600136/600136/detail</t>
  </si>
  <si>
    <t>铁科轨道</t>
  </si>
  <si>
    <t>www.lixinger.com/analytics/company/sh/688569/688569/detail</t>
  </si>
  <si>
    <t>良信股份</t>
  </si>
  <si>
    <t>www.lixinger.com/analytics/company/sz/002706/2706/detail</t>
  </si>
  <si>
    <t>广东骏亚</t>
  </si>
  <si>
    <t>www.lixinger.com/analytics/company/sh/603386/603386/detail</t>
  </si>
  <si>
    <t>ST中孚</t>
  </si>
  <si>
    <t>www.lixinger.com/analytics/company/sh/600595/600595/detail</t>
  </si>
  <si>
    <t>雅本化学</t>
  </si>
  <si>
    <t>www.lixinger.com/analytics/company/sz/300261/300261/detail</t>
  </si>
  <si>
    <t>贝肯能源</t>
  </si>
  <si>
    <t>www.lixinger.com/analytics/company/sz/002828/2828/detail</t>
  </si>
  <si>
    <t>长方集团</t>
  </si>
  <si>
    <t>www.lixinger.com/analytics/company/sz/300301/300301/detail</t>
  </si>
  <si>
    <t>长缆科技</t>
  </si>
  <si>
    <t>www.lixinger.com/analytics/company/sz/002879/2879/detail</t>
  </si>
  <si>
    <t>派林生物</t>
  </si>
  <si>
    <t>www.lixinger.com/analytics/company/sz/000403/403/detail</t>
  </si>
  <si>
    <t>皖通科技</t>
  </si>
  <si>
    <t>www.lixinger.com/analytics/company/sz/002331/2331/detail</t>
  </si>
  <si>
    <t>万润股份</t>
  </si>
  <si>
    <t>www.lixinger.com/analytics/company/sz/002643/2643/detail</t>
  </si>
  <si>
    <t>凯撒文化</t>
  </si>
  <si>
    <t>www.lixinger.com/analytics/company/sz/002425/2425/detail</t>
  </si>
  <si>
    <t>复旦微电</t>
  </si>
  <si>
    <t>www.lixinger.com/analytics/company/sh/688385/688385/detail</t>
  </si>
  <si>
    <t>鲁银投资</t>
  </si>
  <si>
    <t>www.lixinger.com/analytics/company/sh/600784/600784/detail</t>
  </si>
  <si>
    <t>浙文影业</t>
  </si>
  <si>
    <t>www.lixinger.com/analytics/company/sh/601599/601599/detail</t>
  </si>
  <si>
    <t>绿城水务</t>
  </si>
  <si>
    <t>www.lixinger.com/analytics/company/sh/601368/601368/detail</t>
  </si>
  <si>
    <t>科华控股</t>
  </si>
  <si>
    <t>www.lixinger.com/analytics/company/sh/603161/603161/detail</t>
  </si>
  <si>
    <t>宝通科技</t>
  </si>
  <si>
    <t>www.lixinger.com/analytics/company/sz/300031/300031/detail</t>
  </si>
  <si>
    <t>震有科技</t>
  </si>
  <si>
    <t>www.lixinger.com/analytics/company/sh/688418/688418/detail</t>
  </si>
  <si>
    <t>中晟高科</t>
  </si>
  <si>
    <t>www.lixinger.com/analytics/company/sz/002778/2778/detail</t>
  </si>
  <si>
    <t>新国都</t>
  </si>
  <si>
    <t>www.lixinger.com/analytics/company/sz/300130/300130/detail</t>
  </si>
  <si>
    <t>新开普</t>
  </si>
  <si>
    <t>www.lixinger.com/analytics/company/sz/300248/300248/detail</t>
  </si>
  <si>
    <t>德林海</t>
  </si>
  <si>
    <t>www.lixinger.com/analytics/company/sh/688069/688069/detail</t>
  </si>
  <si>
    <t>铭利达</t>
  </si>
  <si>
    <t>www.lixinger.com/analytics/company/sz/301268/301268/detail</t>
  </si>
  <si>
    <t>电连技术</t>
  </si>
  <si>
    <t>www.lixinger.com/analytics/company/sz/300679/300679/detail</t>
  </si>
  <si>
    <t>常宝股份</t>
  </si>
  <si>
    <t>www.lixinger.com/analytics/company/sz/002478/2478/detail</t>
  </si>
  <si>
    <t>鸣志电器</t>
  </si>
  <si>
    <t>www.lixinger.com/analytics/company/sh/603728/603728/detail</t>
  </si>
  <si>
    <t>剑桥科技</t>
  </si>
  <si>
    <t>www.lixinger.com/analytics/company/sh/603083/603083/detail</t>
  </si>
  <si>
    <t>道通科技</t>
  </si>
  <si>
    <t>www.lixinger.com/analytics/company/sh/688208/688208/detail</t>
  </si>
  <si>
    <t>天康生物</t>
  </si>
  <si>
    <t>www.lixinger.com/analytics/company/sz/002100/2100/detail</t>
  </si>
  <si>
    <t>信隆健康</t>
  </si>
  <si>
    <t>www.lixinger.com/analytics/company/sz/002105/2105/detail</t>
  </si>
  <si>
    <t>望变电气</t>
  </si>
  <si>
    <t>www.lixinger.com/analytics/company/sh/603191/603191/detail</t>
  </si>
  <si>
    <t>*ST松江</t>
  </si>
  <si>
    <t>www.lixinger.com/analytics/company/sh/600225/600225/detail</t>
  </si>
  <si>
    <t>泉阳泉</t>
  </si>
  <si>
    <t>软饮料</t>
  </si>
  <si>
    <t>www.lixinger.com/analytics/company/sh/600189/600189/detail</t>
  </si>
  <si>
    <t>诚迈科技</t>
  </si>
  <si>
    <t>www.lixinger.com/analytics/company/sz/300598/300598/detail</t>
  </si>
  <si>
    <t>华菱精工</t>
  </si>
  <si>
    <t>www.lixinger.com/analytics/company/sh/603356/603356/detail</t>
  </si>
  <si>
    <t>东方电热</t>
  </si>
  <si>
    <t>www.lixinger.com/analytics/company/sz/300217/300217/detail</t>
  </si>
  <si>
    <t>三达膜</t>
  </si>
  <si>
    <t>www.lixinger.com/analytics/company/sh/688101/688101/detail</t>
  </si>
  <si>
    <t>中密控股</t>
  </si>
  <si>
    <t>www.lixinger.com/analytics/company/sz/300470/300470/detail</t>
  </si>
  <si>
    <t>辉隆股份</t>
  </si>
  <si>
    <t>www.lixinger.com/analytics/company/sz/002556/2556/detail</t>
  </si>
  <si>
    <t>正帆科技</t>
  </si>
  <si>
    <t>www.lixinger.com/analytics/company/sh/688596/688596/detail</t>
  </si>
  <si>
    <t>旭光电子</t>
  </si>
  <si>
    <t>www.lixinger.com/analytics/company/sh/600353/600353/detail</t>
  </si>
  <si>
    <t>弘业股份</t>
  </si>
  <si>
    <t>www.lixinger.com/analytics/company/sh/600128/600128/detail</t>
  </si>
  <si>
    <t>东杰智能</t>
  </si>
  <si>
    <t>www.lixinger.com/analytics/company/sz/300486/300486/detail</t>
  </si>
  <si>
    <t>爱迪尔</t>
  </si>
  <si>
    <t>www.lixinger.com/analytics/company/sz/002740/2740/detail</t>
  </si>
  <si>
    <t>泰坦科技</t>
  </si>
  <si>
    <t>www.lixinger.com/analytics/company/sh/688133/688133/detail</t>
  </si>
  <si>
    <t>恒丰纸业</t>
  </si>
  <si>
    <t>www.lixinger.com/analytics/company/sh/600356/600356/detail</t>
  </si>
  <si>
    <t>睿创微纳</t>
  </si>
  <si>
    <t>www.lixinger.com/analytics/company/sh/688002/688002/detail</t>
  </si>
  <si>
    <t>盐湖股份</t>
  </si>
  <si>
    <t>钾肥</t>
  </si>
  <si>
    <t>www.lixinger.com/analytics/company/sz/000792/792/detail</t>
  </si>
  <si>
    <t>众生药业</t>
  </si>
  <si>
    <t>www.lixinger.com/analytics/company/sz/002317/2317/detail</t>
  </si>
  <si>
    <t>艾迪精密</t>
  </si>
  <si>
    <t>www.lixinger.com/analytics/company/sh/603638/603638/detail</t>
  </si>
  <si>
    <t>天药股份</t>
  </si>
  <si>
    <t>www.lixinger.com/analytics/company/sh/600488/600488/detail</t>
  </si>
  <si>
    <t>华阳国际</t>
  </si>
  <si>
    <t>www.lixinger.com/analytics/company/sz/002949/2949/detail</t>
  </si>
  <si>
    <t>泰尔股份</t>
  </si>
  <si>
    <t>www.lixinger.com/analytics/company/sz/002347/2347/detail</t>
  </si>
  <si>
    <t>海思科</t>
  </si>
  <si>
    <t>www.lixinger.com/analytics/company/sz/002653/2653/detail</t>
  </si>
  <si>
    <t>九丰能源</t>
  </si>
  <si>
    <t>www.lixinger.com/analytics/company/sh/605090/605090/detail</t>
  </si>
  <si>
    <t>中旗股份</t>
  </si>
  <si>
    <t>www.lixinger.com/analytics/company/sz/300575/300575/detail</t>
  </si>
  <si>
    <t>惠天热电</t>
  </si>
  <si>
    <t>www.lixinger.com/analytics/company/sz/000692/692/detail</t>
  </si>
  <si>
    <t>咸亨国际</t>
  </si>
  <si>
    <t>www.lixinger.com/analytics/company/sh/605056/605056/detail</t>
  </si>
  <si>
    <t>确成股份</t>
  </si>
  <si>
    <t>www.lixinger.com/analytics/company/sh/605183/605183/detail</t>
  </si>
  <si>
    <t>景津装备</t>
  </si>
  <si>
    <t>www.lixinger.com/analytics/company/sh/603279/603279/detail</t>
  </si>
  <si>
    <t>华蓝集团</t>
  </si>
  <si>
    <t>www.lixinger.com/analytics/company/sz/301027/301027/detail</t>
  </si>
  <si>
    <t>京泉华</t>
  </si>
  <si>
    <t>www.lixinger.com/analytics/company/sz/002885/2885/detail</t>
  </si>
  <si>
    <t>杭钢股份</t>
  </si>
  <si>
    <t>www.lixinger.com/analytics/company/sh/600126/600126/detail</t>
  </si>
  <si>
    <t>红豆股份</t>
  </si>
  <si>
    <t>www.lixinger.com/analytics/company/sh/600400/600400/detail</t>
  </si>
  <si>
    <t>云图控股</t>
  </si>
  <si>
    <t>复合肥</t>
  </si>
  <si>
    <t>www.lixinger.com/analytics/company/sz/002539/2539/detail</t>
  </si>
  <si>
    <t>华鹏飞</t>
  </si>
  <si>
    <t>www.lixinger.com/analytics/company/sz/300350/300350/detail</t>
  </si>
  <si>
    <t>远大智能</t>
  </si>
  <si>
    <t>www.lixinger.com/analytics/company/sz/002689/2689/detail</t>
  </si>
  <si>
    <t>中嘉博创</t>
  </si>
  <si>
    <t>www.lixinger.com/analytics/company/sz/000889/889/detail</t>
  </si>
  <si>
    <t>南都物业</t>
  </si>
  <si>
    <t>www.lixinger.com/analytics/company/sh/603506/603506/detail</t>
  </si>
  <si>
    <t>万里石</t>
  </si>
  <si>
    <t>www.lixinger.com/analytics/company/sz/002785/2785/detail</t>
  </si>
  <si>
    <t>安达维尔</t>
  </si>
  <si>
    <t>www.lixinger.com/analytics/company/sz/300719/300719/detail</t>
  </si>
  <si>
    <t>山东章鼓</t>
  </si>
  <si>
    <t>www.lixinger.com/analytics/company/sz/002598/2598/detail</t>
  </si>
  <si>
    <t>银禧科技</t>
  </si>
  <si>
    <t>www.lixinger.com/analytics/company/sz/300221/300221/detail</t>
  </si>
  <si>
    <t>城市传媒</t>
  </si>
  <si>
    <t>www.lixinger.com/analytics/company/sh/600229/600229/detail</t>
  </si>
  <si>
    <t>锋尚文化</t>
  </si>
  <si>
    <t>www.lixinger.com/analytics/company/sz/300860/300860/detail</t>
  </si>
  <si>
    <t>新风光</t>
  </si>
  <si>
    <t>www.lixinger.com/analytics/company/sh/688663/688663/detail</t>
  </si>
  <si>
    <t>恒铭达</t>
  </si>
  <si>
    <t>www.lixinger.com/analytics/company/sz/002947/2947/detail</t>
  </si>
  <si>
    <t>罗普特</t>
  </si>
  <si>
    <t>www.lixinger.com/analytics/company/sh/688619/688619/detail</t>
  </si>
  <si>
    <t>青岛金王</t>
  </si>
  <si>
    <t>www.lixinger.com/analytics/company/sz/002094/2094/detail</t>
  </si>
  <si>
    <t>深科达</t>
  </si>
  <si>
    <t>www.lixinger.com/analytics/company/sh/688328/688328/detail</t>
  </si>
  <si>
    <t>今飞凯达</t>
  </si>
  <si>
    <t>www.lixinger.com/analytics/company/sz/002863/2863/detail</t>
  </si>
  <si>
    <t>中铁装配</t>
  </si>
  <si>
    <t>www.lixinger.com/analytics/company/sz/300374/300374/detail</t>
  </si>
  <si>
    <t>中微公司</t>
  </si>
  <si>
    <t>www.lixinger.com/analytics/company/sh/688012/688012/detail</t>
  </si>
  <si>
    <t>长海股份</t>
  </si>
  <si>
    <t>www.lixinger.com/analytics/company/sz/300196/300196/detail</t>
  </si>
  <si>
    <t>景兴纸业</t>
  </si>
  <si>
    <t>www.lixinger.com/analytics/company/sz/002067/2067/detail</t>
  </si>
  <si>
    <t>国联水产</t>
  </si>
  <si>
    <t>www.lixinger.com/analytics/company/sz/300094/300094/detail</t>
  </si>
  <si>
    <t>海南海药</t>
  </si>
  <si>
    <t>www.lixinger.com/analytics/company/sz/000566/566/detail</t>
  </si>
  <si>
    <t>博力威</t>
  </si>
  <si>
    <t>www.lixinger.com/analytics/company/sh/688345/688345/detail</t>
  </si>
  <si>
    <t>博雅生物</t>
  </si>
  <si>
    <t>www.lixinger.com/analytics/company/sz/300294/300294/detail</t>
  </si>
  <si>
    <t>明冠新材</t>
  </si>
  <si>
    <t>www.lixinger.com/analytics/company/sh/688560/688560/detail</t>
  </si>
  <si>
    <t>岳阳林纸</t>
  </si>
  <si>
    <t>www.lixinger.com/analytics/company/sh/600963/600963/detail</t>
  </si>
  <si>
    <t>维科技术</t>
  </si>
  <si>
    <t>www.lixinger.com/analytics/company/sh/600152/600152/detail</t>
  </si>
  <si>
    <t>兄弟科技</t>
  </si>
  <si>
    <t>www.lixinger.com/analytics/company/sz/002562/2562/detail</t>
  </si>
  <si>
    <t>永创智能</t>
  </si>
  <si>
    <t>www.lixinger.com/analytics/company/sh/603901/603901/detail</t>
  </si>
  <si>
    <t>汤臣倍健</t>
  </si>
  <si>
    <t>保健品</t>
  </si>
  <si>
    <t>www.lixinger.com/analytics/company/sz/300146/300146/detail</t>
  </si>
  <si>
    <t>通源环境</t>
  </si>
  <si>
    <t>www.lixinger.com/analytics/company/sh/688679/688679/detail</t>
  </si>
  <si>
    <t>电工合金</t>
  </si>
  <si>
    <t>www.lixinger.com/analytics/company/sz/300697/300697/detail</t>
  </si>
  <si>
    <t>武汉凡谷</t>
  </si>
  <si>
    <t>www.lixinger.com/analytics/company/sz/002194/2194/detail</t>
  </si>
  <si>
    <t>盛美上海</t>
  </si>
  <si>
    <t>www.lixinger.com/analytics/company/sh/688082/688082/detail</t>
  </si>
  <si>
    <t>合锻智能</t>
  </si>
  <si>
    <t>www.lixinger.com/analytics/company/sh/603011/603011/detail</t>
  </si>
  <si>
    <t>中原内配</t>
  </si>
  <si>
    <t>www.lixinger.com/analytics/company/sz/002448/2448/detail</t>
  </si>
  <si>
    <t>赣粤高速</t>
  </si>
  <si>
    <t>www.lixinger.com/analytics/company/sh/600269/600269/detail</t>
  </si>
  <si>
    <t>超华科技</t>
  </si>
  <si>
    <t>www.lixinger.com/analytics/company/sz/002288/2288/detail</t>
  </si>
  <si>
    <t>江特电机</t>
  </si>
  <si>
    <t>www.lixinger.com/analytics/company/sz/002176/2176/detail</t>
  </si>
  <si>
    <t>毅昌科技</t>
  </si>
  <si>
    <t>www.lixinger.com/analytics/company/sz/002420/2420/detail</t>
  </si>
  <si>
    <t>雪迪龙</t>
  </si>
  <si>
    <t>www.lixinger.com/analytics/company/sz/002658/2658/detail</t>
  </si>
  <si>
    <t>方大集团</t>
  </si>
  <si>
    <t>www.lixinger.com/analytics/company/sz/000055/55/detail</t>
  </si>
  <si>
    <t>航锦科技</t>
  </si>
  <si>
    <t>www.lixinger.com/analytics/company/sz/000818/818/detail</t>
  </si>
  <si>
    <t>永新股份</t>
  </si>
  <si>
    <t>www.lixinger.com/analytics/company/sz/002014/2014/detail</t>
  </si>
  <si>
    <t>百川能源</t>
  </si>
  <si>
    <t>www.lixinger.com/analytics/company/sh/600681/600681/detail</t>
  </si>
  <si>
    <t>东尼电子</t>
  </si>
  <si>
    <t>www.lixinger.com/analytics/company/sh/603595/603595/detail</t>
  </si>
  <si>
    <t>复旦张江</t>
  </si>
  <si>
    <t>www.lixinger.com/analytics/company/sh/688505/688505/detail</t>
  </si>
  <si>
    <t>威星智能</t>
  </si>
  <si>
    <t>www.lixinger.com/analytics/company/sz/002849/2849/detail</t>
  </si>
  <si>
    <t>盛通股份</t>
  </si>
  <si>
    <t>印刷</t>
  </si>
  <si>
    <t>www.lixinger.com/analytics/company/sz/002599/2599/detail</t>
  </si>
  <si>
    <t>ST银河</t>
  </si>
  <si>
    <t>www.lixinger.com/analytics/company/sz/000806/806/detail</t>
  </si>
  <si>
    <t>中通国脉</t>
  </si>
  <si>
    <t>www.lixinger.com/analytics/company/sh/603559/603559/detail</t>
  </si>
  <si>
    <t>南宁糖业</t>
  </si>
  <si>
    <t>www.lixinger.com/analytics/company/sz/000911/911/detail</t>
  </si>
  <si>
    <t>可立克</t>
  </si>
  <si>
    <t>www.lixinger.com/analytics/company/sz/002782/2782/detail</t>
  </si>
  <si>
    <t>傲农生物</t>
  </si>
  <si>
    <t>www.lixinger.com/analytics/company/sh/603363/603363/detail</t>
  </si>
  <si>
    <t>大博医疗</t>
  </si>
  <si>
    <t>www.lixinger.com/analytics/company/sz/002901/2901/detail</t>
  </si>
  <si>
    <t>振芯科技</t>
  </si>
  <si>
    <t>www.lixinger.com/analytics/company/sz/300101/300101/detail</t>
  </si>
  <si>
    <t>长城证券</t>
  </si>
  <si>
    <t>www.lixinger.com/analytics/company/sz/002939/2939/detail</t>
  </si>
  <si>
    <t>京源环保</t>
  </si>
  <si>
    <t>www.lixinger.com/analytics/company/sh/688096/688096/detail</t>
  </si>
  <si>
    <t>奋达科技</t>
  </si>
  <si>
    <t>www.lixinger.com/analytics/company/sz/002681/2681/detail</t>
  </si>
  <si>
    <t>皖维高新</t>
  </si>
  <si>
    <t>其他化学纤维</t>
  </si>
  <si>
    <t>www.lixinger.com/analytics/company/sh/600063/600063/detail</t>
  </si>
  <si>
    <t>神州泰岳</t>
  </si>
  <si>
    <t>www.lixinger.com/analytics/company/sz/300002/300002/detail</t>
  </si>
  <si>
    <t>清源股份</t>
  </si>
  <si>
    <t>www.lixinger.com/analytics/company/sh/603628/603628/detail</t>
  </si>
  <si>
    <t>紫晶存储</t>
  </si>
  <si>
    <t>www.lixinger.com/analytics/company/sh/688086/688086/detail</t>
  </si>
  <si>
    <t>唐山港</t>
  </si>
  <si>
    <t>www.lixinger.com/analytics/company/sh/601000/601000/detail</t>
  </si>
  <si>
    <t>爱普股份</t>
  </si>
  <si>
    <t>www.lixinger.com/analytics/company/sh/603020/603020/detail</t>
  </si>
  <si>
    <t>金博股份</t>
  </si>
  <si>
    <t>www.lixinger.com/analytics/company/sh/688598/688598/detail</t>
  </si>
  <si>
    <t>宁通信B</t>
  </si>
  <si>
    <t>www.lixinger.com/analytics/company/sz/200468/200468/detail</t>
  </si>
  <si>
    <t>新大正</t>
  </si>
  <si>
    <t>www.lixinger.com/analytics/company/sz/002968/2968/detail</t>
  </si>
  <si>
    <t>桃李面包</t>
  </si>
  <si>
    <t>www.lixinger.com/analytics/company/sh/603866/603866/detail</t>
  </si>
  <si>
    <t>诺唯赞</t>
  </si>
  <si>
    <t>www.lixinger.com/analytics/company/sh/688105/688105/detail</t>
  </si>
  <si>
    <t>光电股份</t>
  </si>
  <si>
    <t>www.lixinger.com/analytics/company/sh/600184/600184/detail</t>
  </si>
  <si>
    <t>万盛股份</t>
  </si>
  <si>
    <t>www.lixinger.com/analytics/company/sh/603010/603010/detail</t>
  </si>
  <si>
    <t>拓维信息</t>
  </si>
  <si>
    <t>教育运营及其他</t>
  </si>
  <si>
    <t>www.lixinger.com/analytics/company/sz/002261/2261/detail</t>
  </si>
  <si>
    <t>盟升电子</t>
  </si>
  <si>
    <t>www.lixinger.com/analytics/company/sh/688311/688311/detail</t>
  </si>
  <si>
    <t>泰永长征</t>
  </si>
  <si>
    <t>www.lixinger.com/analytics/company/sz/002927/2927/detail</t>
  </si>
  <si>
    <t>天域生态</t>
  </si>
  <si>
    <t>www.lixinger.com/analytics/company/sh/603717/603717/detail</t>
  </si>
  <si>
    <t>永泰运</t>
  </si>
  <si>
    <t>www.lixinger.com/analytics/company/sz/001228/1228/detail</t>
  </si>
  <si>
    <t>新凤鸣</t>
  </si>
  <si>
    <t>www.lixinger.com/analytics/company/sh/603225/603225/detail</t>
  </si>
  <si>
    <t>新雷能</t>
  </si>
  <si>
    <t>www.lixinger.com/analytics/company/sz/300593/300593/detail</t>
  </si>
  <si>
    <t>湘潭电化</t>
  </si>
  <si>
    <t>www.lixinger.com/analytics/company/sz/002125/2125/detail</t>
  </si>
  <si>
    <t>南兴股份</t>
  </si>
  <si>
    <t>www.lixinger.com/analytics/company/sz/002757/2757/detail</t>
  </si>
  <si>
    <t>航宇科技</t>
  </si>
  <si>
    <t>www.lixinger.com/analytics/company/sh/688239/688239/detail</t>
  </si>
  <si>
    <t>三雄极光</t>
  </si>
  <si>
    <t>www.lixinger.com/analytics/company/sz/300625/300625/detail</t>
  </si>
  <si>
    <t>双箭股份</t>
  </si>
  <si>
    <t>www.lixinger.com/analytics/company/sz/002381/2381/detail</t>
  </si>
  <si>
    <t>天宇股份</t>
  </si>
  <si>
    <t>www.lixinger.com/analytics/company/sz/300702/300702/detail</t>
  </si>
  <si>
    <t>中曼石油</t>
  </si>
  <si>
    <t>www.lixinger.com/analytics/company/sh/603619/603619/detail</t>
  </si>
  <si>
    <t>胜蓝股份</t>
  </si>
  <si>
    <t>www.lixinger.com/analytics/company/sz/300843/300843/detail</t>
  </si>
  <si>
    <t>科华生物</t>
  </si>
  <si>
    <t>www.lixinger.com/analytics/company/sz/002022/2022/detail</t>
  </si>
  <si>
    <t>开润股份</t>
  </si>
  <si>
    <t>www.lixinger.com/analytics/company/sz/300577/300577/detail</t>
  </si>
  <si>
    <t>中谷物流</t>
  </si>
  <si>
    <t>www.lixinger.com/analytics/company/sh/603565/603565/detail</t>
  </si>
  <si>
    <t>硕贝德</t>
  </si>
  <si>
    <t>www.lixinger.com/analytics/company/sz/300322/300322/detail</t>
  </si>
  <si>
    <t>中泰股份</t>
  </si>
  <si>
    <t>www.lixinger.com/analytics/company/sz/300435/300435/detail</t>
  </si>
  <si>
    <t>天际股份</t>
  </si>
  <si>
    <t>www.lixinger.com/analytics/company/sz/002759/2759/detail</t>
  </si>
  <si>
    <t>泰禾集团</t>
  </si>
  <si>
    <t>www.lixinger.com/analytics/company/sz/000732/732/detail</t>
  </si>
  <si>
    <t>京沪高铁</t>
  </si>
  <si>
    <t>www.lixinger.com/analytics/company/sh/601816/601816/detail</t>
  </si>
  <si>
    <t>中源协和</t>
  </si>
  <si>
    <t>www.lixinger.com/analytics/company/sh/600645/600645/detail</t>
  </si>
  <si>
    <t>深圳机场</t>
  </si>
  <si>
    <t>www.lixinger.com/analytics/company/sz/000089/89/detail</t>
  </si>
  <si>
    <t>海能实业</t>
  </si>
  <si>
    <t>www.lixinger.com/analytics/company/sz/300787/300787/detail</t>
  </si>
  <si>
    <t>百利科技</t>
  </si>
  <si>
    <t>www.lixinger.com/analytics/company/sh/603959/603959/detail</t>
  </si>
  <si>
    <t>利民股份</t>
  </si>
  <si>
    <t>www.lixinger.com/analytics/company/sz/002734/2734/detail</t>
  </si>
  <si>
    <t>天奈科技</t>
  </si>
  <si>
    <t>www.lixinger.com/analytics/company/sh/688116/688116/detail</t>
  </si>
  <si>
    <t>利通电子</t>
  </si>
  <si>
    <t>www.lixinger.com/analytics/company/sh/603629/603629/detail</t>
  </si>
  <si>
    <t>春立医疗</t>
  </si>
  <si>
    <t>www.lixinger.com/analytics/company/sh/688236/688236/detail</t>
  </si>
  <si>
    <t>国统股份</t>
  </si>
  <si>
    <t>www.lixinger.com/analytics/company/sz/002205/2205/detail</t>
  </si>
  <si>
    <t>同力日升</t>
  </si>
  <si>
    <t>www.lixinger.com/analytics/company/sh/605286/605286/detail</t>
  </si>
  <si>
    <t>新城控股</t>
  </si>
  <si>
    <t>www.lixinger.com/analytics/company/sh/601155/601155/detail</t>
  </si>
  <si>
    <t>京新药业</t>
  </si>
  <si>
    <t>www.lixinger.com/analytics/company/sz/002020/2020/detail</t>
  </si>
  <si>
    <t>金现代</t>
  </si>
  <si>
    <t>www.lixinger.com/analytics/company/sz/300830/300830/detail</t>
  </si>
  <si>
    <t>东方铁塔</t>
  </si>
  <si>
    <t>www.lixinger.com/analytics/company/sz/002545/2545/detail</t>
  </si>
  <si>
    <t>国元证券</t>
  </si>
  <si>
    <t>www.lixinger.com/analytics/company/sz/000728/728/detail</t>
  </si>
  <si>
    <t>三美股份</t>
  </si>
  <si>
    <t>www.lixinger.com/analytics/company/sh/603379/603379/detail</t>
  </si>
  <si>
    <t>神奇制药</t>
  </si>
  <si>
    <t>www.lixinger.com/analytics/company/sh/600613/600613/detail</t>
  </si>
  <si>
    <t>天银机电</t>
  </si>
  <si>
    <t>www.lixinger.com/analytics/company/sz/300342/300342/detail</t>
  </si>
  <si>
    <t>上海沪工</t>
  </si>
  <si>
    <t>www.lixinger.com/analytics/company/sh/603131/603131/detail</t>
  </si>
  <si>
    <t>格力地产</t>
  </si>
  <si>
    <t>www.lixinger.com/analytics/company/sh/600185/600185/detail</t>
  </si>
  <si>
    <t>瑞丰光电</t>
  </si>
  <si>
    <t>www.lixinger.com/analytics/company/sz/300241/300241/detail</t>
  </si>
  <si>
    <t>隆利科技</t>
  </si>
  <si>
    <t>www.lixinger.com/analytics/company/sz/300752/300752/detail</t>
  </si>
  <si>
    <t>罗莱生活</t>
  </si>
  <si>
    <t>家纺</t>
  </si>
  <si>
    <t>www.lixinger.com/analytics/company/sz/002293/2293/detail</t>
  </si>
  <si>
    <t>ST金正</t>
  </si>
  <si>
    <t>www.lixinger.com/analytics/company/sz/002470/2470/detail</t>
  </si>
  <si>
    <t>青岛中程</t>
  </si>
  <si>
    <t>www.lixinger.com/analytics/company/sz/300208/300208/detail</t>
  </si>
  <si>
    <t>华旺科技</t>
  </si>
  <si>
    <t>www.lixinger.com/analytics/company/sh/605377/605377/detail</t>
  </si>
  <si>
    <t>外高桥</t>
  </si>
  <si>
    <t>www.lixinger.com/analytics/company/sh/600648/600648/detail</t>
  </si>
  <si>
    <t>吉华集团</t>
  </si>
  <si>
    <t>www.lixinger.com/analytics/company/sh/603980/603980/detail</t>
  </si>
  <si>
    <t>华平股份</t>
  </si>
  <si>
    <t>www.lixinger.com/analytics/company/sz/300074/300074/detail</t>
  </si>
  <si>
    <t>志特新材</t>
  </si>
  <si>
    <t>www.lixinger.com/analytics/company/sz/300986/300986/detail</t>
  </si>
  <si>
    <t>中粮工科</t>
  </si>
  <si>
    <t>www.lixinger.com/analytics/company/sz/301058/301058/detail</t>
  </si>
  <si>
    <t>浙富控股</t>
  </si>
  <si>
    <t>www.lixinger.com/analytics/company/sz/002266/2266/detail</t>
  </si>
  <si>
    <t>寒锐钴业</t>
  </si>
  <si>
    <t>www.lixinger.com/analytics/company/sz/300618/300618/detail</t>
  </si>
  <si>
    <t>神驰机电</t>
  </si>
  <si>
    <t>www.lixinger.com/analytics/company/sh/603109/603109/detail</t>
  </si>
  <si>
    <t>奥美医疗</t>
  </si>
  <si>
    <t>www.lixinger.com/analytics/company/sz/002950/2950/detail</t>
  </si>
  <si>
    <t>吉祥航空</t>
  </si>
  <si>
    <t>www.lixinger.com/analytics/company/sh/603885/603885/detail</t>
  </si>
  <si>
    <t>梅花生物</t>
  </si>
  <si>
    <t>www.lixinger.com/analytics/company/sh/600873/600873/detail</t>
  </si>
  <si>
    <t>ST冠福</t>
  </si>
  <si>
    <t>www.lixinger.com/analytics/company/sz/002102/2102/detail</t>
  </si>
  <si>
    <t>凯中精密</t>
  </si>
  <si>
    <t>www.lixinger.com/analytics/company/sz/002823/2823/detail</t>
  </si>
  <si>
    <t>钱江摩托</t>
  </si>
  <si>
    <t>www.lixinger.com/analytics/company/sz/000913/913/detail</t>
  </si>
  <si>
    <t>军信股份</t>
  </si>
  <si>
    <t>www.lixinger.com/analytics/company/sz/301109/301109/detail</t>
  </si>
  <si>
    <t>天喻信息</t>
  </si>
  <si>
    <t>www.lixinger.com/analytics/company/sz/300205/300205/detail</t>
  </si>
  <si>
    <t>爱康科技</t>
  </si>
  <si>
    <t>www.lixinger.com/analytics/company/sz/002610/2610/detail</t>
  </si>
  <si>
    <t>佳云科技</t>
  </si>
  <si>
    <t>www.lixinger.com/analytics/company/sz/300242/300242/detail</t>
  </si>
  <si>
    <t>太平鸟</t>
  </si>
  <si>
    <t>www.lixinger.com/analytics/company/sh/603877/603877/detail</t>
  </si>
  <si>
    <t>新集能源</t>
  </si>
  <si>
    <t>www.lixinger.com/analytics/company/sh/601918/601918/detail</t>
  </si>
  <si>
    <t>太平洋</t>
  </si>
  <si>
    <t>www.lixinger.com/analytics/company/sh/601099/601099/detail</t>
  </si>
  <si>
    <t>凯龙股份</t>
  </si>
  <si>
    <t>www.lixinger.com/analytics/company/sz/002783/2783/detail</t>
  </si>
  <si>
    <t>宁波能源</t>
  </si>
  <si>
    <t>www.lixinger.com/analytics/company/sh/600982/600982/detail</t>
  </si>
  <si>
    <t>狄耐克</t>
  </si>
  <si>
    <t>www.lixinger.com/analytics/company/sz/300884/300884/detail</t>
  </si>
  <si>
    <t>光线传媒</t>
  </si>
  <si>
    <t>www.lixinger.com/analytics/company/sz/300251/300251/detail</t>
  </si>
  <si>
    <t>中孚信息</t>
  </si>
  <si>
    <t>www.lixinger.com/analytics/company/sz/300659/300659/detail</t>
  </si>
  <si>
    <t>嘉欣丝绸</t>
  </si>
  <si>
    <t>www.lixinger.com/analytics/company/sz/002404/2404/detail</t>
  </si>
  <si>
    <t>神开股份</t>
  </si>
  <si>
    <t>www.lixinger.com/analytics/company/sz/002278/2278/detail</t>
  </si>
  <si>
    <t>西部矿业</t>
  </si>
  <si>
    <t>www.lixinger.com/analytics/company/sh/601168/601168/detail</t>
  </si>
  <si>
    <t>亚康股份</t>
  </si>
  <si>
    <t>www.lixinger.com/analytics/company/sz/301085/301085/detail</t>
  </si>
  <si>
    <t>华星创业</t>
  </si>
  <si>
    <t>www.lixinger.com/analytics/company/sz/300025/300025/detail</t>
  </si>
  <si>
    <t>正元智慧</t>
  </si>
  <si>
    <t>www.lixinger.com/analytics/company/sz/300645/300645/detail</t>
  </si>
  <si>
    <t>格科微</t>
  </si>
  <si>
    <t>www.lixinger.com/analytics/company/sh/688728/688728/detail</t>
  </si>
  <si>
    <t>同济科技</t>
  </si>
  <si>
    <t>www.lixinger.com/analytics/company/sh/600846/600846/detail</t>
  </si>
  <si>
    <t>上海能源</t>
  </si>
  <si>
    <t>www.lixinger.com/analytics/company/sh/600508/600508/detail</t>
  </si>
  <si>
    <t>哈投股份</t>
  </si>
  <si>
    <t>www.lixinger.com/analytics/company/sh/600864/600864/detail</t>
  </si>
  <si>
    <t>抚顺特钢</t>
  </si>
  <si>
    <t>www.lixinger.com/analytics/company/sh/600399/600399/detail</t>
  </si>
  <si>
    <t>台海核电</t>
  </si>
  <si>
    <t>www.lixinger.com/analytics/company/sz/002366/2366/detail</t>
  </si>
  <si>
    <t>睿能科技</t>
  </si>
  <si>
    <t>www.lixinger.com/analytics/company/sh/603933/603933/detail</t>
  </si>
  <si>
    <t>埃夫特</t>
  </si>
  <si>
    <t>www.lixinger.com/analytics/company/sh/688165/688165/detail</t>
  </si>
  <si>
    <t>安源煤业</t>
  </si>
  <si>
    <t>www.lixinger.com/analytics/company/sh/600397/600397/detail</t>
  </si>
  <si>
    <t>荣科科技</t>
  </si>
  <si>
    <t>www.lixinger.com/analytics/company/sz/300290/300290/detail</t>
  </si>
  <si>
    <t>麒盛科技</t>
  </si>
  <si>
    <t>www.lixinger.com/analytics/company/sh/603610/603610/detail</t>
  </si>
  <si>
    <t>奥特维</t>
  </si>
  <si>
    <t>www.lixinger.com/analytics/company/sh/688516/688516/detail</t>
  </si>
  <si>
    <t>和辉光电</t>
  </si>
  <si>
    <t>www.lixinger.com/analytics/company/sh/688538/688538/detail</t>
  </si>
  <si>
    <t>优刻得</t>
  </si>
  <si>
    <t>www.lixinger.com/analytics/company/sh/688158/688158/detail</t>
  </si>
  <si>
    <t>江航装备</t>
  </si>
  <si>
    <t>www.lixinger.com/analytics/company/sh/688586/688586/detail</t>
  </si>
  <si>
    <t>*ST安控</t>
  </si>
  <si>
    <t>www.lixinger.com/analytics/company/sz/300370/300370/detail</t>
  </si>
  <si>
    <t>信立泰</t>
  </si>
  <si>
    <t>www.lixinger.com/analytics/company/sz/002294/2294/detail</t>
  </si>
  <si>
    <t>杭齿前进</t>
  </si>
  <si>
    <t>www.lixinger.com/analytics/company/sh/601177/601177/detail</t>
  </si>
  <si>
    <t>大众公用</t>
  </si>
  <si>
    <t>www.lixinger.com/analytics/company/sh/600635/600635/detail</t>
  </si>
  <si>
    <t>瑞可达</t>
  </si>
  <si>
    <t>www.lixinger.com/analytics/company/sh/688800/688800/detail</t>
  </si>
  <si>
    <t>贵航股份</t>
  </si>
  <si>
    <t>www.lixinger.com/analytics/company/sh/600523/600523/detail</t>
  </si>
  <si>
    <t>探路者</t>
  </si>
  <si>
    <t>运动服装</t>
  </si>
  <si>
    <t>www.lixinger.com/analytics/company/sz/300005/300005/detail</t>
  </si>
  <si>
    <t>电光科技</t>
  </si>
  <si>
    <t>www.lixinger.com/analytics/company/sz/002730/2730/detail</t>
  </si>
  <si>
    <t>日科化学</t>
  </si>
  <si>
    <t>www.lixinger.com/analytics/company/sz/300214/300214/detail</t>
  </si>
  <si>
    <t>寒武纪</t>
  </si>
  <si>
    <t>www.lixinger.com/analytics/company/sh/688256/688256/detail</t>
  </si>
  <si>
    <t>北化股份</t>
  </si>
  <si>
    <t>www.lixinger.com/analytics/company/sz/002246/2246/detail</t>
  </si>
  <si>
    <t>罗曼股份</t>
  </si>
  <si>
    <t>www.lixinger.com/analytics/company/sh/605289/605289/detail</t>
  </si>
  <si>
    <t>海鸥股份</t>
  </si>
  <si>
    <t>www.lixinger.com/analytics/company/sh/603269/603269/detail</t>
  </si>
  <si>
    <t>国星光电</t>
  </si>
  <si>
    <t>www.lixinger.com/analytics/company/sz/002449/2449/detail</t>
  </si>
  <si>
    <t>汇绿生态</t>
  </si>
  <si>
    <t>www.lixinger.com/analytics/company/sz/001267/1267/detail</t>
  </si>
  <si>
    <t>金山办公</t>
  </si>
  <si>
    <t>www.lixinger.com/analytics/company/sh/688111/688111/detail</t>
  </si>
  <si>
    <t>安恒信息</t>
  </si>
  <si>
    <t>www.lixinger.com/analytics/company/sh/688023/688023/detail</t>
  </si>
  <si>
    <t>银宝山新</t>
  </si>
  <si>
    <t>www.lixinger.com/analytics/company/sz/002786/2786/detail</t>
  </si>
  <si>
    <t>万朗磁塑</t>
  </si>
  <si>
    <t>www.lixinger.com/analytics/company/sh/603150/603150/detail</t>
  </si>
  <si>
    <t>光大嘉宝</t>
  </si>
  <si>
    <t>www.lixinger.com/analytics/company/sh/600622/600622/detail</t>
  </si>
  <si>
    <t>章源钨业</t>
  </si>
  <si>
    <t>www.lixinger.com/analytics/company/sz/002378/2378/detail</t>
  </si>
  <si>
    <t>沪硅产业</t>
  </si>
  <si>
    <t>www.lixinger.com/analytics/company/sh/688126/688126/detail</t>
  </si>
  <si>
    <t>如意集团</t>
  </si>
  <si>
    <t>www.lixinger.com/analytics/company/sz/002193/2193/detail</t>
  </si>
  <si>
    <t>光韵达</t>
  </si>
  <si>
    <t>www.lixinger.com/analytics/company/sz/300227/300227/detail</t>
  </si>
  <si>
    <t>醋化股份</t>
  </si>
  <si>
    <t>www.lixinger.com/analytics/company/sh/603968/603968/detail</t>
  </si>
  <si>
    <t>集泰股份</t>
  </si>
  <si>
    <t>www.lixinger.com/analytics/company/sz/002909/2909/detail</t>
  </si>
  <si>
    <t>中自科技</t>
  </si>
  <si>
    <t>www.lixinger.com/analytics/company/sh/688737/688737/detail</t>
  </si>
  <si>
    <t>金轮股份</t>
  </si>
  <si>
    <t>www.lixinger.com/analytics/company/sz/002722/2722/detail</t>
  </si>
  <si>
    <t>音飞储存</t>
  </si>
  <si>
    <t>www.lixinger.com/analytics/company/sh/603066/603066/detail</t>
  </si>
  <si>
    <t>天奥电子</t>
  </si>
  <si>
    <t>www.lixinger.com/analytics/company/sz/002935/2935/detail</t>
  </si>
  <si>
    <t>健之佳</t>
  </si>
  <si>
    <t>www.lixinger.com/analytics/company/sh/605266/605266/detail</t>
  </si>
  <si>
    <t>伊泰Ｂ股</t>
  </si>
  <si>
    <t>www.lixinger.com/analytics/company/sh/900948/900948/detail</t>
  </si>
  <si>
    <t>西藏药业</t>
  </si>
  <si>
    <t>www.lixinger.com/analytics/company/sh/600211/600211/detail</t>
  </si>
  <si>
    <t>百川畅银</t>
  </si>
  <si>
    <t>www.lixinger.com/analytics/company/sz/300614/300614/detail</t>
  </si>
  <si>
    <t>南岭民爆</t>
  </si>
  <si>
    <t>www.lixinger.com/analytics/company/sz/002096/2096/detail</t>
  </si>
  <si>
    <t>东土科技</t>
  </si>
  <si>
    <t>www.lixinger.com/analytics/company/sz/300353/300353/detail</t>
  </si>
  <si>
    <t>广博股份</t>
  </si>
  <si>
    <t>www.lixinger.com/analytics/company/sz/002103/2103/detail</t>
  </si>
  <si>
    <t>冠盛股份</t>
  </si>
  <si>
    <t>www.lixinger.com/analytics/company/sh/605088/605088/detail</t>
  </si>
  <si>
    <t>新华都</t>
  </si>
  <si>
    <t>www.lixinger.com/analytics/company/sz/002264/2264/detail</t>
  </si>
  <si>
    <t>歌华有线</t>
  </si>
  <si>
    <t>www.lixinger.com/analytics/company/sh/600037/600037/detail</t>
  </si>
  <si>
    <t>北特科技</t>
  </si>
  <si>
    <t>www.lixinger.com/analytics/company/sh/603009/603009/detail</t>
  </si>
  <si>
    <t>菲达环保</t>
  </si>
  <si>
    <t>www.lixinger.com/analytics/company/sh/600526/600526/detail</t>
  </si>
  <si>
    <t>华控赛格</t>
  </si>
  <si>
    <t>www.lixinger.com/analytics/company/sz/000068/68/detail</t>
  </si>
  <si>
    <t>茂硕电源</t>
  </si>
  <si>
    <t>www.lixinger.com/analytics/company/sz/002660/2660/detail</t>
  </si>
  <si>
    <t>和晶科技</t>
  </si>
  <si>
    <t>www.lixinger.com/analytics/company/sz/300279/300279/detail</t>
  </si>
  <si>
    <t>金麒麟</t>
  </si>
  <si>
    <t>www.lixinger.com/analytics/company/sh/603586/603586/detail</t>
  </si>
  <si>
    <t>麦克奥迪</t>
  </si>
  <si>
    <t>www.lixinger.com/analytics/company/sz/300341/300341/detail</t>
  </si>
  <si>
    <t>泉峰汽车</t>
  </si>
  <si>
    <t>www.lixinger.com/analytics/company/sh/603982/603982/detail</t>
  </si>
  <si>
    <t>可孚医疗</t>
  </si>
  <si>
    <t>www.lixinger.com/analytics/company/sz/301087/301087/detail</t>
  </si>
  <si>
    <t>葫芦娃</t>
  </si>
  <si>
    <t>www.lixinger.com/analytics/company/sh/605199/605199/detail</t>
  </si>
  <si>
    <t>大地海洋</t>
  </si>
  <si>
    <t>www.lixinger.com/analytics/company/sz/301068/301068/detail</t>
  </si>
  <si>
    <t>方大特钢</t>
  </si>
  <si>
    <t>www.lixinger.com/analytics/company/sh/600507/600507/detail</t>
  </si>
  <si>
    <t>飞亚达Ｂ</t>
  </si>
  <si>
    <t>www.lixinger.com/analytics/company/sz/200026/200026/detail</t>
  </si>
  <si>
    <t>大地熊</t>
  </si>
  <si>
    <t>www.lixinger.com/analytics/company/sh/688077/688077/detail</t>
  </si>
  <si>
    <t>道森股份</t>
  </si>
  <si>
    <t>www.lixinger.com/analytics/company/sh/603800/603800/detail</t>
  </si>
  <si>
    <t>金固股份</t>
  </si>
  <si>
    <t>www.lixinger.com/analytics/company/sz/002488/2488/detail</t>
  </si>
  <si>
    <t>海兰信</t>
  </si>
  <si>
    <t>www.lixinger.com/analytics/company/sz/300065/300065/detail</t>
  </si>
  <si>
    <t>滨江集团</t>
  </si>
  <si>
    <t>www.lixinger.com/analytics/company/sz/002244/2244/detail</t>
  </si>
  <si>
    <t>亚宝药业</t>
  </si>
  <si>
    <t>www.lixinger.com/analytics/company/sh/600351/600351/detail</t>
  </si>
  <si>
    <t>奥拓电子</t>
  </si>
  <si>
    <t>www.lixinger.com/analytics/company/sz/002587/2587/detail</t>
  </si>
  <si>
    <t>华微电子</t>
  </si>
  <si>
    <t>www.lixinger.com/analytics/company/sh/600360/600360/detail</t>
  </si>
  <si>
    <t>光洋股份</t>
  </si>
  <si>
    <t>www.lixinger.com/analytics/company/sz/002708/2708/detail</t>
  </si>
  <si>
    <t>万德斯</t>
  </si>
  <si>
    <t>www.lixinger.com/analytics/company/sh/688178/688178/detail</t>
  </si>
  <si>
    <t>法兰泰克</t>
  </si>
  <si>
    <t>www.lixinger.com/analytics/company/sh/603966/603966/detail</t>
  </si>
  <si>
    <t>深物业B</t>
  </si>
  <si>
    <t>www.lixinger.com/analytics/company/sz/200011/200011/detail</t>
  </si>
  <si>
    <t>大千生态</t>
  </si>
  <si>
    <t>www.lixinger.com/analytics/company/sh/603955/603955/detail</t>
  </si>
  <si>
    <t>漱玉平民</t>
  </si>
  <si>
    <t>www.lixinger.com/analytics/company/sz/301017/301017/detail</t>
  </si>
  <si>
    <t>恒银科技</t>
  </si>
  <si>
    <t>www.lixinger.com/analytics/company/sh/603106/603106/detail</t>
  </si>
  <si>
    <t>新疆众和</t>
  </si>
  <si>
    <t>www.lixinger.com/analytics/company/sh/600888/600888/detail</t>
  </si>
  <si>
    <t>安科生物</t>
  </si>
  <si>
    <t>www.lixinger.com/analytics/company/sz/300009/300009/detail</t>
  </si>
  <si>
    <t>凯利泰</t>
  </si>
  <si>
    <t>www.lixinger.com/analytics/company/sz/300326/300326/detail</t>
  </si>
  <si>
    <t>永艺股份</t>
  </si>
  <si>
    <t>www.lixinger.com/analytics/company/sh/603600/603600/detail</t>
  </si>
  <si>
    <t>八一钢铁</t>
  </si>
  <si>
    <t>www.lixinger.com/analytics/company/sh/600581/600581/detail</t>
  </si>
  <si>
    <t>诚益通</t>
  </si>
  <si>
    <t>www.lixinger.com/analytics/company/sz/300430/300430/detail</t>
  </si>
  <si>
    <t>艾德生物</t>
  </si>
  <si>
    <t>www.lixinger.com/analytics/company/sz/300685/300685/detail</t>
  </si>
  <si>
    <t>ST贵人</t>
  </si>
  <si>
    <t>www.lixinger.com/analytics/company/sh/603555/603555/detail</t>
  </si>
  <si>
    <t>广联航空</t>
  </si>
  <si>
    <t>www.lixinger.com/analytics/company/sz/300900/300900/detail</t>
  </si>
  <si>
    <t>穗恒运Ａ</t>
  </si>
  <si>
    <t>www.lixinger.com/analytics/company/sz/000531/531/detail</t>
  </si>
  <si>
    <t>艾比森</t>
  </si>
  <si>
    <t>www.lixinger.com/analytics/company/sz/300389/300389/detail</t>
  </si>
  <si>
    <t>联得装备</t>
  </si>
  <si>
    <t>www.lixinger.com/analytics/company/sz/300545/300545/detail</t>
  </si>
  <si>
    <t>建工修复</t>
  </si>
  <si>
    <t>www.lixinger.com/analytics/company/sz/300958/300958/detail</t>
  </si>
  <si>
    <t>文投控股</t>
  </si>
  <si>
    <t>www.lixinger.com/analytics/company/sh/600715/600715/detail</t>
  </si>
  <si>
    <t>海默科技</t>
  </si>
  <si>
    <t>www.lixinger.com/analytics/company/sz/300084/300084/detail</t>
  </si>
  <si>
    <t>富瀚微</t>
  </si>
  <si>
    <t>www.lixinger.com/analytics/company/sz/300613/300613/detail</t>
  </si>
  <si>
    <t>中科海讯</t>
  </si>
  <si>
    <t>www.lixinger.com/analytics/company/sz/300810/300810/detail</t>
  </si>
  <si>
    <t>广电电气</t>
  </si>
  <si>
    <t>www.lixinger.com/analytics/company/sh/601616/601616/detail</t>
  </si>
  <si>
    <t>天山铝业</t>
  </si>
  <si>
    <t>www.lixinger.com/analytics/company/sz/002532/2532/detail</t>
  </si>
  <si>
    <t>温氏股份</t>
  </si>
  <si>
    <t>www.lixinger.com/analytics/company/sz/300498/300498/detail</t>
  </si>
  <si>
    <t>吴通控股</t>
  </si>
  <si>
    <t>www.lixinger.com/analytics/company/sz/300292/300292/detail</t>
  </si>
  <si>
    <t>世纪鼎利</t>
  </si>
  <si>
    <t>www.lixinger.com/analytics/company/sz/300050/300050/detail</t>
  </si>
  <si>
    <t>海天股份</t>
  </si>
  <si>
    <t>www.lixinger.com/analytics/company/sh/603759/603759/detail</t>
  </si>
  <si>
    <t>中宠股份</t>
  </si>
  <si>
    <t>宠物食品</t>
  </si>
  <si>
    <t>www.lixinger.com/analytics/company/sz/002891/2891/detail</t>
  </si>
  <si>
    <t>祁连山</t>
  </si>
  <si>
    <t>www.lixinger.com/analytics/company/sh/600720/600720/detail</t>
  </si>
  <si>
    <t>佳沃食品</t>
  </si>
  <si>
    <t>www.lixinger.com/analytics/company/sz/300268/300268/detail</t>
  </si>
  <si>
    <t>东华科技</t>
  </si>
  <si>
    <t>www.lixinger.com/analytics/company/sz/002140/2140/detail</t>
  </si>
  <si>
    <t>辉煌科技</t>
  </si>
  <si>
    <t>www.lixinger.com/analytics/company/sz/002296/2296/detail</t>
  </si>
  <si>
    <t>远东传动</t>
  </si>
  <si>
    <t>www.lixinger.com/analytics/company/sz/002406/2406/detail</t>
  </si>
  <si>
    <t>中农立华</t>
  </si>
  <si>
    <t>www.lixinger.com/analytics/company/sh/603970/603970/detail</t>
  </si>
  <si>
    <t>新国脉</t>
  </si>
  <si>
    <t>www.lixinger.com/analytics/company/sh/600640/600640/detail</t>
  </si>
  <si>
    <t>联环药业</t>
  </si>
  <si>
    <t>www.lixinger.com/analytics/company/sh/600513/600513/detail</t>
  </si>
  <si>
    <t>苏利股份</t>
  </si>
  <si>
    <t>www.lixinger.com/analytics/company/sh/603585/603585/detail</t>
  </si>
  <si>
    <t>金雷股份</t>
  </si>
  <si>
    <t>www.lixinger.com/analytics/company/sz/300443/300443/detail</t>
  </si>
  <si>
    <t>姚记科技</t>
  </si>
  <si>
    <t>www.lixinger.com/analytics/company/sz/002605/2605/detail</t>
  </si>
  <si>
    <t>中信博</t>
  </si>
  <si>
    <t>www.lixinger.com/analytics/company/sh/688408/688408/detail</t>
  </si>
  <si>
    <t>共创草坪</t>
  </si>
  <si>
    <t>www.lixinger.com/analytics/company/sh/605099/605099/detail</t>
  </si>
  <si>
    <t>天龙股份</t>
  </si>
  <si>
    <t>www.lixinger.com/analytics/company/sh/603266/603266/detail</t>
  </si>
  <si>
    <t>皇氏集团</t>
  </si>
  <si>
    <t>www.lixinger.com/analytics/company/sz/002329/2329/detail</t>
  </si>
  <si>
    <t>有方科技</t>
  </si>
  <si>
    <t>www.lixinger.com/analytics/company/sh/688159/688159/detail</t>
  </si>
  <si>
    <t>人民网</t>
  </si>
  <si>
    <t>门户网站</t>
  </si>
  <si>
    <t>www.lixinger.com/analytics/company/sh/603000/603000/detail</t>
  </si>
  <si>
    <t>雪峰科技</t>
  </si>
  <si>
    <t>www.lixinger.com/analytics/company/sh/603227/603227/detail</t>
  </si>
  <si>
    <t>南京聚隆</t>
  </si>
  <si>
    <t>www.lixinger.com/analytics/company/sz/300644/300644/detail</t>
  </si>
  <si>
    <t>汉钟精机</t>
  </si>
  <si>
    <t>www.lixinger.com/analytics/company/sz/002158/2158/detail</t>
  </si>
  <si>
    <t>卓翼科技</t>
  </si>
  <si>
    <t>www.lixinger.com/analytics/company/sz/002369/2369/detail</t>
  </si>
  <si>
    <t>三全食品</t>
  </si>
  <si>
    <t>预加工食品</t>
  </si>
  <si>
    <t>www.lixinger.com/analytics/company/sz/002216/2216/detail</t>
  </si>
  <si>
    <t>智动力</t>
  </si>
  <si>
    <t>www.lixinger.com/analytics/company/sz/300686/300686/detail</t>
  </si>
  <si>
    <t>良品铺子</t>
  </si>
  <si>
    <t>零食</t>
  </si>
  <si>
    <t>www.lixinger.com/analytics/company/sh/603719/603719/detail</t>
  </si>
  <si>
    <t>蠡湖股份</t>
  </si>
  <si>
    <t>www.lixinger.com/analytics/company/sz/300694/300694/detail</t>
  </si>
  <si>
    <t>浪潮软件</t>
  </si>
  <si>
    <t>www.lixinger.com/analytics/company/sh/600756/600756/detail</t>
  </si>
  <si>
    <t>靖远煤电</t>
  </si>
  <si>
    <t>www.lixinger.com/analytics/company/sz/000552/552/detail</t>
  </si>
  <si>
    <t>同益股份</t>
  </si>
  <si>
    <t>www.lixinger.com/analytics/company/sz/300538/300538/detail</t>
  </si>
  <si>
    <t>英搏尔</t>
  </si>
  <si>
    <t>www.lixinger.com/analytics/company/sz/300681/300681/detail</t>
  </si>
  <si>
    <t>吉视传媒</t>
  </si>
  <si>
    <t>www.lixinger.com/analytics/company/sh/601929/601929/detail</t>
  </si>
  <si>
    <t>新天科技</t>
  </si>
  <si>
    <t>www.lixinger.com/analytics/company/sz/300259/300259/detail</t>
  </si>
  <si>
    <t>丝路视觉</t>
  </si>
  <si>
    <t>www.lixinger.com/analytics/company/sz/300556/300556/detail</t>
  </si>
  <si>
    <t>赛摩智能</t>
  </si>
  <si>
    <t>www.lixinger.com/analytics/company/sz/300466/300466/detail</t>
  </si>
  <si>
    <t>通达动力</t>
  </si>
  <si>
    <t>www.lixinger.com/analytics/company/sz/002576/2576/detail</t>
  </si>
  <si>
    <t>通灵股份</t>
  </si>
  <si>
    <t>www.lixinger.com/analytics/company/sz/301168/301168/detail</t>
  </si>
  <si>
    <t>永利股份</t>
  </si>
  <si>
    <t>www.lixinger.com/analytics/company/sz/300230/300230/detail</t>
  </si>
  <si>
    <t>美邦股份</t>
  </si>
  <si>
    <t>www.lixinger.com/analytics/company/sh/605033/605033/detail</t>
  </si>
  <si>
    <t>信濠光电</t>
  </si>
  <si>
    <t>www.lixinger.com/analytics/company/sz/301051/301051/detail</t>
  </si>
  <si>
    <t>朗科智能</t>
  </si>
  <si>
    <t>www.lixinger.com/analytics/company/sz/300543/300543/detail</t>
  </si>
  <si>
    <t>亿利达</t>
  </si>
  <si>
    <t>www.lixinger.com/analytics/company/sz/002686/2686/detail</t>
  </si>
  <si>
    <t>奥克股份</t>
  </si>
  <si>
    <t>其他化学原料</t>
  </si>
  <si>
    <t>www.lixinger.com/analytics/company/sz/300082/300082/detail</t>
  </si>
  <si>
    <t>鲍斯股份</t>
  </si>
  <si>
    <t>www.lixinger.com/analytics/company/sz/300441/300441/detail</t>
  </si>
  <si>
    <t>东方嘉盛</t>
  </si>
  <si>
    <t>www.lixinger.com/analytics/company/sz/002889/2889/detail</t>
  </si>
  <si>
    <t>东阿阿胶</t>
  </si>
  <si>
    <t>www.lixinger.com/analytics/company/sz/000423/423/detail</t>
  </si>
  <si>
    <t>中亚股份</t>
  </si>
  <si>
    <t>www.lixinger.com/analytics/company/sz/300512/300512/detail</t>
  </si>
  <si>
    <t>东威科技</t>
  </si>
  <si>
    <t>www.lixinger.com/analytics/company/sh/688700/688700/detail</t>
  </si>
  <si>
    <t>润欣科技</t>
  </si>
  <si>
    <t>www.lixinger.com/analytics/company/sz/300493/300493/detail</t>
  </si>
  <si>
    <t>天成自控</t>
  </si>
  <si>
    <t>www.lixinger.com/analytics/company/sh/603085/603085/detail</t>
  </si>
  <si>
    <t>奥普特</t>
  </si>
  <si>
    <t>www.lixinger.com/analytics/company/sh/688686/688686/detail</t>
  </si>
  <si>
    <t>新筑股份</t>
  </si>
  <si>
    <t>www.lixinger.com/analytics/company/sz/002480/2480/detail</t>
  </si>
  <si>
    <t>高伟达</t>
  </si>
  <si>
    <t>www.lixinger.com/analytics/company/sz/300465/300465/detail</t>
  </si>
  <si>
    <t>科安达</t>
  </si>
  <si>
    <t>www.lixinger.com/analytics/company/sz/002972/2972/detail</t>
  </si>
  <si>
    <t>通化金马</t>
  </si>
  <si>
    <t>www.lixinger.com/analytics/company/sz/000766/766/detail</t>
  </si>
  <si>
    <t>吉宏股份</t>
  </si>
  <si>
    <t>www.lixinger.com/analytics/company/sz/002803/2803/detail</t>
  </si>
  <si>
    <t>丰元股份</t>
  </si>
  <si>
    <t>www.lixinger.com/analytics/company/sz/002805/2805/detail</t>
  </si>
  <si>
    <t>山东海化</t>
  </si>
  <si>
    <t>www.lixinger.com/analytics/company/sz/000822/822/detail</t>
  </si>
  <si>
    <t>百川股份</t>
  </si>
  <si>
    <t>www.lixinger.com/analytics/company/sz/002455/2455/detail</t>
  </si>
  <si>
    <t>维康药业</t>
  </si>
  <si>
    <t>www.lixinger.com/analytics/company/sz/300878/300878/detail</t>
  </si>
  <si>
    <t>博瑞医药</t>
  </si>
  <si>
    <t>www.lixinger.com/analytics/company/sh/688166/688166/detail</t>
  </si>
  <si>
    <t>东箭科技</t>
  </si>
  <si>
    <t>www.lixinger.com/analytics/company/sz/300978/300978/detail</t>
  </si>
  <si>
    <t>欧普照明</t>
  </si>
  <si>
    <t>www.lixinger.com/analytics/company/sh/603515/603515/detail</t>
  </si>
  <si>
    <t>大胜达</t>
  </si>
  <si>
    <t>www.lixinger.com/analytics/company/sh/603687/603687/detail</t>
  </si>
  <si>
    <t>宸展光电</t>
  </si>
  <si>
    <t>www.lixinger.com/analytics/company/sz/003019/3019/detail</t>
  </si>
  <si>
    <t>冠石科技</t>
  </si>
  <si>
    <t>www.lixinger.com/analytics/company/sh/605588/605588/detail</t>
  </si>
  <si>
    <t>苏垦农发</t>
  </si>
  <si>
    <t>粮食种植</t>
  </si>
  <si>
    <t>www.lixinger.com/analytics/company/sh/601952/601952/detail</t>
  </si>
  <si>
    <t>宏柏新材</t>
  </si>
  <si>
    <t>www.lixinger.com/analytics/company/sh/605366/605366/detail</t>
  </si>
  <si>
    <t>聚灿光电</t>
  </si>
  <si>
    <t>www.lixinger.com/analytics/company/sz/300708/300708/detail</t>
  </si>
  <si>
    <t>溢多利</t>
  </si>
  <si>
    <t>www.lixinger.com/analytics/company/sz/300381/300381/detail</t>
  </si>
  <si>
    <t>中天火箭</t>
  </si>
  <si>
    <t>www.lixinger.com/analytics/company/sz/003009/3009/detail</t>
  </si>
  <si>
    <t>南大光电</t>
  </si>
  <si>
    <t>www.lixinger.com/analytics/company/sz/300346/300346/detail</t>
  </si>
  <si>
    <t>力合科技</t>
  </si>
  <si>
    <t>www.lixinger.com/analytics/company/sz/300800/300800/detail</t>
  </si>
  <si>
    <t>佳华科技</t>
  </si>
  <si>
    <t>www.lixinger.com/analytics/company/sh/688051/688051/detail</t>
  </si>
  <si>
    <t>千红制药</t>
  </si>
  <si>
    <t>www.lixinger.com/analytics/company/sz/002550/2550/detail</t>
  </si>
  <si>
    <t>天源环保</t>
  </si>
  <si>
    <t>www.lixinger.com/analytics/company/sz/301127/301127/detail</t>
  </si>
  <si>
    <t>康强电子</t>
  </si>
  <si>
    <t>www.lixinger.com/analytics/company/sz/002119/2119/detail</t>
  </si>
  <si>
    <t>凤凰光学</t>
  </si>
  <si>
    <t>www.lixinger.com/analytics/company/sh/600071/600071/detail</t>
  </si>
  <si>
    <t>冠龙节能</t>
  </si>
  <si>
    <t>www.lixinger.com/analytics/company/sz/301151/301151/detail</t>
  </si>
  <si>
    <t>中简科技</t>
  </si>
  <si>
    <t>www.lixinger.com/analytics/company/sz/300777/300777/detail</t>
  </si>
  <si>
    <t>市北高新</t>
  </si>
  <si>
    <t>www.lixinger.com/analytics/company/sh/600604/600604/detail</t>
  </si>
  <si>
    <t>立方制药</t>
  </si>
  <si>
    <t>www.lixinger.com/analytics/company/sz/003020/3020/detail</t>
  </si>
  <si>
    <t>广信股份</t>
  </si>
  <si>
    <t>www.lixinger.com/analytics/company/sh/603599/603599/detail</t>
  </si>
  <si>
    <t>ST鹏博士</t>
  </si>
  <si>
    <t>www.lixinger.com/analytics/company/sh/600804/600804/detail</t>
  </si>
  <si>
    <t>勤上股份</t>
  </si>
  <si>
    <t>培训教育</t>
  </si>
  <si>
    <t>www.lixinger.com/analytics/company/sz/002638/2638/detail</t>
  </si>
  <si>
    <t>贵绳股份</t>
  </si>
  <si>
    <t>www.lixinger.com/analytics/company/sh/600992/600992/detail</t>
  </si>
  <si>
    <t>漳州发展</t>
  </si>
  <si>
    <t>www.lixinger.com/analytics/company/sz/000753/753/detail</t>
  </si>
  <si>
    <t>睿智医药</t>
  </si>
  <si>
    <t>www.lixinger.com/analytics/company/sz/300149/300149/detail</t>
  </si>
  <si>
    <t>凯龙高科</t>
  </si>
  <si>
    <t>www.lixinger.com/analytics/company/sz/300912/300912/detail</t>
  </si>
  <si>
    <t>长荣股份</t>
  </si>
  <si>
    <t>www.lixinger.com/analytics/company/sz/300195/300195/detail</t>
  </si>
  <si>
    <t>万祥科技</t>
  </si>
  <si>
    <t>www.lixinger.com/analytics/company/sz/301180/301180/detail</t>
  </si>
  <si>
    <t>嘉元科技</t>
  </si>
  <si>
    <t>www.lixinger.com/analytics/company/sh/688388/688388/detail</t>
  </si>
  <si>
    <t>天箭科技</t>
  </si>
  <si>
    <t>www.lixinger.com/analytics/company/sz/002977/2977/detail</t>
  </si>
  <si>
    <t>隆基机械</t>
  </si>
  <si>
    <t>www.lixinger.com/analytics/company/sz/002363/2363/detail</t>
  </si>
  <si>
    <t>洁美科技</t>
  </si>
  <si>
    <t>www.lixinger.com/analytics/company/sz/002859/2859/detail</t>
  </si>
  <si>
    <t>海锅股份</t>
  </si>
  <si>
    <t>www.lixinger.com/analytics/company/sz/301063/301063/detail</t>
  </si>
  <si>
    <t>中环海陆</t>
  </si>
  <si>
    <t>www.lixinger.com/analytics/company/sz/301040/301040/detail</t>
  </si>
  <si>
    <t>恒实科技</t>
  </si>
  <si>
    <t>www.lixinger.com/analytics/company/sz/300513/300513/detail</t>
  </si>
  <si>
    <t>金陵药业</t>
  </si>
  <si>
    <t>www.lixinger.com/analytics/company/sz/000919/919/detail</t>
  </si>
  <si>
    <t>新澳股份</t>
  </si>
  <si>
    <t>www.lixinger.com/analytics/company/sh/603889/603889/detail</t>
  </si>
  <si>
    <t>南京公用</t>
  </si>
  <si>
    <t>www.lixinger.com/analytics/company/sz/000421/421/detail</t>
  </si>
  <si>
    <t>豪森股份</t>
  </si>
  <si>
    <t>www.lixinger.com/analytics/company/sh/688529/688529/detail</t>
  </si>
  <si>
    <t>嵘泰股份</t>
  </si>
  <si>
    <t>www.lixinger.com/analytics/company/sh/605133/605133/detail</t>
  </si>
  <si>
    <t>楚天高速</t>
  </si>
  <si>
    <t>www.lixinger.com/analytics/company/sh/600035/600035/detail</t>
  </si>
  <si>
    <t>现代投资</t>
  </si>
  <si>
    <t>www.lixinger.com/analytics/company/sz/000900/900/detail</t>
  </si>
  <si>
    <t>中矿资源</t>
  </si>
  <si>
    <t>www.lixinger.com/analytics/company/sz/002738/2738/detail</t>
  </si>
  <si>
    <t>蓝盾光电</t>
  </si>
  <si>
    <t>www.lixinger.com/analytics/company/sz/300862/300862/detail</t>
  </si>
  <si>
    <t>瑞尔特</t>
  </si>
  <si>
    <t>www.lixinger.com/analytics/company/sz/002790/2790/detail</t>
  </si>
  <si>
    <t>锦泓集团</t>
  </si>
  <si>
    <t>www.lixinger.com/analytics/company/sh/603518/603518/detail</t>
  </si>
  <si>
    <t>中环环保</t>
  </si>
  <si>
    <t>www.lixinger.com/analytics/company/sz/300692/300692/detail</t>
  </si>
  <si>
    <t>天汽模</t>
  </si>
  <si>
    <t>www.lixinger.com/analytics/company/sz/002510/2510/detail</t>
  </si>
  <si>
    <t>龙溪股份</t>
  </si>
  <si>
    <t>www.lixinger.com/analytics/company/sh/600592/600592/detail</t>
  </si>
  <si>
    <t>易德龙</t>
  </si>
  <si>
    <t>www.lixinger.com/analytics/company/sh/603380/603380/detail</t>
  </si>
  <si>
    <t>龙大美食</t>
  </si>
  <si>
    <t>www.lixinger.com/analytics/company/sz/002726/2726/detail</t>
  </si>
  <si>
    <t>久其软件</t>
  </si>
  <si>
    <t>www.lixinger.com/analytics/company/sz/002279/2279/detail</t>
  </si>
  <si>
    <t>博深股份</t>
  </si>
  <si>
    <t>www.lixinger.com/analytics/company/sz/002282/2282/detail</t>
  </si>
  <si>
    <t>明阳电路</t>
  </si>
  <si>
    <t>www.lixinger.com/analytics/company/sz/300739/300739/detail</t>
  </si>
  <si>
    <t>新亚电子</t>
  </si>
  <si>
    <t>www.lixinger.com/analytics/company/sh/605277/605277/detail</t>
  </si>
  <si>
    <t>江丰电子</t>
  </si>
  <si>
    <t>www.lixinger.com/analytics/company/sz/300666/300666/detail</t>
  </si>
  <si>
    <t>天禾股份</t>
  </si>
  <si>
    <t>www.lixinger.com/analytics/company/sz/002999/2999/detail</t>
  </si>
  <si>
    <t>理工能科</t>
  </si>
  <si>
    <t>www.lixinger.com/analytics/company/sz/002322/2322/detail</t>
  </si>
  <si>
    <t>摩恩电气</t>
  </si>
  <si>
    <t>www.lixinger.com/analytics/company/sz/002451/2451/detail</t>
  </si>
  <si>
    <t>蓝晓科技</t>
  </si>
  <si>
    <t>www.lixinger.com/analytics/company/sz/300487/300487/detail</t>
  </si>
  <si>
    <t>*ST科林</t>
  </si>
  <si>
    <t>www.lixinger.com/analytics/company/sz/002499/2499/detail</t>
  </si>
  <si>
    <t>建研院</t>
  </si>
  <si>
    <t>www.lixinger.com/analytics/company/sh/603183/603183/detail</t>
  </si>
  <si>
    <t>昊海生科</t>
  </si>
  <si>
    <t>www.lixinger.com/analytics/company/sh/688366/688366/detail</t>
  </si>
  <si>
    <t>金达威</t>
  </si>
  <si>
    <t>www.lixinger.com/analytics/company/sz/002626/2626/detail</t>
  </si>
  <si>
    <t>博杰股份</t>
  </si>
  <si>
    <t>www.lixinger.com/analytics/company/sz/002975/2975/detail</t>
  </si>
  <si>
    <t>福星股份</t>
  </si>
  <si>
    <t>www.lixinger.com/analytics/company/sz/000926/926/detail</t>
  </si>
  <si>
    <t>国瑞科技</t>
  </si>
  <si>
    <t>www.lixinger.com/analytics/company/sz/300600/300600/detail</t>
  </si>
  <si>
    <t>嘉诚国际</t>
  </si>
  <si>
    <t>www.lixinger.com/analytics/company/sh/603535/603535/detail</t>
  </si>
  <si>
    <t>龙版传媒</t>
  </si>
  <si>
    <t>www.lixinger.com/analytics/company/sh/605577/605577/detail</t>
  </si>
  <si>
    <t>帝尔激光</t>
  </si>
  <si>
    <t>www.lixinger.com/analytics/company/sz/300776/300776/detail</t>
  </si>
  <si>
    <t>鑫科材料</t>
  </si>
  <si>
    <t>www.lixinger.com/analytics/company/sh/600255/600255/detail</t>
  </si>
  <si>
    <t>金银河</t>
  </si>
  <si>
    <t>www.lixinger.com/analytics/company/sz/300619/300619/detail</t>
  </si>
  <si>
    <t>青达环保</t>
  </si>
  <si>
    <t>www.lixinger.com/analytics/company/sh/688501/688501/detail</t>
  </si>
  <si>
    <t>重庆燃气</t>
  </si>
  <si>
    <t>www.lixinger.com/analytics/company/sh/600917/600917/detail</t>
  </si>
  <si>
    <t>久远银海</t>
  </si>
  <si>
    <t>www.lixinger.com/analytics/company/sz/002777/2777/detail</t>
  </si>
  <si>
    <t>国茂股份</t>
  </si>
  <si>
    <t>www.lixinger.com/analytics/company/sh/603915/603915/detail</t>
  </si>
  <si>
    <t>诚邦股份</t>
  </si>
  <si>
    <t>www.lixinger.com/analytics/company/sh/603316/603316/detail</t>
  </si>
  <si>
    <t>湘油泵</t>
  </si>
  <si>
    <t>www.lixinger.com/analytics/company/sh/603319/603319/detail</t>
  </si>
  <si>
    <t>瀚川智能</t>
  </si>
  <si>
    <t>www.lixinger.com/analytics/company/sh/688022/688022/detail</t>
  </si>
  <si>
    <t>朗迪集团</t>
  </si>
  <si>
    <t>www.lixinger.com/analytics/company/sh/603726/603726/detail</t>
  </si>
  <si>
    <t>长龄液压</t>
  </si>
  <si>
    <t>www.lixinger.com/analytics/company/sh/605389/605389/detail</t>
  </si>
  <si>
    <t>汉嘉设计</t>
  </si>
  <si>
    <t>www.lixinger.com/analytics/company/sz/300746/300746/detail</t>
  </si>
  <si>
    <t>德创环保</t>
  </si>
  <si>
    <t>www.lixinger.com/analytics/company/sh/603177/603177/detail</t>
  </si>
  <si>
    <t>宝馨科技</t>
  </si>
  <si>
    <t>www.lixinger.com/analytics/company/sz/002514/2514/detail</t>
  </si>
  <si>
    <t>七匹狼</t>
  </si>
  <si>
    <t>www.lixinger.com/analytics/company/sz/002029/2029/detail</t>
  </si>
  <si>
    <t>伟星股份</t>
  </si>
  <si>
    <t>辅料</t>
  </si>
  <si>
    <t>www.lixinger.com/analytics/company/sz/002003/2003/detail</t>
  </si>
  <si>
    <t>慈文传媒</t>
  </si>
  <si>
    <t>www.lixinger.com/analytics/company/sz/002343/2343/detail</t>
  </si>
  <si>
    <t>金冠电气</t>
  </si>
  <si>
    <t>www.lixinger.com/analytics/company/sh/688517/688517/detail</t>
  </si>
  <si>
    <t>哈工智能</t>
  </si>
  <si>
    <t>www.lixinger.com/analytics/company/sz/000584/584/detail</t>
  </si>
  <si>
    <t>中一科技</t>
  </si>
  <si>
    <t>www.lixinger.com/analytics/company/sz/301150/301150/detail</t>
  </si>
  <si>
    <t>盛弘股份</t>
  </si>
  <si>
    <t>www.lixinger.com/analytics/company/sz/300693/300693/detail</t>
  </si>
  <si>
    <t>贝斯特</t>
  </si>
  <si>
    <t>www.lixinger.com/analytics/company/sz/300580/300580/detail</t>
  </si>
  <si>
    <t>健盛集团</t>
  </si>
  <si>
    <t>www.lixinger.com/analytics/company/sh/603558/603558/detail</t>
  </si>
  <si>
    <t>怡合达</t>
  </si>
  <si>
    <t>www.lixinger.com/analytics/company/sz/301029/301029/detail</t>
  </si>
  <si>
    <t>博硕科技</t>
  </si>
  <si>
    <t>www.lixinger.com/analytics/company/sz/300951/300951/detail</t>
  </si>
  <si>
    <t>银河电子</t>
  </si>
  <si>
    <t>www.lixinger.com/analytics/company/sz/002519/2519/detail</t>
  </si>
  <si>
    <t>华通热力</t>
  </si>
  <si>
    <t>www.lixinger.com/analytics/company/sz/002893/2893/detail</t>
  </si>
  <si>
    <t>值得买</t>
  </si>
  <si>
    <t>www.lixinger.com/analytics/company/sz/300785/300785/detail</t>
  </si>
  <si>
    <t>浙江世宝</t>
  </si>
  <si>
    <t>www.lixinger.com/analytics/company/sz/002703/2703/detail</t>
  </si>
  <si>
    <t>振华股份</t>
  </si>
  <si>
    <t>www.lixinger.com/analytics/company/sh/603067/603067/detail</t>
  </si>
  <si>
    <t>高争民爆</t>
  </si>
  <si>
    <t>www.lixinger.com/analytics/company/sz/002827/2827/detail</t>
  </si>
  <si>
    <t>云铝股份</t>
  </si>
  <si>
    <t>www.lixinger.com/analytics/company/sz/000807/807/detail</t>
  </si>
  <si>
    <t>深赛格B</t>
  </si>
  <si>
    <t>www.lixinger.com/analytics/company/sz/200058/200058/detail</t>
  </si>
  <si>
    <t>星光农机</t>
  </si>
  <si>
    <t>www.lixinger.com/analytics/company/sh/603789/603789/detail</t>
  </si>
  <si>
    <t>科隆股份</t>
  </si>
  <si>
    <t>www.lixinger.com/analytics/company/sz/300405/300405/detail</t>
  </si>
  <si>
    <t>金盾股份</t>
  </si>
  <si>
    <t>www.lixinger.com/analytics/company/sz/300411/300411/detail</t>
  </si>
  <si>
    <t>艾布鲁</t>
  </si>
  <si>
    <t>www.lixinger.com/analytics/company/sz/301259/301259/detail</t>
  </si>
  <si>
    <t>伟星新材</t>
  </si>
  <si>
    <t>www.lixinger.com/analytics/company/sz/002372/2372/detail</t>
  </si>
  <si>
    <t>宏辉果蔬</t>
  </si>
  <si>
    <t>www.lixinger.com/analytics/company/sh/603336/603336/detail</t>
  </si>
  <si>
    <t>优博讯</t>
  </si>
  <si>
    <t>www.lixinger.com/analytics/company/sz/300531/300531/detail</t>
  </si>
  <si>
    <t>秀强股份</t>
  </si>
  <si>
    <t>www.lixinger.com/analytics/company/sz/300160/300160/detail</t>
  </si>
  <si>
    <t>上海沿浦</t>
  </si>
  <si>
    <t>www.lixinger.com/analytics/company/sh/605128/605128/detail</t>
  </si>
  <si>
    <t>奥赛康</t>
  </si>
  <si>
    <t>www.lixinger.com/analytics/company/sz/002755/2755/detail</t>
  </si>
  <si>
    <t>外服控股</t>
  </si>
  <si>
    <t>公交</t>
  </si>
  <si>
    <t>www.lixinger.com/analytics/company/sh/600662/600662/detail</t>
  </si>
  <si>
    <t>徕木股份</t>
  </si>
  <si>
    <t>www.lixinger.com/analytics/company/sh/603633/603633/detail</t>
  </si>
  <si>
    <t>泰和新材</t>
  </si>
  <si>
    <t>www.lixinger.com/analytics/company/sz/002254/2254/detail</t>
  </si>
  <si>
    <t>多伦科技</t>
  </si>
  <si>
    <t>www.lixinger.com/analytics/company/sh/603528/603528/detail</t>
  </si>
  <si>
    <t>旗滨集团</t>
  </si>
  <si>
    <t>www.lixinger.com/analytics/company/sh/601636/601636/detail</t>
  </si>
  <si>
    <t>腾远钴业</t>
  </si>
  <si>
    <t>www.lixinger.com/analytics/company/sz/301219/301219/detail</t>
  </si>
  <si>
    <t>豪能股份</t>
  </si>
  <si>
    <t>www.lixinger.com/analytics/company/sh/603809/603809/detail</t>
  </si>
  <si>
    <t>乾景园林</t>
  </si>
  <si>
    <t>www.lixinger.com/analytics/company/sh/603778/603778/detail</t>
  </si>
  <si>
    <t>上海凯宝</t>
  </si>
  <si>
    <t>www.lixinger.com/analytics/company/sz/300039/300039/detail</t>
  </si>
  <si>
    <t>成飞集成</t>
  </si>
  <si>
    <t>www.lixinger.com/analytics/company/sz/002190/2190/detail</t>
  </si>
  <si>
    <t>数字认证</t>
  </si>
  <si>
    <t>www.lixinger.com/analytics/company/sz/300579/300579/detail</t>
  </si>
  <si>
    <t>智明达</t>
  </si>
  <si>
    <t>www.lixinger.com/analytics/company/sh/688636/688636/detail</t>
  </si>
  <si>
    <t>永清环保</t>
  </si>
  <si>
    <t>www.lixinger.com/analytics/company/sz/300187/300187/detail</t>
  </si>
  <si>
    <t>大悦城</t>
  </si>
  <si>
    <t>www.lixinger.com/analytics/company/sz/000031/31/detail</t>
  </si>
  <si>
    <t>任子行</t>
  </si>
  <si>
    <t>www.lixinger.com/analytics/company/sz/300311/300311/detail</t>
  </si>
  <si>
    <t>云鼎科技</t>
  </si>
  <si>
    <t>www.lixinger.com/analytics/company/sz/000409/409/detail</t>
  </si>
  <si>
    <t>新产业</t>
  </si>
  <si>
    <t>www.lixinger.com/analytics/company/sz/300832/300832/detail</t>
  </si>
  <si>
    <t>千金药业</t>
  </si>
  <si>
    <t>www.lixinger.com/analytics/company/sh/600479/600479/detail</t>
  </si>
  <si>
    <t>卓越新能</t>
  </si>
  <si>
    <t>www.lixinger.com/analytics/company/sh/688196/688196/detail</t>
  </si>
  <si>
    <t>清水源</t>
  </si>
  <si>
    <t>www.lixinger.com/analytics/company/sz/300437/300437/detail</t>
  </si>
  <si>
    <t>莱美药业</t>
  </si>
  <si>
    <t>www.lixinger.com/analytics/company/sz/300006/300006/detail</t>
  </si>
  <si>
    <t>*ST山航B</t>
  </si>
  <si>
    <t>www.lixinger.com/analytics/company/sz/200152/200152/detail</t>
  </si>
  <si>
    <t>海星股份</t>
  </si>
  <si>
    <t>www.lixinger.com/analytics/company/sh/603115/603115/detail</t>
  </si>
  <si>
    <t>ST林重</t>
  </si>
  <si>
    <t>www.lixinger.com/analytics/company/sz/002535/2535/detail</t>
  </si>
  <si>
    <t>科泰电源</t>
  </si>
  <si>
    <t>www.lixinger.com/analytics/company/sz/300153/300153/detail</t>
  </si>
  <si>
    <t>星网宇达</t>
  </si>
  <si>
    <t>www.lixinger.com/analytics/company/sz/002829/2829/detail</t>
  </si>
  <si>
    <t>健帆生物</t>
  </si>
  <si>
    <t>www.lixinger.com/analytics/company/sz/300529/300529/detail</t>
  </si>
  <si>
    <t>浔兴股份</t>
  </si>
  <si>
    <t>www.lixinger.com/analytics/company/sz/002098/2098/detail</t>
  </si>
  <si>
    <t>铁流股份</t>
  </si>
  <si>
    <t>www.lixinger.com/analytics/company/sh/603926/603926/detail</t>
  </si>
  <si>
    <t>研奥股份</t>
  </si>
  <si>
    <t>www.lixinger.com/analytics/company/sz/300923/300923/detail</t>
  </si>
  <si>
    <t>深信服</t>
  </si>
  <si>
    <t>www.lixinger.com/analytics/company/sz/300454/300454/detail</t>
  </si>
  <si>
    <t>格林精密</t>
  </si>
  <si>
    <t>www.lixinger.com/analytics/company/sz/300968/300968/detail</t>
  </si>
  <si>
    <t>扬电科技</t>
  </si>
  <si>
    <t>www.lixinger.com/analytics/company/sz/301012/301012/detail</t>
  </si>
  <si>
    <t>宜华健康</t>
  </si>
  <si>
    <t>www.lixinger.com/analytics/company/sz/000150/150/detail</t>
  </si>
  <si>
    <t>柘中股份</t>
  </si>
  <si>
    <t>www.lixinger.com/analytics/company/sz/002346/2346/detail</t>
  </si>
  <si>
    <t>吉大通信</t>
  </si>
  <si>
    <t>www.lixinger.com/analytics/company/sz/300597/300597/detail</t>
  </si>
  <si>
    <t>西上海</t>
  </si>
  <si>
    <t>www.lixinger.com/analytics/company/sh/605151/605151/detail</t>
  </si>
  <si>
    <t>奇精机械</t>
  </si>
  <si>
    <t>www.lixinger.com/analytics/company/sh/603677/603677/detail</t>
  </si>
  <si>
    <t>深圳新星</t>
  </si>
  <si>
    <t>www.lixinger.com/analytics/company/sh/603978/603978/detail</t>
  </si>
  <si>
    <t>纳川股份</t>
  </si>
  <si>
    <t>www.lixinger.com/analytics/company/sz/300198/300198/detail</t>
  </si>
  <si>
    <t>长源东谷</t>
  </si>
  <si>
    <t>www.lixinger.com/analytics/company/sh/603950/603950/detail</t>
  </si>
  <si>
    <t>曙光股份</t>
  </si>
  <si>
    <t>www.lixinger.com/analytics/company/sh/600303/600303/detail</t>
  </si>
  <si>
    <t>捷荣技术</t>
  </si>
  <si>
    <t>www.lixinger.com/analytics/company/sz/002855/2855/detail</t>
  </si>
  <si>
    <t>东易日盛</t>
  </si>
  <si>
    <t>www.lixinger.com/analytics/company/sz/002713/2713/detail</t>
  </si>
  <si>
    <t>三变科技</t>
  </si>
  <si>
    <t>www.lixinger.com/analytics/company/sz/002112/2112/detail</t>
  </si>
  <si>
    <t>红宝丽</t>
  </si>
  <si>
    <t>www.lixinger.com/analytics/company/sz/002165/2165/detail</t>
  </si>
  <si>
    <t>晨光生物</t>
  </si>
  <si>
    <t>www.lixinger.com/analytics/company/sz/300138/300138/detail</t>
  </si>
  <si>
    <t>苏盐井神</t>
  </si>
  <si>
    <t>www.lixinger.com/analytics/company/sh/603299/603299/detail</t>
  </si>
  <si>
    <t>超频三</t>
  </si>
  <si>
    <t>www.lixinger.com/analytics/company/sz/300647/300647/detail</t>
  </si>
  <si>
    <t>海晨股份</t>
  </si>
  <si>
    <t>www.lixinger.com/analytics/company/sz/300873/300873/detail</t>
  </si>
  <si>
    <t>深水海纳</t>
  </si>
  <si>
    <t>www.lixinger.com/analytics/company/sz/300961/300961/detail</t>
  </si>
  <si>
    <t>华熙生物</t>
  </si>
  <si>
    <t>医美耗材</t>
  </si>
  <si>
    <t>www.lixinger.com/analytics/company/sh/688363/688363/detail</t>
  </si>
  <si>
    <t>国投中鲁</t>
  </si>
  <si>
    <t>果蔬加工</t>
  </si>
  <si>
    <t>www.lixinger.com/analytics/company/sh/600962/600962/detail</t>
  </si>
  <si>
    <t>盘江股份</t>
  </si>
  <si>
    <t>www.lixinger.com/analytics/company/sh/600395/600395/detail</t>
  </si>
  <si>
    <t>菲利华</t>
  </si>
  <si>
    <t>www.lixinger.com/analytics/company/sz/300395/300395/detail</t>
  </si>
  <si>
    <t>新晨科技</t>
  </si>
  <si>
    <t>www.lixinger.com/analytics/company/sz/300542/300542/detail</t>
  </si>
  <si>
    <t>星徽股份</t>
  </si>
  <si>
    <t>www.lixinger.com/analytics/company/sz/300464/300464/detail</t>
  </si>
  <si>
    <t>金桥信息</t>
  </si>
  <si>
    <t>www.lixinger.com/analytics/company/sh/603918/603918/detail</t>
  </si>
  <si>
    <t>福达合金</t>
  </si>
  <si>
    <t>www.lixinger.com/analytics/company/sh/603045/603045/detail</t>
  </si>
  <si>
    <t>飞亚达</t>
  </si>
  <si>
    <t>www.lixinger.com/analytics/company/sz/000026/26/detail</t>
  </si>
  <si>
    <t>浙江力诺</t>
  </si>
  <si>
    <t>www.lixinger.com/analytics/company/sz/300838/300838/detail</t>
  </si>
  <si>
    <t>万马科技</t>
  </si>
  <si>
    <t>www.lixinger.com/analytics/company/sz/300698/300698/detail</t>
  </si>
  <si>
    <t>炬华科技</t>
  </si>
  <si>
    <t>www.lixinger.com/analytics/company/sz/300360/300360/detail</t>
  </si>
  <si>
    <t>云意电气</t>
  </si>
  <si>
    <t>www.lixinger.com/analytics/company/sz/300304/300304/detail</t>
  </si>
  <si>
    <t>鲁商发展</t>
  </si>
  <si>
    <t>www.lixinger.com/analytics/company/sh/600223/600223/detail</t>
  </si>
  <si>
    <t>大西洋</t>
  </si>
  <si>
    <t>www.lixinger.com/analytics/company/sh/600558/600558/detail</t>
  </si>
  <si>
    <t>深物业A</t>
  </si>
  <si>
    <t>www.lixinger.com/analytics/company/sz/000011/11/detail</t>
  </si>
  <si>
    <t>精准信息</t>
  </si>
  <si>
    <t>www.lixinger.com/analytics/company/sz/300099/300099/detail</t>
  </si>
  <si>
    <t>亚星锚链</t>
  </si>
  <si>
    <t>www.lixinger.com/analytics/company/sh/601890/601890/detail</t>
  </si>
  <si>
    <t>华纺股份</t>
  </si>
  <si>
    <t>www.lixinger.com/analytics/company/sh/600448/600448/detail</t>
  </si>
  <si>
    <t>宇瞳光学</t>
  </si>
  <si>
    <t>www.lixinger.com/analytics/company/sz/300790/300790/detail</t>
  </si>
  <si>
    <t>上海临港</t>
  </si>
  <si>
    <t>www.lixinger.com/analytics/company/sh/600848/600848/detail</t>
  </si>
  <si>
    <t>延华智能</t>
  </si>
  <si>
    <t>www.lixinger.com/analytics/company/sz/002178/2178/detail</t>
  </si>
  <si>
    <t>首开股份</t>
  </si>
  <si>
    <t>www.lixinger.com/analytics/company/sh/600376/600376/detail</t>
  </si>
  <si>
    <t>美畅股份</t>
  </si>
  <si>
    <t>www.lixinger.com/analytics/company/sz/300861/300861/detail</t>
  </si>
  <si>
    <t>吉大正元</t>
  </si>
  <si>
    <t>www.lixinger.com/analytics/company/sz/003029/3029/detail</t>
  </si>
  <si>
    <t>胜利股份</t>
  </si>
  <si>
    <t>www.lixinger.com/analytics/company/sz/000407/407/detail</t>
  </si>
  <si>
    <t>佐力药业</t>
  </si>
  <si>
    <t>www.lixinger.com/analytics/company/sz/300181/300181/detail</t>
  </si>
  <si>
    <t>凯赛生物</t>
  </si>
  <si>
    <t>www.lixinger.com/analytics/company/sh/688065/688065/detail</t>
  </si>
  <si>
    <t>富瑞特装</t>
  </si>
  <si>
    <t>www.lixinger.com/analytics/company/sz/300228/300228/detail</t>
  </si>
  <si>
    <t>澳洋健康</t>
  </si>
  <si>
    <t>www.lixinger.com/analytics/company/sz/002172/2172/detail</t>
  </si>
  <si>
    <t>游族网络</t>
  </si>
  <si>
    <t>www.lixinger.com/analytics/company/sz/002174/2174/detail</t>
  </si>
  <si>
    <t>星帅尔</t>
  </si>
  <si>
    <t>www.lixinger.com/analytics/company/sz/002860/2860/detail</t>
  </si>
  <si>
    <t>江苏舜天</t>
  </si>
  <si>
    <t>www.lixinger.com/analytics/company/sh/600287/600287/detail</t>
  </si>
  <si>
    <t>霍普股份</t>
  </si>
  <si>
    <t>www.lixinger.com/analytics/company/sz/301024/301024/detail</t>
  </si>
  <si>
    <t>天原股份</t>
  </si>
  <si>
    <t>www.lixinger.com/analytics/company/sz/002386/2386/detail</t>
  </si>
  <si>
    <t>国际医学</t>
  </si>
  <si>
    <t>www.lixinger.com/analytics/company/sz/000516/516/detail</t>
  </si>
  <si>
    <t>卓锦股份</t>
  </si>
  <si>
    <t>www.lixinger.com/analytics/company/sh/688701/688701/detail</t>
  </si>
  <si>
    <t>佳禾智能</t>
  </si>
  <si>
    <t>www.lixinger.com/analytics/company/sz/300793/300793/detail</t>
  </si>
  <si>
    <t>山东赫达</t>
  </si>
  <si>
    <t>www.lixinger.com/analytics/company/sz/002810/2810/detail</t>
  </si>
  <si>
    <t>马应龙</t>
  </si>
  <si>
    <t>www.lixinger.com/analytics/company/sh/600993/600993/detail</t>
  </si>
  <si>
    <t>同兴环保</t>
  </si>
  <si>
    <t>www.lixinger.com/analytics/company/sz/003027/3027/detail</t>
  </si>
  <si>
    <t>兴瑞科技</t>
  </si>
  <si>
    <t>www.lixinger.com/analytics/company/sz/002937/2937/detail</t>
  </si>
  <si>
    <t>福能东方</t>
  </si>
  <si>
    <t>www.lixinger.com/analytics/company/sz/300173/300173/detail</t>
  </si>
  <si>
    <t>大豪科技</t>
  </si>
  <si>
    <t>www.lixinger.com/analytics/company/sh/603025/603025/detail</t>
  </si>
  <si>
    <t>瑞丰高材</t>
  </si>
  <si>
    <t>www.lixinger.com/analytics/company/sz/300243/300243/detail</t>
  </si>
  <si>
    <t>华懋科技</t>
  </si>
  <si>
    <t>www.lixinger.com/analytics/company/sh/603306/603306/detail</t>
  </si>
  <si>
    <t>华秦科技</t>
  </si>
  <si>
    <t>www.lixinger.com/analytics/company/sh/688281/688281/detail</t>
  </si>
  <si>
    <t>派生科技</t>
  </si>
  <si>
    <t>www.lixinger.com/analytics/company/sz/300176/300176/detail</t>
  </si>
  <si>
    <t>中富电路</t>
  </si>
  <si>
    <t>www.lixinger.com/analytics/company/sz/300814/300814/detail</t>
  </si>
  <si>
    <t>北玻股份</t>
  </si>
  <si>
    <t>www.lixinger.com/analytics/company/sz/002613/2613/detail</t>
  </si>
  <si>
    <t>新开源</t>
  </si>
  <si>
    <t>www.lixinger.com/analytics/company/sz/300109/300109/detail</t>
  </si>
  <si>
    <t>唐人神</t>
  </si>
  <si>
    <t>www.lixinger.com/analytics/company/sz/002567/2567/detail</t>
  </si>
  <si>
    <t>乐凯胶片</t>
  </si>
  <si>
    <t>www.lixinger.com/analytics/company/sh/600135/600135/detail</t>
  </si>
  <si>
    <t>首旅酒店</t>
  </si>
  <si>
    <t>www.lixinger.com/analytics/company/sh/600258/600258/detail</t>
  </si>
  <si>
    <t>宁波海运</t>
  </si>
  <si>
    <t>www.lixinger.com/analytics/company/sh/600798/600798/detail</t>
  </si>
  <si>
    <t>亚翔集成</t>
  </si>
  <si>
    <t>www.lixinger.com/analytics/company/sh/603929/603929/detail</t>
  </si>
  <si>
    <t>宜安科技</t>
  </si>
  <si>
    <t>www.lixinger.com/analytics/company/sz/300328/300328/detail</t>
  </si>
  <si>
    <t>斯达半导</t>
  </si>
  <si>
    <t>www.lixinger.com/analytics/company/sh/603290/603290/detail</t>
  </si>
  <si>
    <t>红星发展</t>
  </si>
  <si>
    <t>www.lixinger.com/analytics/company/sh/600367/600367/detail</t>
  </si>
  <si>
    <t>广汇物流</t>
  </si>
  <si>
    <t>www.lixinger.com/analytics/company/sh/600603/600603/detail</t>
  </si>
  <si>
    <t>雷赛智能</t>
  </si>
  <si>
    <t>www.lixinger.com/analytics/company/sz/002979/2979/detail</t>
  </si>
  <si>
    <t>君实生物</t>
  </si>
  <si>
    <t>www.lixinger.com/analytics/company/sh/688180/688180/detail</t>
  </si>
  <si>
    <t>神马电力</t>
  </si>
  <si>
    <t>www.lixinger.com/analytics/company/sh/603530/603530/detail</t>
  </si>
  <si>
    <t>*ST聚龙</t>
  </si>
  <si>
    <t>www.lixinger.com/analytics/company/sz/300202/300202/detail</t>
  </si>
  <si>
    <t>通合科技</t>
  </si>
  <si>
    <t>www.lixinger.com/analytics/company/sz/300491/300491/detail</t>
  </si>
  <si>
    <t>大连电瓷</t>
  </si>
  <si>
    <t>www.lixinger.com/analytics/company/sz/002606/2606/detail</t>
  </si>
  <si>
    <t>悦达投资</t>
  </si>
  <si>
    <t>www.lixinger.com/analytics/company/sh/600805/600805/detail</t>
  </si>
  <si>
    <t>国际实业</t>
  </si>
  <si>
    <t>www.lixinger.com/analytics/company/sz/000159/159/detail</t>
  </si>
  <si>
    <t>同有科技</t>
  </si>
  <si>
    <t>www.lixinger.com/analytics/company/sz/300302/300302/detail</t>
  </si>
  <si>
    <t>盘龙药业</t>
  </si>
  <si>
    <t>www.lixinger.com/analytics/company/sz/002864/2864/detail</t>
  </si>
  <si>
    <t>康希诺</t>
  </si>
  <si>
    <t>www.lixinger.com/analytics/company/sh/688185/688185/detail</t>
  </si>
  <si>
    <t>上声电子</t>
  </si>
  <si>
    <t>www.lixinger.com/analytics/company/sh/688533/688533/detail</t>
  </si>
  <si>
    <t>山水比德</t>
  </si>
  <si>
    <t>www.lixinger.com/analytics/company/sz/300844/300844/detail</t>
  </si>
  <si>
    <t>安井食品</t>
  </si>
  <si>
    <t>www.lixinger.com/analytics/company/sh/603345/603345/detail</t>
  </si>
  <si>
    <t>巨轮智能</t>
  </si>
  <si>
    <t>www.lixinger.com/analytics/company/sz/002031/2031/detail</t>
  </si>
  <si>
    <t>神力股份</t>
  </si>
  <si>
    <t>www.lixinger.com/analytics/company/sh/603819/603819/detail</t>
  </si>
  <si>
    <t>上海天洋</t>
  </si>
  <si>
    <t>www.lixinger.com/analytics/company/sh/603330/603330/detail</t>
  </si>
  <si>
    <t>三维化学</t>
  </si>
  <si>
    <t>www.lixinger.com/analytics/company/sz/002469/2469/detail</t>
  </si>
  <si>
    <t>中成股份</t>
  </si>
  <si>
    <t>www.lixinger.com/analytics/company/sz/000151/151/detail</t>
  </si>
  <si>
    <t>华发股份</t>
  </si>
  <si>
    <t>www.lixinger.com/analytics/company/sh/600325/600325/detail</t>
  </si>
  <si>
    <t>步步高</t>
  </si>
  <si>
    <t>www.lixinger.com/analytics/company/sz/002251/2251/detail</t>
  </si>
  <si>
    <t>江化微</t>
  </si>
  <si>
    <t>www.lixinger.com/analytics/company/sh/603078/603078/detail</t>
  </si>
  <si>
    <t>特发服务</t>
  </si>
  <si>
    <t>www.lixinger.com/analytics/company/sz/300917/300917/detail</t>
  </si>
  <si>
    <t>正裕工业</t>
  </si>
  <si>
    <t>www.lixinger.com/analytics/company/sh/603089/603089/detail</t>
  </si>
  <si>
    <t>日发精机</t>
  </si>
  <si>
    <t>www.lixinger.com/analytics/company/sz/002520/2520/detail</t>
  </si>
  <si>
    <t>郑中设计</t>
  </si>
  <si>
    <t>www.lixinger.com/analytics/company/sz/002811/2811/detail</t>
  </si>
  <si>
    <t>华安鑫创</t>
  </si>
  <si>
    <t>www.lixinger.com/analytics/company/sz/300928/300928/detail</t>
  </si>
  <si>
    <t>宝明科技</t>
  </si>
  <si>
    <t>www.lixinger.com/analytics/company/sz/002992/2992/detail</t>
  </si>
  <si>
    <t>佩蒂股份</t>
  </si>
  <si>
    <t>www.lixinger.com/analytics/company/sz/300673/300673/detail</t>
  </si>
  <si>
    <t>迪森股份</t>
  </si>
  <si>
    <t>www.lixinger.com/analytics/company/sz/300335/300335/detail</t>
  </si>
  <si>
    <t>国华网安</t>
  </si>
  <si>
    <t>www.lixinger.com/analytics/company/sz/000004/4/detail</t>
  </si>
  <si>
    <t>隆盛科技</t>
  </si>
  <si>
    <t>www.lixinger.com/analytics/company/sz/300680/300680/detail</t>
  </si>
  <si>
    <t>丽臣实业</t>
  </si>
  <si>
    <t>www.lixinger.com/analytics/company/sz/001218/1218/detail</t>
  </si>
  <si>
    <t>海南矿业</t>
  </si>
  <si>
    <t>www.lixinger.com/analytics/company/sh/601969/601969/detail</t>
  </si>
  <si>
    <t>合兴股份</t>
  </si>
  <si>
    <t>www.lixinger.com/analytics/company/sh/605005/605005/detail</t>
  </si>
  <si>
    <t>*ST华英</t>
  </si>
  <si>
    <t>www.lixinger.com/analytics/company/sz/002321/2321/detail</t>
  </si>
  <si>
    <t>中科通达</t>
  </si>
  <si>
    <t>www.lixinger.com/analytics/company/sh/688038/688038/detail</t>
  </si>
  <si>
    <t>圣龙股份</t>
  </si>
  <si>
    <t>www.lixinger.com/analytics/company/sh/603178/603178/detail</t>
  </si>
  <si>
    <t>普莱柯</t>
  </si>
  <si>
    <t>www.lixinger.com/analytics/company/sh/603566/603566/detail</t>
  </si>
  <si>
    <t>雅运股份</t>
  </si>
  <si>
    <t>www.lixinger.com/analytics/company/sh/603790/603790/detail</t>
  </si>
  <si>
    <t>真视通</t>
  </si>
  <si>
    <t>www.lixinger.com/analytics/company/sz/002771/2771/detail</t>
  </si>
  <si>
    <t>新洋丰</t>
  </si>
  <si>
    <t>www.lixinger.com/analytics/company/sz/000902/902/detail</t>
  </si>
  <si>
    <t>长阳科技</t>
  </si>
  <si>
    <t>www.lixinger.com/analytics/company/sh/688299/688299/detail</t>
  </si>
  <si>
    <t>国联股份</t>
  </si>
  <si>
    <t>www.lixinger.com/analytics/company/sh/603613/603613/detail</t>
  </si>
  <si>
    <t>当虹科技</t>
  </si>
  <si>
    <t>www.lixinger.com/analytics/company/sh/688039/688039/detail</t>
  </si>
  <si>
    <t>迦南科技</t>
  </si>
  <si>
    <t>www.lixinger.com/analytics/company/sz/300412/300412/detail</t>
  </si>
  <si>
    <t>浩云科技</t>
  </si>
  <si>
    <t>www.lixinger.com/analytics/company/sz/300448/300448/detail</t>
  </si>
  <si>
    <t>宏华数科</t>
  </si>
  <si>
    <t>www.lixinger.com/analytics/company/sh/688789/688789/detail</t>
  </si>
  <si>
    <t>安诺其</t>
  </si>
  <si>
    <t>www.lixinger.com/analytics/company/sz/300067/300067/detail</t>
  </si>
  <si>
    <t>广晟有色</t>
  </si>
  <si>
    <t>www.lixinger.com/analytics/company/sh/600259/600259/detail</t>
  </si>
  <si>
    <t>乔治白</t>
  </si>
  <si>
    <t>www.lixinger.com/analytics/company/sz/002687/2687/detail</t>
  </si>
  <si>
    <t>华映科技</t>
  </si>
  <si>
    <t>www.lixinger.com/analytics/company/sz/000536/536/detail</t>
  </si>
  <si>
    <t>越博动力</t>
  </si>
  <si>
    <t>www.lixinger.com/analytics/company/sz/300742/300742/detail</t>
  </si>
  <si>
    <t>金奥博</t>
  </si>
  <si>
    <t>www.lixinger.com/analytics/company/sz/002917/2917/detail</t>
  </si>
  <si>
    <t>华安证券</t>
  </si>
  <si>
    <t>www.lixinger.com/analytics/company/sh/600909/600909/detail</t>
  </si>
  <si>
    <t>联泰环保</t>
  </si>
  <si>
    <t>www.lixinger.com/analytics/company/sh/603797/603797/detail</t>
  </si>
  <si>
    <t>博俊科技</t>
  </si>
  <si>
    <t>www.lixinger.com/analytics/company/sz/300926/300926/detail</t>
  </si>
  <si>
    <t>双鹭药业</t>
  </si>
  <si>
    <t>www.lixinger.com/analytics/company/sz/002038/2038/detail</t>
  </si>
  <si>
    <t>金河生物</t>
  </si>
  <si>
    <t>www.lixinger.com/analytics/company/sz/002688/2688/detail</t>
  </si>
  <si>
    <t>水羊股份</t>
  </si>
  <si>
    <t>www.lixinger.com/analytics/company/sz/300740/300740/detail</t>
  </si>
  <si>
    <t>德业股份</t>
  </si>
  <si>
    <t>www.lixinger.com/analytics/company/sh/605117/605117/detail</t>
  </si>
  <si>
    <t>有研粉材</t>
  </si>
  <si>
    <t>www.lixinger.com/analytics/company/sh/688456/688456/detail</t>
  </si>
  <si>
    <t>航天工程</t>
  </si>
  <si>
    <t>www.lixinger.com/analytics/company/sh/603698/603698/detail</t>
  </si>
  <si>
    <t>斯莱克</t>
  </si>
  <si>
    <t>www.lixinger.com/analytics/company/sz/300382/300382/detail</t>
  </si>
  <si>
    <t>梦洁股份</t>
  </si>
  <si>
    <t>www.lixinger.com/analytics/company/sz/002397/2397/detail</t>
  </si>
  <si>
    <t>尖峰集团</t>
  </si>
  <si>
    <t>www.lixinger.com/analytics/company/sh/600668/600668/detail</t>
  </si>
  <si>
    <t>先达股份</t>
  </si>
  <si>
    <t>www.lixinger.com/analytics/company/sh/603086/603086/detail</t>
  </si>
  <si>
    <t>华媒控股</t>
  </si>
  <si>
    <t>www.lixinger.com/analytics/company/sz/000607/607/detail</t>
  </si>
  <si>
    <t>广安爱众</t>
  </si>
  <si>
    <t>www.lixinger.com/analytics/company/sh/600979/600979/detail</t>
  </si>
  <si>
    <t>安居宝</t>
  </si>
  <si>
    <t>www.lixinger.com/analytics/company/sz/300155/300155/detail</t>
  </si>
  <si>
    <t>上海新阳</t>
  </si>
  <si>
    <t>www.lixinger.com/analytics/company/sz/300236/300236/detail</t>
  </si>
  <si>
    <t>爱建集团</t>
  </si>
  <si>
    <t>www.lixinger.com/analytics/company/sh/600643/600643/detail</t>
  </si>
  <si>
    <t>明牌珠宝</t>
  </si>
  <si>
    <t>www.lixinger.com/analytics/company/sz/002574/2574/detail</t>
  </si>
  <si>
    <t>泰和科技</t>
  </si>
  <si>
    <t>www.lixinger.com/analytics/company/sz/300801/300801/detail</t>
  </si>
  <si>
    <t>翔丰华</t>
  </si>
  <si>
    <t>www.lixinger.com/analytics/company/sz/300890/300890/detail</t>
  </si>
  <si>
    <t>恒润股份</t>
  </si>
  <si>
    <t>www.lixinger.com/analytics/company/sh/603985/603985/detail</t>
  </si>
  <si>
    <t>掌阅科技</t>
  </si>
  <si>
    <t>文字媒体</t>
  </si>
  <si>
    <t>www.lixinger.com/analytics/company/sh/603533/603533/detail</t>
  </si>
  <si>
    <t>亚威股份</t>
  </si>
  <si>
    <t>www.lixinger.com/analytics/company/sz/002559/2559/detail</t>
  </si>
  <si>
    <t>南极光</t>
  </si>
  <si>
    <t>www.lixinger.com/analytics/company/sz/300940/300940/detail</t>
  </si>
  <si>
    <t>华光新材</t>
  </si>
  <si>
    <t>www.lixinger.com/analytics/company/sh/688379/688379/detail</t>
  </si>
  <si>
    <t>罗普斯金</t>
  </si>
  <si>
    <t>www.lixinger.com/analytics/company/sz/002333/2333/detail</t>
  </si>
  <si>
    <t>美克家居</t>
  </si>
  <si>
    <t>www.lixinger.com/analytics/company/sh/600337/600337/detail</t>
  </si>
  <si>
    <t>福达股份</t>
  </si>
  <si>
    <t>www.lixinger.com/analytics/company/sh/603166/603166/detail</t>
  </si>
  <si>
    <t>正源股份</t>
  </si>
  <si>
    <t>www.lixinger.com/analytics/company/sh/600321/600321/detail</t>
  </si>
  <si>
    <t>飞科电器</t>
  </si>
  <si>
    <t>个护小家电</t>
  </si>
  <si>
    <t>www.lixinger.com/analytics/company/sh/603868/603868/detail</t>
  </si>
  <si>
    <t>龙头股份</t>
  </si>
  <si>
    <t>www.lixinger.com/analytics/company/sh/600630/600630/detail</t>
  </si>
  <si>
    <t>甬金股份</t>
  </si>
  <si>
    <t>www.lixinger.com/analytics/company/sh/603995/603995/detail</t>
  </si>
  <si>
    <t>杰普特</t>
  </si>
  <si>
    <t>www.lixinger.com/analytics/company/sh/688025/688025/detail</t>
  </si>
  <si>
    <t>江中药业</t>
  </si>
  <si>
    <t>www.lixinger.com/analytics/company/sh/600750/600750/detail</t>
  </si>
  <si>
    <t>瑞德智能</t>
  </si>
  <si>
    <t>www.lixinger.com/analytics/company/sz/301135/301135/detail</t>
  </si>
  <si>
    <t>华茂股份</t>
  </si>
  <si>
    <t>www.lixinger.com/analytics/company/sz/000850/850/detail</t>
  </si>
  <si>
    <t>美诺华</t>
  </si>
  <si>
    <t>www.lixinger.com/analytics/company/sh/603538/603538/detail</t>
  </si>
  <si>
    <t>锦州港</t>
  </si>
  <si>
    <t>www.lixinger.com/analytics/company/sh/600190/600190/detail</t>
  </si>
  <si>
    <t>丰山集团</t>
  </si>
  <si>
    <t>www.lixinger.com/analytics/company/sh/603810/603810/detail</t>
  </si>
  <si>
    <t>汇创达</t>
  </si>
  <si>
    <t>www.lixinger.com/analytics/company/sz/300909/300909/detail</t>
  </si>
  <si>
    <t>重庆水务</t>
  </si>
  <si>
    <t>www.lixinger.com/analytics/company/sh/601158/601158/detail</t>
  </si>
  <si>
    <t>华特气体</t>
  </si>
  <si>
    <t>www.lixinger.com/analytics/company/sh/688268/688268/detail</t>
  </si>
  <si>
    <t>格尔软件</t>
  </si>
  <si>
    <t>www.lixinger.com/analytics/company/sh/603232/603232/detail</t>
  </si>
  <si>
    <t>佳士科技</t>
  </si>
  <si>
    <t>www.lixinger.com/analytics/company/sz/300193/300193/detail</t>
  </si>
  <si>
    <t>欢瑞世纪</t>
  </si>
  <si>
    <t>www.lixinger.com/analytics/company/sz/000892/892/detail</t>
  </si>
  <si>
    <t>皇马科技</t>
  </si>
  <si>
    <t>www.lixinger.com/analytics/company/sh/603181/603181/detail</t>
  </si>
  <si>
    <t>飞鹿股份</t>
  </si>
  <si>
    <t>www.lixinger.com/analytics/company/sz/300665/300665/detail</t>
  </si>
  <si>
    <t>通源石油</t>
  </si>
  <si>
    <t>www.lixinger.com/analytics/company/sz/300164/300164/detail</t>
  </si>
  <si>
    <t>盛天网络</t>
  </si>
  <si>
    <t>www.lixinger.com/analytics/company/sz/300494/300494/detail</t>
  </si>
  <si>
    <t>融捷股份</t>
  </si>
  <si>
    <t>www.lixinger.com/analytics/company/sz/002192/2192/detail</t>
  </si>
  <si>
    <t>吉比特</t>
  </si>
  <si>
    <t>www.lixinger.com/analytics/company/sh/603444/603444/detail</t>
  </si>
  <si>
    <t>瑞芯微</t>
  </si>
  <si>
    <t>www.lixinger.com/analytics/company/sh/603893/603893/detail</t>
  </si>
  <si>
    <t>正威新材</t>
  </si>
  <si>
    <t>www.lixinger.com/analytics/company/sz/002201/2201/detail</t>
  </si>
  <si>
    <t>欧林生物</t>
  </si>
  <si>
    <t>www.lixinger.com/analytics/company/sh/688319/688319/detail</t>
  </si>
  <si>
    <t>凯恩股份</t>
  </si>
  <si>
    <t>www.lixinger.com/analytics/company/sz/002012/2012/detail</t>
  </si>
  <si>
    <t>亚信安全</t>
  </si>
  <si>
    <t>www.lixinger.com/analytics/company/sh/688225/688225/detail</t>
  </si>
  <si>
    <t>奥飞数据</t>
  </si>
  <si>
    <t>www.lixinger.com/analytics/company/sz/300738/300738/detail</t>
  </si>
  <si>
    <t>光威复材</t>
  </si>
  <si>
    <t>www.lixinger.com/analytics/company/sz/300699/300699/detail</t>
  </si>
  <si>
    <t>万里马</t>
  </si>
  <si>
    <t>www.lixinger.com/analytics/company/sz/300591/300591/detail</t>
  </si>
  <si>
    <t>航民股份</t>
  </si>
  <si>
    <t>www.lixinger.com/analytics/company/sh/600987/600987/detail</t>
  </si>
  <si>
    <t>华闻集团</t>
  </si>
  <si>
    <t>www.lixinger.com/analytics/company/sz/000793/793/detail</t>
  </si>
  <si>
    <t>南网科技</t>
  </si>
  <si>
    <t>www.lixinger.com/analytics/company/sh/688248/688248/detail</t>
  </si>
  <si>
    <t>建科院</t>
  </si>
  <si>
    <t>www.lixinger.com/analytics/company/sz/300675/300675/detail</t>
  </si>
  <si>
    <t>昊志机电</t>
  </si>
  <si>
    <t>www.lixinger.com/analytics/company/sz/300503/300503/detail</t>
  </si>
  <si>
    <t>北巴传媒</t>
  </si>
  <si>
    <t>www.lixinger.com/analytics/company/sh/600386/600386/detail</t>
  </si>
  <si>
    <t>力星股份</t>
  </si>
  <si>
    <t>www.lixinger.com/analytics/company/sz/300421/300421/detail</t>
  </si>
  <si>
    <t>*ST沈机</t>
  </si>
  <si>
    <t>www.lixinger.com/analytics/company/sz/000410/410/detail</t>
  </si>
  <si>
    <t>英飞特</t>
  </si>
  <si>
    <t>www.lixinger.com/analytics/company/sz/300582/300582/detail</t>
  </si>
  <si>
    <t>久吾高科</t>
  </si>
  <si>
    <t>www.lixinger.com/analytics/company/sz/300631/300631/detail</t>
  </si>
  <si>
    <t>中威电子</t>
  </si>
  <si>
    <t>www.lixinger.com/analytics/company/sz/300270/300270/detail</t>
  </si>
  <si>
    <t>锦富技术</t>
  </si>
  <si>
    <t>www.lixinger.com/analytics/company/sz/300128/300128/detail</t>
  </si>
  <si>
    <t>线上线下</t>
  </si>
  <si>
    <t>www.lixinger.com/analytics/company/sz/300959/300959/detail</t>
  </si>
  <si>
    <t>熙菱信息</t>
  </si>
  <si>
    <t>www.lixinger.com/analytics/company/sz/300588/300588/detail</t>
  </si>
  <si>
    <t>力源科技</t>
  </si>
  <si>
    <t>www.lixinger.com/analytics/company/sh/688565/688565/detail</t>
  </si>
  <si>
    <t>环球印务</t>
  </si>
  <si>
    <t>www.lixinger.com/analytics/company/sz/002799/2799/detail</t>
  </si>
  <si>
    <t>燕京啤酒</t>
  </si>
  <si>
    <t>啤酒</t>
  </si>
  <si>
    <t>www.lixinger.com/analytics/company/sz/000729/729/detail</t>
  </si>
  <si>
    <t>百达精工</t>
  </si>
  <si>
    <t>www.lixinger.com/analytics/company/sh/603331/603331/detail</t>
  </si>
  <si>
    <t>信息发展</t>
  </si>
  <si>
    <t>www.lixinger.com/analytics/company/sz/300469/300469/detail</t>
  </si>
  <si>
    <t>*ST香梨</t>
  </si>
  <si>
    <t>www.lixinger.com/analytics/company/sh/600506/600506/detail</t>
  </si>
  <si>
    <t>中国国贸</t>
  </si>
  <si>
    <t>www.lixinger.com/analytics/company/sh/600007/600007/detail</t>
  </si>
  <si>
    <t>湖南海利</t>
  </si>
  <si>
    <t>www.lixinger.com/analytics/company/sh/600731/600731/detail</t>
  </si>
  <si>
    <t>新诺威</t>
  </si>
  <si>
    <t>www.lixinger.com/analytics/company/sz/300765/300765/detail</t>
  </si>
  <si>
    <t>兆丰股份</t>
  </si>
  <si>
    <t>www.lixinger.com/analytics/company/sz/300695/300695/detail</t>
  </si>
  <si>
    <t>中石科技</t>
  </si>
  <si>
    <t>www.lixinger.com/analytics/company/sz/300684/300684/detail</t>
  </si>
  <si>
    <t>本钢板Ｂ</t>
  </si>
  <si>
    <t>www.lixinger.com/analytics/company/sz/200761/200761/detail</t>
  </si>
  <si>
    <t>潍柴重机</t>
  </si>
  <si>
    <t>www.lixinger.com/analytics/company/sz/000880/880/detail</t>
  </si>
  <si>
    <t>晨丰科技</t>
  </si>
  <si>
    <t>www.lixinger.com/analytics/company/sh/603685/603685/detail</t>
  </si>
  <si>
    <t>沃特股份</t>
  </si>
  <si>
    <t>www.lixinger.com/analytics/company/sz/002886/2886/detail</t>
  </si>
  <si>
    <t>数源科技</t>
  </si>
  <si>
    <t>www.lixinger.com/analytics/company/sz/000909/909/detail</t>
  </si>
  <si>
    <t>新锐股份</t>
  </si>
  <si>
    <t>www.lixinger.com/analytics/company/sh/688257/688257/detail</t>
  </si>
  <si>
    <t>劲拓股份</t>
  </si>
  <si>
    <t>www.lixinger.com/analytics/company/sz/300400/300400/detail</t>
  </si>
  <si>
    <t>智能自控</t>
  </si>
  <si>
    <t>www.lixinger.com/analytics/company/sz/002877/2877/detail</t>
  </si>
  <si>
    <t>深赛格</t>
  </si>
  <si>
    <t>www.lixinger.com/analytics/company/sz/000058/58/detail</t>
  </si>
  <si>
    <t>保龄宝</t>
  </si>
  <si>
    <t>www.lixinger.com/analytics/company/sz/002286/2286/detail</t>
  </si>
  <si>
    <t>福莱新材</t>
  </si>
  <si>
    <t>www.lixinger.com/analytics/company/sh/605488/605488/detail</t>
  </si>
  <si>
    <t>恒宇信通</t>
  </si>
  <si>
    <t>www.lixinger.com/analytics/company/sz/300965/300965/detail</t>
  </si>
  <si>
    <t>华体科技</t>
  </si>
  <si>
    <t>www.lixinger.com/analytics/company/sh/603679/603679/detail</t>
  </si>
  <si>
    <t>德展健康</t>
  </si>
  <si>
    <t>www.lixinger.com/analytics/company/sz/000813/813/detail</t>
  </si>
  <si>
    <t>崧盛股份</t>
  </si>
  <si>
    <t>www.lixinger.com/analytics/company/sz/301002/301002/detail</t>
  </si>
  <si>
    <t>赣能股份</t>
  </si>
  <si>
    <t>www.lixinger.com/analytics/company/sz/000899/899/detail</t>
  </si>
  <si>
    <t>福安药业</t>
  </si>
  <si>
    <t>www.lixinger.com/analytics/company/sz/300194/300194/detail</t>
  </si>
  <si>
    <t>嘉戎技术</t>
  </si>
  <si>
    <t>www.lixinger.com/analytics/company/sz/301148/301148/detail</t>
  </si>
  <si>
    <t>智洋创新</t>
  </si>
  <si>
    <t>www.lixinger.com/analytics/company/sh/688191/688191/detail</t>
  </si>
  <si>
    <t>百傲化学</t>
  </si>
  <si>
    <t>www.lixinger.com/analytics/company/sh/603360/603360/detail</t>
  </si>
  <si>
    <t>富满微</t>
  </si>
  <si>
    <t>www.lixinger.com/analytics/company/sz/300671/300671/detail</t>
  </si>
  <si>
    <t>长江健康</t>
  </si>
  <si>
    <t>www.lixinger.com/analytics/company/sz/002435/2435/detail</t>
  </si>
  <si>
    <t>福瑞股份</t>
  </si>
  <si>
    <t>www.lixinger.com/analytics/company/sz/300049/300049/detail</t>
  </si>
  <si>
    <t>澳弘电子</t>
  </si>
  <si>
    <t>www.lixinger.com/analytics/company/sh/605058/605058/detail</t>
  </si>
  <si>
    <t>晨曦航空</t>
  </si>
  <si>
    <t>www.lixinger.com/analytics/company/sz/300581/300581/detail</t>
  </si>
  <si>
    <t>宁波富达</t>
  </si>
  <si>
    <t>www.lixinger.com/analytics/company/sh/600724/600724/detail</t>
  </si>
  <si>
    <t>金溢科技</t>
  </si>
  <si>
    <t>www.lixinger.com/analytics/company/sz/002869/2869/detail</t>
  </si>
  <si>
    <t>迪威迅</t>
  </si>
  <si>
    <t>www.lixinger.com/analytics/company/sz/300167/300167/detail</t>
  </si>
  <si>
    <t>鹿山新材</t>
  </si>
  <si>
    <t>www.lixinger.com/analytics/company/sh/603051/603051/detail</t>
  </si>
  <si>
    <t>株冶集团</t>
  </si>
  <si>
    <t>www.lixinger.com/analytics/company/sh/600961/600961/detail</t>
  </si>
  <si>
    <t>天顺股份</t>
  </si>
  <si>
    <t>www.lixinger.com/analytics/company/sz/002800/2800/detail</t>
  </si>
  <si>
    <t>品高股份</t>
  </si>
  <si>
    <t>www.lixinger.com/analytics/company/sh/688227/688227/detail</t>
  </si>
  <si>
    <t>奥雅设计</t>
  </si>
  <si>
    <t>www.lixinger.com/analytics/company/sz/300949/300949/detail</t>
  </si>
  <si>
    <t>国中水务</t>
  </si>
  <si>
    <t>www.lixinger.com/analytics/company/sh/600187/600187/detail</t>
  </si>
  <si>
    <t>豪尔赛</t>
  </si>
  <si>
    <t>www.lixinger.com/analytics/company/sz/002963/2963/detail</t>
  </si>
  <si>
    <t>壹网壹创</t>
  </si>
  <si>
    <t>www.lixinger.com/analytics/company/sz/300792/300792/detail</t>
  </si>
  <si>
    <t>奥飞娱乐</t>
  </si>
  <si>
    <t>www.lixinger.com/analytics/company/sz/002292/2292/detail</t>
  </si>
  <si>
    <t>长江材料</t>
  </si>
  <si>
    <t>www.lixinger.com/analytics/company/sz/001296/1296/detail</t>
  </si>
  <si>
    <t>法尔胜</t>
  </si>
  <si>
    <t>www.lixinger.com/analytics/company/sz/000890/890/detail</t>
  </si>
  <si>
    <t>皮阿诺</t>
  </si>
  <si>
    <t>www.lixinger.com/analytics/company/sz/002853/2853/detail</t>
  </si>
  <si>
    <t>思特奇</t>
  </si>
  <si>
    <t>www.lixinger.com/analytics/company/sz/300608/300608/detail</t>
  </si>
  <si>
    <t>中原高速</t>
  </si>
  <si>
    <t>www.lixinger.com/analytics/company/sh/600020/600020/detail</t>
  </si>
  <si>
    <t>*ST浪奇</t>
  </si>
  <si>
    <t>洗护用品</t>
  </si>
  <si>
    <t>www.lixinger.com/analytics/company/sz/000523/523/detail</t>
  </si>
  <si>
    <t>容大感光</t>
  </si>
  <si>
    <t>www.lixinger.com/analytics/company/sz/300576/300576/detail</t>
  </si>
  <si>
    <t>益佰制药</t>
  </si>
  <si>
    <t>www.lixinger.com/analytics/company/sh/600594/600594/detail</t>
  </si>
  <si>
    <t>铂力特</t>
  </si>
  <si>
    <t>www.lixinger.com/analytics/company/sh/688333/688333/detail</t>
  </si>
  <si>
    <t>阿尔特</t>
  </si>
  <si>
    <t>www.lixinger.com/analytics/company/sz/300825/300825/detail</t>
  </si>
  <si>
    <t>盛德鑫泰</t>
  </si>
  <si>
    <t>www.lixinger.com/analytics/company/sz/300881/300881/detail</t>
  </si>
  <si>
    <t>杰创智能</t>
  </si>
  <si>
    <t>www.lixinger.com/analytics/company/sz/301248/301248/detail</t>
  </si>
  <si>
    <t>中科信息</t>
  </si>
  <si>
    <t>www.lixinger.com/analytics/company/sz/300678/300678/detail</t>
  </si>
  <si>
    <t>贝达药业</t>
  </si>
  <si>
    <t>www.lixinger.com/analytics/company/sz/300558/300558/detail</t>
  </si>
  <si>
    <t>深圳瑞捷</t>
  </si>
  <si>
    <t>www.lixinger.com/analytics/company/sz/300977/300977/detail</t>
  </si>
  <si>
    <t>道明光学</t>
  </si>
  <si>
    <t>www.lixinger.com/analytics/company/sz/002632/2632/detail</t>
  </si>
  <si>
    <t>新华网</t>
  </si>
  <si>
    <t>www.lixinger.com/analytics/company/sh/603888/603888/detail</t>
  </si>
  <si>
    <t>富祥药业</t>
  </si>
  <si>
    <t>www.lixinger.com/analytics/company/sz/300497/300497/detail</t>
  </si>
  <si>
    <t>闽发铝业</t>
  </si>
  <si>
    <t>www.lixinger.com/analytics/company/sz/002578/2578/detail</t>
  </si>
  <si>
    <t>科兴制药</t>
  </si>
  <si>
    <t>www.lixinger.com/analytics/company/sh/688136/688136/detail</t>
  </si>
  <si>
    <t>泰瑞机器</t>
  </si>
  <si>
    <t>www.lixinger.com/analytics/company/sh/603289/603289/detail</t>
  </si>
  <si>
    <t>恒泰艾普</t>
  </si>
  <si>
    <t>www.lixinger.com/analytics/company/sz/300157/300157/detail</t>
  </si>
  <si>
    <t>太龙股份</t>
  </si>
  <si>
    <t>www.lixinger.com/analytics/company/sz/300650/300650/detail</t>
  </si>
  <si>
    <t>正邦科技</t>
  </si>
  <si>
    <t>www.lixinger.com/analytics/company/sz/002157/2157/detail</t>
  </si>
  <si>
    <t>雄塑科技</t>
  </si>
  <si>
    <t>www.lixinger.com/analytics/company/sz/300599/300599/detail</t>
  </si>
  <si>
    <t>天瑞仪器</t>
  </si>
  <si>
    <t>www.lixinger.com/analytics/company/sz/300165/300165/detail</t>
  </si>
  <si>
    <t>海象新材</t>
  </si>
  <si>
    <t>www.lixinger.com/analytics/company/sz/003011/3011/detail</t>
  </si>
  <si>
    <t>温州宏丰</t>
  </si>
  <si>
    <t>www.lixinger.com/analytics/company/sz/300283/300283/detail</t>
  </si>
  <si>
    <t>科力远</t>
  </si>
  <si>
    <t>www.lixinger.com/analytics/company/sh/600478/600478/detail</t>
  </si>
  <si>
    <t>凌钢股份</t>
  </si>
  <si>
    <t>长材</t>
  </si>
  <si>
    <t>www.lixinger.com/analytics/company/sh/600231/600231/detail</t>
  </si>
  <si>
    <t>首都在线</t>
  </si>
  <si>
    <t>www.lixinger.com/analytics/company/sz/300846/300846/detail</t>
  </si>
  <si>
    <t>双一科技</t>
  </si>
  <si>
    <t>www.lixinger.com/analytics/company/sz/300690/300690/detail</t>
  </si>
  <si>
    <t>瑞联新材</t>
  </si>
  <si>
    <t>www.lixinger.com/analytics/company/sh/688550/688550/detail</t>
  </si>
  <si>
    <t>捷昌驱动</t>
  </si>
  <si>
    <t>www.lixinger.com/analytics/company/sh/603583/603583/detail</t>
  </si>
  <si>
    <t>禾盛新材</t>
  </si>
  <si>
    <t>www.lixinger.com/analytics/company/sz/002290/2290/detail</t>
  </si>
  <si>
    <t>周大生</t>
  </si>
  <si>
    <t>www.lixinger.com/analytics/company/sz/002867/2867/detail</t>
  </si>
  <si>
    <t>优宁维</t>
  </si>
  <si>
    <t>www.lixinger.com/analytics/company/sz/301166/301166/detail</t>
  </si>
  <si>
    <t>禾川科技</t>
  </si>
  <si>
    <t>www.lixinger.com/analytics/company/sh/688320/688320/detail</t>
  </si>
  <si>
    <t>二三四五</t>
  </si>
  <si>
    <t>www.lixinger.com/analytics/company/sz/002195/2195/detail</t>
  </si>
  <si>
    <t>永和股份</t>
  </si>
  <si>
    <t>www.lixinger.com/analytics/company/sh/605020/605020/detail</t>
  </si>
  <si>
    <t>固德威</t>
  </si>
  <si>
    <t>www.lixinger.com/analytics/company/sh/688390/688390/detail</t>
  </si>
  <si>
    <t>昊华能源</t>
  </si>
  <si>
    <t>www.lixinger.com/analytics/company/sh/601101/601101/detail</t>
  </si>
  <si>
    <t>德石股份</t>
  </si>
  <si>
    <t>www.lixinger.com/analytics/company/sz/301158/301158/detail</t>
  </si>
  <si>
    <t>美力科技</t>
  </si>
  <si>
    <t>www.lixinger.com/analytics/company/sz/300611/300611/detail</t>
  </si>
  <si>
    <t>杭州热电</t>
  </si>
  <si>
    <t>www.lixinger.com/analytics/company/sh/605011/605011/detail</t>
  </si>
  <si>
    <t>浙江东方</t>
  </si>
  <si>
    <t>www.lixinger.com/analytics/company/sh/600120/600120/detail</t>
  </si>
  <si>
    <t>福立旺</t>
  </si>
  <si>
    <t>www.lixinger.com/analytics/company/sh/688678/688678/detail</t>
  </si>
  <si>
    <t>铂科新材</t>
  </si>
  <si>
    <t>www.lixinger.com/analytics/company/sz/300811/300811/detail</t>
  </si>
  <si>
    <t>大烨智能</t>
  </si>
  <si>
    <t>www.lixinger.com/analytics/company/sz/300670/300670/detail</t>
  </si>
  <si>
    <t>上峰水泥</t>
  </si>
  <si>
    <t>www.lixinger.com/analytics/company/sz/000672/672/detail</t>
  </si>
  <si>
    <t>精锻科技</t>
  </si>
  <si>
    <t>www.lixinger.com/analytics/company/sz/300258/300258/detail</t>
  </si>
  <si>
    <t>云维股份</t>
  </si>
  <si>
    <t>www.lixinger.com/analytics/company/sh/600725/600725/detail</t>
  </si>
  <si>
    <t>数码视讯</t>
  </si>
  <si>
    <t>www.lixinger.com/analytics/company/sz/300079/300079/detail</t>
  </si>
  <si>
    <t>金晶科技</t>
  </si>
  <si>
    <t>www.lixinger.com/analytics/company/sh/600586/600586/detail</t>
  </si>
  <si>
    <t>新化股份</t>
  </si>
  <si>
    <t>www.lixinger.com/analytics/company/sh/603867/603867/detail</t>
  </si>
  <si>
    <t>聚赛龙</t>
  </si>
  <si>
    <t>www.lixinger.com/analytics/company/sz/301131/301131/detail</t>
  </si>
  <si>
    <t>久量股份</t>
  </si>
  <si>
    <t>www.lixinger.com/analytics/company/sz/300808/300808/detail</t>
  </si>
  <si>
    <t>中际联合</t>
  </si>
  <si>
    <t>www.lixinger.com/analytics/company/sh/605305/605305/detail</t>
  </si>
  <si>
    <t>中红医疗</t>
  </si>
  <si>
    <t>www.lixinger.com/analytics/company/sz/300981/300981/detail</t>
  </si>
  <si>
    <t>顺灏股份</t>
  </si>
  <si>
    <t>www.lixinger.com/analytics/company/sz/002565/2565/detail</t>
  </si>
  <si>
    <t>唯捷创芯</t>
  </si>
  <si>
    <t>www.lixinger.com/analytics/company/sh/688153/688153/detail</t>
  </si>
  <si>
    <t>凯迪股份</t>
  </si>
  <si>
    <t>www.lixinger.com/analytics/company/sh/605288/605288/detail</t>
  </si>
  <si>
    <t>中兰环保</t>
  </si>
  <si>
    <t>www.lixinger.com/analytics/company/sz/300854/300854/detail</t>
  </si>
  <si>
    <t>伟时电子</t>
  </si>
  <si>
    <t>www.lixinger.com/analytics/company/sh/605218/605218/detail</t>
  </si>
  <si>
    <t>晶瑞电材</t>
  </si>
  <si>
    <t>www.lixinger.com/analytics/company/sz/300655/300655/detail</t>
  </si>
  <si>
    <t>中农联合</t>
  </si>
  <si>
    <t>www.lixinger.com/analytics/company/sz/003042/3042/detail</t>
  </si>
  <si>
    <t>佛塑科技</t>
  </si>
  <si>
    <t>www.lixinger.com/analytics/company/sz/000973/973/detail</t>
  </si>
  <si>
    <t>恒为科技</t>
  </si>
  <si>
    <t>www.lixinger.com/analytics/company/sh/603496/603496/detail</t>
  </si>
  <si>
    <t>金刚玻璃</t>
  </si>
  <si>
    <t>www.lixinger.com/analytics/company/sz/300093/300093/detail</t>
  </si>
  <si>
    <t>鹏翎股份</t>
  </si>
  <si>
    <t>www.lixinger.com/analytics/company/sz/300375/300375/detail</t>
  </si>
  <si>
    <t>和顺电气</t>
  </si>
  <si>
    <t>www.lixinger.com/analytics/company/sz/300141/300141/detail</t>
  </si>
  <si>
    <t>芯碁微装</t>
  </si>
  <si>
    <t>www.lixinger.com/analytics/company/sh/688630/688630/detail</t>
  </si>
  <si>
    <t>三羊马</t>
  </si>
  <si>
    <t>www.lixinger.com/analytics/company/sz/001317/1317/detail</t>
  </si>
  <si>
    <t>凯撒旅业</t>
  </si>
  <si>
    <t>旅游综合</t>
  </si>
  <si>
    <t>www.lixinger.com/analytics/company/sz/000796/796/detail</t>
  </si>
  <si>
    <t>比依股份</t>
  </si>
  <si>
    <t>www.lixinger.com/analytics/company/sh/603215/603215/detail</t>
  </si>
  <si>
    <t>豆神教育</t>
  </si>
  <si>
    <t>www.lixinger.com/analytics/company/sz/300010/300010/detail</t>
  </si>
  <si>
    <t>锐明技术</t>
  </si>
  <si>
    <t>www.lixinger.com/analytics/company/sz/002970/2970/detail</t>
  </si>
  <si>
    <t>上海贝岭</t>
  </si>
  <si>
    <t>www.lixinger.com/analytics/company/sh/600171/600171/detail</t>
  </si>
  <si>
    <t>庞大集团</t>
  </si>
  <si>
    <t>www.lixinger.com/analytics/company/sh/601258/601258/detail</t>
  </si>
  <si>
    <t>科力尔</t>
  </si>
  <si>
    <t>www.lixinger.com/analytics/company/sz/002892/2892/detail</t>
  </si>
  <si>
    <t>格林达</t>
  </si>
  <si>
    <t>www.lixinger.com/analytics/company/sh/603931/603931/detail</t>
  </si>
  <si>
    <t>利群股份</t>
  </si>
  <si>
    <t>www.lixinger.com/analytics/company/sh/601366/601366/detail</t>
  </si>
  <si>
    <t>四方精创</t>
  </si>
  <si>
    <t>www.lixinger.com/analytics/company/sz/300468/300468/detail</t>
  </si>
  <si>
    <t>佛慈制药</t>
  </si>
  <si>
    <t>www.lixinger.com/analytics/company/sz/002644/2644/detail</t>
  </si>
  <si>
    <t>光莆股份</t>
  </si>
  <si>
    <t>www.lixinger.com/analytics/company/sz/300632/300632/detail</t>
  </si>
  <si>
    <t>宁波东力</t>
  </si>
  <si>
    <t>www.lixinger.com/analytics/company/sz/002164/2164/detail</t>
  </si>
  <si>
    <t>光力科技</t>
  </si>
  <si>
    <t>www.lixinger.com/analytics/company/sz/300480/300480/detail</t>
  </si>
  <si>
    <t>翔鹭钨业</t>
  </si>
  <si>
    <t>www.lixinger.com/analytics/company/sz/002842/2842/detail</t>
  </si>
  <si>
    <t>威高骨科</t>
  </si>
  <si>
    <t>www.lixinger.com/analytics/company/sh/688161/688161/detail</t>
  </si>
  <si>
    <t>天永智能</t>
  </si>
  <si>
    <t>www.lixinger.com/analytics/company/sh/603895/603895/detail</t>
  </si>
  <si>
    <t>祥和实业</t>
  </si>
  <si>
    <t>www.lixinger.com/analytics/company/sh/603500/603500/detail</t>
  </si>
  <si>
    <t>通达电气</t>
  </si>
  <si>
    <t>www.lixinger.com/analytics/company/sh/603390/603390/detail</t>
  </si>
  <si>
    <t>氯碱化工</t>
  </si>
  <si>
    <t>www.lixinger.com/analytics/company/sh/600618/600618/detail</t>
  </si>
  <si>
    <t>瑞纳智能</t>
  </si>
  <si>
    <t>www.lixinger.com/analytics/company/sz/301129/301129/detail</t>
  </si>
  <si>
    <t>爱玛科技</t>
  </si>
  <si>
    <t>www.lixinger.com/analytics/company/sh/603529/603529/detail</t>
  </si>
  <si>
    <t>智慧农业</t>
  </si>
  <si>
    <t>www.lixinger.com/analytics/company/sz/000816/816/detail</t>
  </si>
  <si>
    <t>招商南油</t>
  </si>
  <si>
    <t>www.lixinger.com/analytics/company/sh/601975/601975/detail</t>
  </si>
  <si>
    <t>利和兴</t>
  </si>
  <si>
    <t>www.lixinger.com/analytics/company/sz/301013/301013/detail</t>
  </si>
  <si>
    <t>宝利国际</t>
  </si>
  <si>
    <t>www.lixinger.com/analytics/company/sz/300135/300135/detail</t>
  </si>
  <si>
    <t>智云股份</t>
  </si>
  <si>
    <t>www.lixinger.com/analytics/company/sz/300097/300097/detail</t>
  </si>
  <si>
    <t>上海洗霸</t>
  </si>
  <si>
    <t>www.lixinger.com/analytics/company/sh/603200/603200/detail</t>
  </si>
  <si>
    <t>九典制药</t>
  </si>
  <si>
    <t>www.lixinger.com/analytics/company/sz/300705/300705/detail</t>
  </si>
  <si>
    <t>重庆港</t>
  </si>
  <si>
    <t>www.lixinger.com/analytics/company/sh/600279/600279/detail</t>
  </si>
  <si>
    <t>久日新材</t>
  </si>
  <si>
    <t>www.lixinger.com/analytics/company/sh/688199/688199/detail</t>
  </si>
  <si>
    <t>美达股份</t>
  </si>
  <si>
    <t>www.lixinger.com/analytics/company/sz/000782/782/detail</t>
  </si>
  <si>
    <t>美迪西</t>
  </si>
  <si>
    <t>www.lixinger.com/analytics/company/sh/688202/688202/detail</t>
  </si>
  <si>
    <t>津膜科技</t>
  </si>
  <si>
    <t>www.lixinger.com/analytics/company/sz/300334/300334/detail</t>
  </si>
  <si>
    <t>长春一东</t>
  </si>
  <si>
    <t>www.lixinger.com/analytics/company/sh/600148/600148/detail</t>
  </si>
  <si>
    <t>龙源技术</t>
  </si>
  <si>
    <t>www.lixinger.com/analytics/company/sz/300105/300105/detail</t>
  </si>
  <si>
    <t>华神科技</t>
  </si>
  <si>
    <t>www.lixinger.com/analytics/company/sz/000790/790/detail</t>
  </si>
  <si>
    <t>吉峰科技</t>
  </si>
  <si>
    <t>www.lixinger.com/analytics/company/sz/300022/300022/detail</t>
  </si>
  <si>
    <t>中颖电子</t>
  </si>
  <si>
    <t>www.lixinger.com/analytics/company/sz/300327/300327/detail</t>
  </si>
  <si>
    <t>友讯达</t>
  </si>
  <si>
    <t>www.lixinger.com/analytics/company/sz/300514/300514/detail</t>
  </si>
  <si>
    <t>国风新材</t>
  </si>
  <si>
    <t>www.lixinger.com/analytics/company/sz/000859/859/detail</t>
  </si>
  <si>
    <t>富淼科技</t>
  </si>
  <si>
    <t>www.lixinger.com/analytics/company/sh/688350/688350/detail</t>
  </si>
  <si>
    <t>广弘控股</t>
  </si>
  <si>
    <t>www.lixinger.com/analytics/company/sz/000529/529/detail</t>
  </si>
  <si>
    <t>常山药业</t>
  </si>
  <si>
    <t>www.lixinger.com/analytics/company/sz/300255/300255/detail</t>
  </si>
  <si>
    <t>松原股份</t>
  </si>
  <si>
    <t>www.lixinger.com/analytics/company/sz/300893/300893/detail</t>
  </si>
  <si>
    <t>哈焊华通</t>
  </si>
  <si>
    <t>www.lixinger.com/analytics/company/sz/301137/301137/detail</t>
  </si>
  <si>
    <t>金宏气体</t>
  </si>
  <si>
    <t>www.lixinger.com/analytics/company/sh/688106/688106/detail</t>
  </si>
  <si>
    <t>云路股份</t>
  </si>
  <si>
    <t>www.lixinger.com/analytics/company/sh/688190/688190/detail</t>
  </si>
  <si>
    <t>威唐工业</t>
  </si>
  <si>
    <t>www.lixinger.com/analytics/company/sz/300707/300707/detail</t>
  </si>
  <si>
    <t>ST德豪</t>
  </si>
  <si>
    <t>www.lixinger.com/analytics/company/sz/002005/2005/detail</t>
  </si>
  <si>
    <t>西王食品</t>
  </si>
  <si>
    <t>www.lixinger.com/analytics/company/sz/000639/639/detail</t>
  </si>
  <si>
    <t>ST花王</t>
  </si>
  <si>
    <t>www.lixinger.com/analytics/company/sh/603007/603007/detail</t>
  </si>
  <si>
    <t>中光防雷</t>
  </si>
  <si>
    <t>www.lixinger.com/analytics/company/sz/300414/300414/detail</t>
  </si>
  <si>
    <t>金房节能</t>
  </si>
  <si>
    <t>www.lixinger.com/analytics/company/sz/001210/1210/detail</t>
  </si>
  <si>
    <t>测绘股份</t>
  </si>
  <si>
    <t>www.lixinger.com/analytics/company/sz/300826/300826/detail</t>
  </si>
  <si>
    <t>华依科技</t>
  </si>
  <si>
    <t>www.lixinger.com/analytics/company/sh/688071/688071/detail</t>
  </si>
  <si>
    <t>理工光科</t>
  </si>
  <si>
    <t>www.lixinger.com/analytics/company/sz/300557/300557/detail</t>
  </si>
  <si>
    <t>悦心健康</t>
  </si>
  <si>
    <t>www.lixinger.com/analytics/company/sz/002162/2162/detail</t>
  </si>
  <si>
    <t>金迪克</t>
  </si>
  <si>
    <t>www.lixinger.com/analytics/company/sh/688670/688670/detail</t>
  </si>
  <si>
    <t>银之杰</t>
  </si>
  <si>
    <t>www.lixinger.com/analytics/company/sz/300085/300085/detail</t>
  </si>
  <si>
    <t>联诚精密</t>
  </si>
  <si>
    <t>www.lixinger.com/analytics/company/sz/002921/2921/detail</t>
  </si>
  <si>
    <t>网达软件</t>
  </si>
  <si>
    <t>www.lixinger.com/analytics/company/sh/603189/603189/detail</t>
  </si>
  <si>
    <t>拓尔思</t>
  </si>
  <si>
    <t>www.lixinger.com/analytics/company/sz/300229/300229/detail</t>
  </si>
  <si>
    <t>中船应急</t>
  </si>
  <si>
    <t>www.lixinger.com/analytics/company/sz/300527/300527/detail</t>
  </si>
  <si>
    <t>龙软科技</t>
  </si>
  <si>
    <t>www.lixinger.com/analytics/company/sh/688078/688078/detail</t>
  </si>
  <si>
    <t>瑞鹄模具</t>
  </si>
  <si>
    <t>www.lixinger.com/analytics/company/sz/002997/2997/detail</t>
  </si>
  <si>
    <t>民丰特纸</t>
  </si>
  <si>
    <t>www.lixinger.com/analytics/company/sh/600235/600235/detail</t>
  </si>
  <si>
    <t>兰剑智能</t>
  </si>
  <si>
    <t>www.lixinger.com/analytics/company/sh/688557/688557/detail</t>
  </si>
  <si>
    <t>合力科技</t>
  </si>
  <si>
    <t>www.lixinger.com/analytics/company/sh/603917/603917/detail</t>
  </si>
  <si>
    <t>金莱特</t>
  </si>
  <si>
    <t>www.lixinger.com/analytics/company/sz/002723/2723/detail</t>
  </si>
  <si>
    <t>实朴检测</t>
  </si>
  <si>
    <t>www.lixinger.com/analytics/company/sz/301228/301228/detail</t>
  </si>
  <si>
    <t>鹏欣资源</t>
  </si>
  <si>
    <t>www.lixinger.com/analytics/company/sh/600490/600490/detail</t>
  </si>
  <si>
    <t>金太阳</t>
  </si>
  <si>
    <t>www.lixinger.com/analytics/company/sz/300606/300606/detail</t>
  </si>
  <si>
    <t>冠中生态</t>
  </si>
  <si>
    <t>www.lixinger.com/analytics/company/sz/300948/300948/detail</t>
  </si>
  <si>
    <t>祥源文化</t>
  </si>
  <si>
    <t>www.lixinger.com/analytics/company/sh/600576/600576/detail</t>
  </si>
  <si>
    <t>华立科技</t>
  </si>
  <si>
    <t>www.lixinger.com/analytics/company/sz/301011/301011/detail</t>
  </si>
  <si>
    <t>浙数文化</t>
  </si>
  <si>
    <t>www.lixinger.com/analytics/company/sh/600633/600633/detail</t>
  </si>
  <si>
    <t>药易购</t>
  </si>
  <si>
    <t>www.lixinger.com/analytics/company/sz/300937/300937/detail</t>
  </si>
  <si>
    <t>乐惠国际</t>
  </si>
  <si>
    <t>www.lixinger.com/analytics/company/sh/603076/603076/detail</t>
  </si>
  <si>
    <t>天元股份</t>
  </si>
  <si>
    <t>综合包装</t>
  </si>
  <si>
    <t>www.lixinger.com/analytics/company/sz/003003/3003/detail</t>
  </si>
  <si>
    <t>*ST瑞德</t>
  </si>
  <si>
    <t>www.lixinger.com/analytics/company/sh/600666/600666/detail</t>
  </si>
  <si>
    <t>博创科技</t>
  </si>
  <si>
    <t>www.lixinger.com/analytics/company/sz/300548/300548/detail</t>
  </si>
  <si>
    <t>丰乐种业</t>
  </si>
  <si>
    <t>www.lixinger.com/analytics/company/sz/000713/713/detail</t>
  </si>
  <si>
    <t>先锋电子</t>
  </si>
  <si>
    <t>www.lixinger.com/analytics/company/sz/002767/2767/detail</t>
  </si>
  <si>
    <t>*ST赛为</t>
  </si>
  <si>
    <t>www.lixinger.com/analytics/company/sz/300044/300044/detail</t>
  </si>
  <si>
    <t>上海港湾</t>
  </si>
  <si>
    <t>www.lixinger.com/analytics/company/sh/605598/605598/detail</t>
  </si>
  <si>
    <t>捷捷微电</t>
  </si>
  <si>
    <t>www.lixinger.com/analytics/company/sz/300623/300623/detail</t>
  </si>
  <si>
    <t>匠心家居</t>
  </si>
  <si>
    <t>www.lixinger.com/analytics/company/sz/301061/301061/detail</t>
  </si>
  <si>
    <t>山科智能</t>
  </si>
  <si>
    <t>www.lixinger.com/analytics/company/sz/300897/300897/detail</t>
  </si>
  <si>
    <t>贝仕达克</t>
  </si>
  <si>
    <t>www.lixinger.com/analytics/company/sz/300822/300822/detail</t>
  </si>
  <si>
    <t>严牌股份</t>
  </si>
  <si>
    <t>www.lixinger.com/analytics/company/sz/301081/301081/detail</t>
  </si>
  <si>
    <t>ST新研</t>
  </si>
  <si>
    <t>www.lixinger.com/analytics/company/sz/300159/300159/detail</t>
  </si>
  <si>
    <t>新日股份</t>
  </si>
  <si>
    <t>www.lixinger.com/analytics/company/sh/603787/603787/detail</t>
  </si>
  <si>
    <t>达瑞电子</t>
  </si>
  <si>
    <t>www.lixinger.com/analytics/company/sz/300976/300976/detail</t>
  </si>
  <si>
    <t>三星新材</t>
  </si>
  <si>
    <t>www.lixinger.com/analytics/company/sh/603578/603578/detail</t>
  </si>
  <si>
    <t>和仁科技</t>
  </si>
  <si>
    <t>www.lixinger.com/analytics/company/sz/300550/300550/detail</t>
  </si>
  <si>
    <t>永安药业</t>
  </si>
  <si>
    <t>www.lixinger.com/analytics/company/sz/002365/2365/detail</t>
  </si>
  <si>
    <t>广信材料</t>
  </si>
  <si>
    <t>www.lixinger.com/analytics/company/sz/300537/300537/detail</t>
  </si>
  <si>
    <t>南京高科</t>
  </si>
  <si>
    <t>www.lixinger.com/analytics/company/sh/600064/600064/detail</t>
  </si>
  <si>
    <t>掌趣科技</t>
  </si>
  <si>
    <t>www.lixinger.com/analytics/company/sz/300315/300315/detail</t>
  </si>
  <si>
    <t>健麾信息</t>
  </si>
  <si>
    <t>www.lixinger.com/analytics/company/sh/605186/605186/detail</t>
  </si>
  <si>
    <t>宁沪高速</t>
  </si>
  <si>
    <t>www.lixinger.com/analytics/company/sh/600377/600377/detail</t>
  </si>
  <si>
    <t>闽灿坤Ｂ</t>
  </si>
  <si>
    <t>www.lixinger.com/analytics/company/sz/200512/200512/detail</t>
  </si>
  <si>
    <t>川投能源</t>
  </si>
  <si>
    <t>www.lixinger.com/analytics/company/sh/600674/600674/detail</t>
  </si>
  <si>
    <t>浙商证券</t>
  </si>
  <si>
    <t>www.lixinger.com/analytics/company/sh/601878/601878/detail</t>
  </si>
  <si>
    <t>安德利</t>
  </si>
  <si>
    <t>www.lixinger.com/analytics/company/sh/603031/603031/detail</t>
  </si>
  <si>
    <t>中洲特材</t>
  </si>
  <si>
    <t>www.lixinger.com/analytics/company/sz/300963/300963/detail</t>
  </si>
  <si>
    <t>雅戈尔</t>
  </si>
  <si>
    <t>www.lixinger.com/analytics/company/sh/600177/600177/detail</t>
  </si>
  <si>
    <t>惠伦晶体</t>
  </si>
  <si>
    <t>www.lixinger.com/analytics/company/sz/300460/300460/detail</t>
  </si>
  <si>
    <t>英联股份</t>
  </si>
  <si>
    <t>www.lixinger.com/analytics/company/sz/002846/2846/detail</t>
  </si>
  <si>
    <t>神通科技</t>
  </si>
  <si>
    <t>www.lixinger.com/analytics/company/sh/605228/605228/detail</t>
  </si>
  <si>
    <t>亚联发展</t>
  </si>
  <si>
    <t>www.lixinger.com/analytics/company/sz/002316/2316/detail</t>
  </si>
  <si>
    <t>慧辰股份</t>
  </si>
  <si>
    <t>www.lixinger.com/analytics/company/sh/688500/688500/detail</t>
  </si>
  <si>
    <t>美格智能</t>
  </si>
  <si>
    <t>www.lixinger.com/analytics/company/sz/002881/2881/detail</t>
  </si>
  <si>
    <t>富春环保</t>
  </si>
  <si>
    <t>www.lixinger.com/analytics/company/sz/002479/2479/detail</t>
  </si>
  <si>
    <t>万林物流</t>
  </si>
  <si>
    <t>www.lixinger.com/analytics/company/sh/603117/603117/detail</t>
  </si>
  <si>
    <t>皇庭国际</t>
  </si>
  <si>
    <t>www.lixinger.com/analytics/company/sz/000056/56/detail</t>
  </si>
  <si>
    <t>安彩高科</t>
  </si>
  <si>
    <t>www.lixinger.com/analytics/company/sh/600207/600207/detail</t>
  </si>
  <si>
    <t>金自天正</t>
  </si>
  <si>
    <t>www.lixinger.com/analytics/company/sh/600560/600560/detail</t>
  </si>
  <si>
    <t>南微医学</t>
  </si>
  <si>
    <t>www.lixinger.com/analytics/company/sh/688029/688029/detail</t>
  </si>
  <si>
    <t>晶雪节能</t>
  </si>
  <si>
    <t>www.lixinger.com/analytics/company/sz/301010/301010/detail</t>
  </si>
  <si>
    <t>横店影视</t>
  </si>
  <si>
    <t>www.lixinger.com/analytics/company/sh/603103/603103/detail</t>
  </si>
  <si>
    <t>八亿时空</t>
  </si>
  <si>
    <t>www.lixinger.com/analytics/company/sh/688181/688181/detail</t>
  </si>
  <si>
    <t>春光科技</t>
  </si>
  <si>
    <t>www.lixinger.com/analytics/company/sh/603657/603657/detail</t>
  </si>
  <si>
    <t>襄阳轴承</t>
  </si>
  <si>
    <t>www.lixinger.com/analytics/company/sz/000678/678/detail</t>
  </si>
  <si>
    <t>竞业达</t>
  </si>
  <si>
    <t>www.lixinger.com/analytics/company/sz/003005/3005/detail</t>
  </si>
  <si>
    <t>王府井</t>
  </si>
  <si>
    <t>www.lixinger.com/analytics/company/sh/600859/600859/detail</t>
  </si>
  <si>
    <t>苏奥传感</t>
  </si>
  <si>
    <t>www.lixinger.com/analytics/company/sz/300507/300507/detail</t>
  </si>
  <si>
    <t>秦安股份</t>
  </si>
  <si>
    <t>www.lixinger.com/analytics/company/sh/603758/603758/detail</t>
  </si>
  <si>
    <t>银都股份</t>
  </si>
  <si>
    <t>www.lixinger.com/analytics/company/sh/603277/603277/detail</t>
  </si>
  <si>
    <t>科前生物</t>
  </si>
  <si>
    <t>www.lixinger.com/analytics/company/sh/688526/688526/detail</t>
  </si>
  <si>
    <t>梅轮电梯</t>
  </si>
  <si>
    <t>www.lixinger.com/analytics/company/sh/603321/603321/detail</t>
  </si>
  <si>
    <t>天孚通信</t>
  </si>
  <si>
    <t>www.lixinger.com/analytics/company/sz/300394/300394/detail</t>
  </si>
  <si>
    <t>长江投资</t>
  </si>
  <si>
    <t>www.lixinger.com/analytics/company/sh/600119/600119/detail</t>
  </si>
  <si>
    <t>畅联股份</t>
  </si>
  <si>
    <t>www.lixinger.com/analytics/company/sh/603648/603648/detail</t>
  </si>
  <si>
    <t>和远气体</t>
  </si>
  <si>
    <t>www.lixinger.com/analytics/company/sz/002971/2971/detail</t>
  </si>
  <si>
    <t>嘉美包装</t>
  </si>
  <si>
    <t>www.lixinger.com/analytics/company/sz/002969/2969/detail</t>
  </si>
  <si>
    <t>青山纸业</t>
  </si>
  <si>
    <t>www.lixinger.com/analytics/company/sh/600103/600103/detail</t>
  </si>
  <si>
    <t>华致酒行</t>
  </si>
  <si>
    <t>www.lixinger.com/analytics/company/sz/300755/300755/detail</t>
  </si>
  <si>
    <t>北清环能</t>
  </si>
  <si>
    <t>www.lixinger.com/analytics/company/sz/000803/803/detail</t>
  </si>
  <si>
    <t>派斯林</t>
  </si>
  <si>
    <t>www.lixinger.com/analytics/company/sh/600215/600215/detail</t>
  </si>
  <si>
    <t>兆讯传媒</t>
  </si>
  <si>
    <t>www.lixinger.com/analytics/company/sz/301102/301102/detail</t>
  </si>
  <si>
    <t>朝阳科技</t>
  </si>
  <si>
    <t>www.lixinger.com/analytics/company/sz/002981/2981/detail</t>
  </si>
  <si>
    <t>川发龙蟒</t>
  </si>
  <si>
    <t>www.lixinger.com/analytics/company/sz/002312/2312/detail</t>
  </si>
  <si>
    <t>精华制药</t>
  </si>
  <si>
    <t>www.lixinger.com/analytics/company/sz/002349/2349/detail</t>
  </si>
  <si>
    <t>罗博特科</t>
  </si>
  <si>
    <t>www.lixinger.com/analytics/company/sz/300757/300757/detail</t>
  </si>
  <si>
    <t>延江股份</t>
  </si>
  <si>
    <t>www.lixinger.com/analytics/company/sz/300658/300658/detail</t>
  </si>
  <si>
    <t>达华智能</t>
  </si>
  <si>
    <t>www.lixinger.com/analytics/company/sz/002512/2512/detail</t>
  </si>
  <si>
    <t>宣亚国际</t>
  </si>
  <si>
    <t>www.lixinger.com/analytics/company/sz/300612/300612/detail</t>
  </si>
  <si>
    <t>金浦钛业</t>
  </si>
  <si>
    <t>www.lixinger.com/analytics/company/sz/000545/545/detail</t>
  </si>
  <si>
    <t>兆龙互连</t>
  </si>
  <si>
    <t>www.lixinger.com/analytics/company/sz/300913/300913/detail</t>
  </si>
  <si>
    <t>金钟股份</t>
  </si>
  <si>
    <t>www.lixinger.com/analytics/company/sz/301133/301133/detail</t>
  </si>
  <si>
    <t>科信技术</t>
  </si>
  <si>
    <t>www.lixinger.com/analytics/company/sz/300565/300565/detail</t>
  </si>
  <si>
    <t>兆易创新</t>
  </si>
  <si>
    <t>www.lixinger.com/analytics/company/sh/603986/603986/detail</t>
  </si>
  <si>
    <t>和达科技</t>
  </si>
  <si>
    <t>www.lixinger.com/analytics/company/sh/688296/688296/detail</t>
  </si>
  <si>
    <t>华骐环保</t>
  </si>
  <si>
    <t>www.lixinger.com/analytics/company/sz/300929/300929/detail</t>
  </si>
  <si>
    <t>宝光股份</t>
  </si>
  <si>
    <t>www.lixinger.com/analytics/company/sh/600379/600379/detail</t>
  </si>
  <si>
    <t>闽东电力</t>
  </si>
  <si>
    <t>www.lixinger.com/analytics/company/sz/000993/993/detail</t>
  </si>
  <si>
    <t>药石科技</t>
  </si>
  <si>
    <t>www.lixinger.com/analytics/company/sz/300725/300725/detail</t>
  </si>
  <si>
    <t>联德股份</t>
  </si>
  <si>
    <t>www.lixinger.com/analytics/company/sh/605060/605060/detail</t>
  </si>
  <si>
    <t>迈赫股份</t>
  </si>
  <si>
    <t>www.lixinger.com/analytics/company/sz/301199/301199/detail</t>
  </si>
  <si>
    <t>山东墨龙</t>
  </si>
  <si>
    <t>www.lixinger.com/analytics/company/sz/002490/2490/detail</t>
  </si>
  <si>
    <t>贝泰妮</t>
  </si>
  <si>
    <t>www.lixinger.com/analytics/company/sz/300957/300957/detail</t>
  </si>
  <si>
    <t>晶晨股份</t>
  </si>
  <si>
    <t>www.lixinger.com/analytics/company/sh/688099/688099/detail</t>
  </si>
  <si>
    <t>兰花科创</t>
  </si>
  <si>
    <t>www.lixinger.com/analytics/company/sh/600123/600123/detail</t>
  </si>
  <si>
    <t>中电电机</t>
  </si>
  <si>
    <t>www.lixinger.com/analytics/company/sh/603988/603988/detail</t>
  </si>
  <si>
    <t>伟创电气</t>
  </si>
  <si>
    <t>www.lixinger.com/analytics/company/sh/688698/688698/detail</t>
  </si>
  <si>
    <t>西菱动力</t>
  </si>
  <si>
    <t>www.lixinger.com/analytics/company/sz/300733/300733/detail</t>
  </si>
  <si>
    <t>东软载波</t>
  </si>
  <si>
    <t>www.lixinger.com/analytics/company/sz/300183/300183/detail</t>
  </si>
  <si>
    <t>杭华股份</t>
  </si>
  <si>
    <t>www.lixinger.com/analytics/company/sh/688571/688571/detail</t>
  </si>
  <si>
    <t>海马汽车</t>
  </si>
  <si>
    <t>www.lixinger.com/analytics/company/sz/000572/572/detail</t>
  </si>
  <si>
    <t>丽岛新材</t>
  </si>
  <si>
    <t>www.lixinger.com/analytics/company/sh/603937/603937/detail</t>
  </si>
  <si>
    <t>嘉亨家化</t>
  </si>
  <si>
    <t>www.lixinger.com/analytics/company/sz/300955/300955/detail</t>
  </si>
  <si>
    <t>歌力思</t>
  </si>
  <si>
    <t>www.lixinger.com/analytics/company/sh/603808/603808/detail</t>
  </si>
  <si>
    <t>梅安森</t>
  </si>
  <si>
    <t>www.lixinger.com/analytics/company/sz/300275/300275/detail</t>
  </si>
  <si>
    <t>津荣天宇</t>
  </si>
  <si>
    <t>www.lixinger.com/analytics/company/sz/300988/300988/detail</t>
  </si>
  <si>
    <t>平潭发展</t>
  </si>
  <si>
    <t>林业</t>
  </si>
  <si>
    <t>www.lixinger.com/analytics/company/sz/000592/592/detail</t>
  </si>
  <si>
    <t>今天国际</t>
  </si>
  <si>
    <t>www.lixinger.com/analytics/company/sz/300532/300532/detail</t>
  </si>
  <si>
    <t>之江生物</t>
  </si>
  <si>
    <t>www.lixinger.com/analytics/company/sh/688317/688317/detail</t>
  </si>
  <si>
    <t>合肥百货</t>
  </si>
  <si>
    <t>www.lixinger.com/analytics/company/sz/000417/417/detail</t>
  </si>
  <si>
    <t>中新赛克</t>
  </si>
  <si>
    <t>www.lixinger.com/analytics/company/sz/002912/2912/detail</t>
  </si>
  <si>
    <t>潮宏基</t>
  </si>
  <si>
    <t>www.lixinger.com/analytics/company/sz/002345/2345/detail</t>
  </si>
  <si>
    <t>思瑞浦</t>
  </si>
  <si>
    <t>www.lixinger.com/analytics/company/sh/688536/688536/detail</t>
  </si>
  <si>
    <t>华康股份</t>
  </si>
  <si>
    <t>www.lixinger.com/analytics/company/sh/605077/605077/detail</t>
  </si>
  <si>
    <t>奥泰生物</t>
  </si>
  <si>
    <t>www.lixinger.com/analytics/company/sh/688606/688606/detail</t>
  </si>
  <si>
    <t>郴电国际</t>
  </si>
  <si>
    <t>www.lixinger.com/analytics/company/sh/600969/600969/detail</t>
  </si>
  <si>
    <t>通润装备</t>
  </si>
  <si>
    <t>www.lixinger.com/analytics/company/sz/002150/2150/detail</t>
  </si>
  <si>
    <t>公牛集团</t>
  </si>
  <si>
    <t>www.lixinger.com/analytics/company/sh/603195/603195/detail</t>
  </si>
  <si>
    <t>方盛制药</t>
  </si>
  <si>
    <t>www.lixinger.com/analytics/company/sh/603998/603998/detail</t>
  </si>
  <si>
    <t>本钢板材</t>
  </si>
  <si>
    <t>www.lixinger.com/analytics/company/sz/000761/761/detail</t>
  </si>
  <si>
    <t>星云股份</t>
  </si>
  <si>
    <t>www.lixinger.com/analytics/company/sz/300648/300648/detail</t>
  </si>
  <si>
    <t>联科科技</t>
  </si>
  <si>
    <t>www.lixinger.com/analytics/company/sz/001207/1207/detail</t>
  </si>
  <si>
    <t>共达电声</t>
  </si>
  <si>
    <t>www.lixinger.com/analytics/company/sz/002655/2655/detail</t>
  </si>
  <si>
    <t>中洲控股</t>
  </si>
  <si>
    <t>www.lixinger.com/analytics/company/sz/000042/42/detail</t>
  </si>
  <si>
    <t>金财互联</t>
  </si>
  <si>
    <t>www.lixinger.com/analytics/company/sz/002530/2530/detail</t>
  </si>
  <si>
    <t>芯瑞达</t>
  </si>
  <si>
    <t>www.lixinger.com/analytics/company/sz/002983/2983/detail</t>
  </si>
  <si>
    <t>金鹰股份</t>
  </si>
  <si>
    <t>www.lixinger.com/analytics/company/sh/600232/600232/detail</t>
  </si>
  <si>
    <t>德利股份</t>
  </si>
  <si>
    <t>www.lixinger.com/analytics/company/sh/605198/605198/detail</t>
  </si>
  <si>
    <t>兴图新科</t>
  </si>
  <si>
    <t>www.lixinger.com/analytics/company/sh/688081/688081/detail</t>
  </si>
  <si>
    <t>蔚蓝生物</t>
  </si>
  <si>
    <t>www.lixinger.com/analytics/company/sh/603739/603739/detail</t>
  </si>
  <si>
    <t>中粮资本</t>
  </si>
  <si>
    <t>www.lixinger.com/analytics/company/sz/002423/2423/detail</t>
  </si>
  <si>
    <t>柯力传感</t>
  </si>
  <si>
    <t>www.lixinger.com/analytics/company/sh/603662/603662/detail</t>
  </si>
  <si>
    <t>翰宇药业</t>
  </si>
  <si>
    <t>www.lixinger.com/analytics/company/sz/300199/300199/detail</t>
  </si>
  <si>
    <t>万隆光电</t>
  </si>
  <si>
    <t>www.lixinger.com/analytics/company/sz/300710/300710/detail</t>
  </si>
  <si>
    <t>ST洲际</t>
  </si>
  <si>
    <t>www.lixinger.com/analytics/company/sh/600759/600759/detail</t>
  </si>
  <si>
    <t>美利云</t>
  </si>
  <si>
    <t>www.lixinger.com/analytics/company/sz/000815/815/detail</t>
  </si>
  <si>
    <t>日出东方</t>
  </si>
  <si>
    <t>www.lixinger.com/analytics/company/sh/603366/603366/detail</t>
  </si>
  <si>
    <t>弘讯科技</t>
  </si>
  <si>
    <t>www.lixinger.com/analytics/company/sh/603015/603015/detail</t>
  </si>
  <si>
    <t>文山电力</t>
  </si>
  <si>
    <t>www.lixinger.com/analytics/company/sh/600995/600995/detail</t>
  </si>
  <si>
    <t>时空科技</t>
  </si>
  <si>
    <t>www.lixinger.com/analytics/company/sh/605178/605178/detail</t>
  </si>
  <si>
    <t>海天精工</t>
  </si>
  <si>
    <t>www.lixinger.com/analytics/company/sh/601882/601882/detail</t>
  </si>
  <si>
    <t>荃银高科</t>
  </si>
  <si>
    <t>www.lixinger.com/analytics/company/sz/300087/300087/detail</t>
  </si>
  <si>
    <t>通用电梯</t>
  </si>
  <si>
    <t>www.lixinger.com/analytics/company/sz/300931/300931/detail</t>
  </si>
  <si>
    <t>可靠股份</t>
  </si>
  <si>
    <t>www.lixinger.com/analytics/company/sz/301009/301009/detail</t>
  </si>
  <si>
    <t>嘉和美康</t>
  </si>
  <si>
    <t>www.lixinger.com/analytics/company/sh/688246/688246/detail</t>
  </si>
  <si>
    <t>上海易连</t>
  </si>
  <si>
    <t>www.lixinger.com/analytics/company/sh/600836/600836/detail</t>
  </si>
  <si>
    <t>长盛轴承</t>
  </si>
  <si>
    <t>www.lixinger.com/analytics/company/sz/300718/300718/detail</t>
  </si>
  <si>
    <t>雷曼光电</t>
  </si>
  <si>
    <t>www.lixinger.com/analytics/company/sz/300162/300162/detail</t>
  </si>
  <si>
    <t>冀凯股份</t>
  </si>
  <si>
    <t>www.lixinger.com/analytics/company/sz/002691/2691/detail</t>
  </si>
  <si>
    <t>ST海越</t>
  </si>
  <si>
    <t>www.lixinger.com/analytics/company/sh/600387/600387/detail</t>
  </si>
  <si>
    <t>中胤时尚</t>
  </si>
  <si>
    <t>www.lixinger.com/analytics/company/sz/300901/300901/detail</t>
  </si>
  <si>
    <t>恒大高新</t>
  </si>
  <si>
    <t>www.lixinger.com/analytics/company/sz/002591/2591/detail</t>
  </si>
  <si>
    <t>回盛生物</t>
  </si>
  <si>
    <t>www.lixinger.com/analytics/company/sz/300871/300871/detail</t>
  </si>
  <si>
    <t>农发种业</t>
  </si>
  <si>
    <t>www.lixinger.com/analytics/company/sh/600313/600313/detail</t>
  </si>
  <si>
    <t>新纶新材</t>
  </si>
  <si>
    <t>www.lixinger.com/analytics/company/sz/002341/2341/detail</t>
  </si>
  <si>
    <t>电子城</t>
  </si>
  <si>
    <t>www.lixinger.com/analytics/company/sh/600658/600658/detail</t>
  </si>
  <si>
    <t>依依股份</t>
  </si>
  <si>
    <t>www.lixinger.com/analytics/company/sz/001206/1206/detail</t>
  </si>
  <si>
    <t>海宁皮城</t>
  </si>
  <si>
    <t>www.lixinger.com/analytics/company/sz/002344/2344/detail</t>
  </si>
  <si>
    <t>光峰科技</t>
  </si>
  <si>
    <t>www.lixinger.com/analytics/company/sh/688007/688007/detail</t>
  </si>
  <si>
    <t>华凯创意</t>
  </si>
  <si>
    <t>www.lixinger.com/analytics/company/sz/300592/300592/detail</t>
  </si>
  <si>
    <t>华锋股份</t>
  </si>
  <si>
    <t>www.lixinger.com/analytics/company/sz/002806/2806/detail</t>
  </si>
  <si>
    <t>麦迪科技</t>
  </si>
  <si>
    <t>www.lixinger.com/analytics/company/sh/603990/603990/detail</t>
  </si>
  <si>
    <t>路通视信</t>
  </si>
  <si>
    <t>www.lixinger.com/analytics/company/sz/300555/300555/detail</t>
  </si>
  <si>
    <t>昌红科技</t>
  </si>
  <si>
    <t>www.lixinger.com/analytics/company/sz/300151/300151/detail</t>
  </si>
  <si>
    <t>新宁物流</t>
  </si>
  <si>
    <t>www.lixinger.com/analytics/company/sz/300013/300013/detail</t>
  </si>
  <si>
    <t>钧达股份</t>
  </si>
  <si>
    <t>www.lixinger.com/analytics/company/sz/002865/2865/detail</t>
  </si>
  <si>
    <t>安利股份</t>
  </si>
  <si>
    <t>www.lixinger.com/analytics/company/sz/300218/300218/detail</t>
  </si>
  <si>
    <t>炼石航空</t>
  </si>
  <si>
    <t>www.lixinger.com/analytics/company/sz/000697/697/detail</t>
  </si>
  <si>
    <t>精进电动</t>
  </si>
  <si>
    <t>www.lixinger.com/analytics/company/sh/688280/688280/detail</t>
  </si>
  <si>
    <t>达意隆</t>
  </si>
  <si>
    <t>www.lixinger.com/analytics/company/sz/002209/2209/detail</t>
  </si>
  <si>
    <t>微光股份</t>
  </si>
  <si>
    <t>www.lixinger.com/analytics/company/sz/002801/2801/detail</t>
  </si>
  <si>
    <t>三友医疗</t>
  </si>
  <si>
    <t>www.lixinger.com/analytics/company/sh/688085/688085/detail</t>
  </si>
  <si>
    <t>风光股份</t>
  </si>
  <si>
    <t>www.lixinger.com/analytics/company/sz/301100/301100/detail</t>
  </si>
  <si>
    <t>恒锋信息</t>
  </si>
  <si>
    <t>www.lixinger.com/analytics/company/sz/300605/300605/detail</t>
  </si>
  <si>
    <t>滨海能源</t>
  </si>
  <si>
    <t>www.lixinger.com/analytics/company/sz/000695/695/detail</t>
  </si>
  <si>
    <t>易联众</t>
  </si>
  <si>
    <t>www.lixinger.com/analytics/company/sz/300096/300096/detail</t>
  </si>
  <si>
    <t>汉森制药</t>
  </si>
  <si>
    <t>www.lixinger.com/analytics/company/sz/002412/2412/detail</t>
  </si>
  <si>
    <t>天准科技</t>
  </si>
  <si>
    <t>www.lixinger.com/analytics/company/sh/688003/688003/detail</t>
  </si>
  <si>
    <t>视觉中国</t>
  </si>
  <si>
    <t>图片媒体</t>
  </si>
  <si>
    <t>www.lixinger.com/analytics/company/sz/000681/681/detail</t>
  </si>
  <si>
    <t>瑞玛精密</t>
  </si>
  <si>
    <t>www.lixinger.com/analytics/company/sz/002976/2976/detail</t>
  </si>
  <si>
    <t>纳尔股份</t>
  </si>
  <si>
    <t>www.lixinger.com/analytics/company/sz/002825/2825/detail</t>
  </si>
  <si>
    <t>湖南黄金</t>
  </si>
  <si>
    <t>黄金</t>
  </si>
  <si>
    <t>www.lixinger.com/analytics/company/sz/002155/2155/detail</t>
  </si>
  <si>
    <t>西仪股份</t>
  </si>
  <si>
    <t>www.lixinger.com/analytics/company/sz/002265/2265/detail</t>
  </si>
  <si>
    <t>永兴材料</t>
  </si>
  <si>
    <t>www.lixinger.com/analytics/company/sz/002756/2756/detail</t>
  </si>
  <si>
    <t>秦川物联</t>
  </si>
  <si>
    <t>www.lixinger.com/analytics/company/sh/688528/688528/detail</t>
  </si>
  <si>
    <t>青海华鼎</t>
  </si>
  <si>
    <t>www.lixinger.com/analytics/company/sh/600243/600243/detail</t>
  </si>
  <si>
    <t>凯因科技</t>
  </si>
  <si>
    <t>www.lixinger.com/analytics/company/sh/688687/688687/detail</t>
  </si>
  <si>
    <t>比音勒芬</t>
  </si>
  <si>
    <t>www.lixinger.com/analytics/company/sz/002832/2832/detail</t>
  </si>
  <si>
    <t>国盾量子</t>
  </si>
  <si>
    <t>www.lixinger.com/analytics/company/sh/688027/688027/detail</t>
  </si>
  <si>
    <t>格灵深瞳</t>
  </si>
  <si>
    <t>www.lixinger.com/analytics/company/sh/688207/688207/detail</t>
  </si>
  <si>
    <t>唐德影视</t>
  </si>
  <si>
    <t>www.lixinger.com/analytics/company/sz/300426/300426/detail</t>
  </si>
  <si>
    <t>锦鸡股份</t>
  </si>
  <si>
    <t>www.lixinger.com/analytics/company/sz/300798/300798/detail</t>
  </si>
  <si>
    <t>建研设计</t>
  </si>
  <si>
    <t>www.lixinger.com/analytics/company/sz/301167/301167/detail</t>
  </si>
  <si>
    <t>中欣氟材</t>
  </si>
  <si>
    <t>www.lixinger.com/analytics/company/sz/002915/2915/detail</t>
  </si>
  <si>
    <t>宝兰德</t>
  </si>
  <si>
    <t>www.lixinger.com/analytics/company/sh/688058/688058/detail</t>
  </si>
  <si>
    <t>开尔新材</t>
  </si>
  <si>
    <t>www.lixinger.com/analytics/company/sz/300234/300234/detail</t>
  </si>
  <si>
    <t>莱茵生物</t>
  </si>
  <si>
    <t>www.lixinger.com/analytics/company/sz/002166/2166/detail</t>
  </si>
  <si>
    <t>泰晶科技</t>
  </si>
  <si>
    <t>www.lixinger.com/analytics/company/sh/603738/603738/detail</t>
  </si>
  <si>
    <t>ST龙韵</t>
  </si>
  <si>
    <t>www.lixinger.com/analytics/company/sh/603729/603729/detail</t>
  </si>
  <si>
    <t>双枪科技</t>
  </si>
  <si>
    <t>www.lixinger.com/analytics/company/sz/001211/1211/detail</t>
  </si>
  <si>
    <t>四川成渝</t>
  </si>
  <si>
    <t>www.lixinger.com/analytics/company/sh/601107/601107/detail</t>
  </si>
  <si>
    <t>佰奥智能</t>
  </si>
  <si>
    <t>www.lixinger.com/analytics/company/sz/300836/300836/detail</t>
  </si>
  <si>
    <t>吉翔股份</t>
  </si>
  <si>
    <t>www.lixinger.com/analytics/company/sh/603399/603399/detail</t>
  </si>
  <si>
    <t>濮阳惠成</t>
  </si>
  <si>
    <t>www.lixinger.com/analytics/company/sz/300481/300481/detail</t>
  </si>
  <si>
    <t>森林包装</t>
  </si>
  <si>
    <t>www.lixinger.com/analytics/company/sh/605500/605500/detail</t>
  </si>
  <si>
    <t>宏和科技</t>
  </si>
  <si>
    <t>www.lixinger.com/analytics/company/sh/603256/603256/detail</t>
  </si>
  <si>
    <t>利君股份</t>
  </si>
  <si>
    <t>www.lixinger.com/analytics/company/sz/002651/2651/detail</t>
  </si>
  <si>
    <t>上机数控</t>
  </si>
  <si>
    <t>www.lixinger.com/analytics/company/sh/603185/603185/detail</t>
  </si>
  <si>
    <t>裕兴股份</t>
  </si>
  <si>
    <t>www.lixinger.com/analytics/company/sz/300305/300305/detail</t>
  </si>
  <si>
    <t>獐子岛</t>
  </si>
  <si>
    <t>www.lixinger.com/analytics/company/sz/002069/2069/detail</t>
  </si>
  <si>
    <t>安纳达</t>
  </si>
  <si>
    <t>www.lixinger.com/analytics/company/sz/002136/2136/detail</t>
  </si>
  <si>
    <t>荣晟环保</t>
  </si>
  <si>
    <t>www.lixinger.com/analytics/company/sh/603165/603165/detail</t>
  </si>
  <si>
    <t>汉宇集团</t>
  </si>
  <si>
    <t>www.lixinger.com/analytics/company/sz/300403/300403/detail</t>
  </si>
  <si>
    <t>好莱客</t>
  </si>
  <si>
    <t>www.lixinger.com/analytics/company/sh/603898/603898/detail</t>
  </si>
  <si>
    <t>中马传动</t>
  </si>
  <si>
    <t>www.lixinger.com/analytics/company/sh/603767/603767/detail</t>
  </si>
  <si>
    <t>美亚光电</t>
  </si>
  <si>
    <t>www.lixinger.com/analytics/company/sz/002690/2690/detail</t>
  </si>
  <si>
    <t>欧科亿</t>
  </si>
  <si>
    <t>www.lixinger.com/analytics/company/sh/688308/688308/detail</t>
  </si>
  <si>
    <t>纵横通信</t>
  </si>
  <si>
    <t>www.lixinger.com/analytics/company/sh/603602/603602/detail</t>
  </si>
  <si>
    <t>*ST澄星</t>
  </si>
  <si>
    <t>www.lixinger.com/analytics/company/sh/600078/600078/detail</t>
  </si>
  <si>
    <t>三诺生物</t>
  </si>
  <si>
    <t>www.lixinger.com/analytics/company/sz/300298/300298/detail</t>
  </si>
  <si>
    <t>启明信息</t>
  </si>
  <si>
    <t>www.lixinger.com/analytics/company/sz/002232/2232/detail</t>
  </si>
  <si>
    <t>七彩化学</t>
  </si>
  <si>
    <t>www.lixinger.com/analytics/company/sz/300758/300758/detail</t>
  </si>
  <si>
    <t>博瑞传播</t>
  </si>
  <si>
    <t>学历教育</t>
  </si>
  <si>
    <t>www.lixinger.com/analytics/company/sh/600880/600880/detail</t>
  </si>
  <si>
    <t>海顺新材</t>
  </si>
  <si>
    <t>www.lixinger.com/analytics/company/sz/300501/300501/detail</t>
  </si>
  <si>
    <t>佳力图</t>
  </si>
  <si>
    <t>www.lixinger.com/analytics/company/sh/603912/603912/detail</t>
  </si>
  <si>
    <t>乐鑫科技</t>
  </si>
  <si>
    <t>www.lixinger.com/analytics/company/sh/688018/688018/detail</t>
  </si>
  <si>
    <t>银河磁体</t>
  </si>
  <si>
    <t>www.lixinger.com/analytics/company/sz/300127/300127/detail</t>
  </si>
  <si>
    <t>汇洁股份</t>
  </si>
  <si>
    <t>www.lixinger.com/analytics/company/sz/002763/2763/detail</t>
  </si>
  <si>
    <t>东芯股份</t>
  </si>
  <si>
    <t>www.lixinger.com/analytics/company/sh/688110/688110/detail</t>
  </si>
  <si>
    <t>博迈科</t>
  </si>
  <si>
    <t>www.lixinger.com/analytics/company/sh/603727/603727/detail</t>
  </si>
  <si>
    <t>禾迈股份</t>
  </si>
  <si>
    <t>www.lixinger.com/analytics/company/sh/688032/688032/detail</t>
  </si>
  <si>
    <t>*ST德新</t>
  </si>
  <si>
    <t>www.lixinger.com/analytics/company/sh/603032/603032/detail</t>
  </si>
  <si>
    <t>协和电子</t>
  </si>
  <si>
    <t>www.lixinger.com/analytics/company/sh/605258/605258/detail</t>
  </si>
  <si>
    <t>迪威尔</t>
  </si>
  <si>
    <t>www.lixinger.com/analytics/company/sh/688377/688377/detail</t>
  </si>
  <si>
    <t>恒天海龙</t>
  </si>
  <si>
    <t>www.lixinger.com/analytics/company/sz/000677/677/detail</t>
  </si>
  <si>
    <t>ST信通</t>
  </si>
  <si>
    <t>www.lixinger.com/analytics/company/sh/600289/600289/detail</t>
  </si>
  <si>
    <t>金科环境</t>
  </si>
  <si>
    <t>www.lixinger.com/analytics/company/sh/688466/688466/detail</t>
  </si>
  <si>
    <t>振邦智能</t>
  </si>
  <si>
    <t>www.lixinger.com/analytics/company/sz/003028/3028/detail</t>
  </si>
  <si>
    <t>乐心医疗</t>
  </si>
  <si>
    <t>www.lixinger.com/analytics/company/sz/300562/300562/detail</t>
  </si>
  <si>
    <t>未名医药</t>
  </si>
  <si>
    <t>www.lixinger.com/analytics/company/sz/002581/2581/detail</t>
  </si>
  <si>
    <t>科新发展</t>
  </si>
  <si>
    <t>www.lixinger.com/analytics/company/sh/600234/600234/detail</t>
  </si>
  <si>
    <t>酒钢宏兴</t>
  </si>
  <si>
    <t>www.lixinger.com/analytics/company/sh/600307/600307/detail</t>
  </si>
  <si>
    <t>万讯自控</t>
  </si>
  <si>
    <t>www.lixinger.com/analytics/company/sz/300112/300112/detail</t>
  </si>
  <si>
    <t>亚辉龙</t>
  </si>
  <si>
    <t>www.lixinger.com/analytics/company/sh/688575/688575/detail</t>
  </si>
  <si>
    <t>瑞贝卡</t>
  </si>
  <si>
    <t>其他饰品</t>
  </si>
  <si>
    <t>www.lixinger.com/analytics/company/sh/600439/600439/detail</t>
  </si>
  <si>
    <t>杰美特</t>
  </si>
  <si>
    <t>www.lixinger.com/analytics/company/sz/300868/300868/detail</t>
  </si>
  <si>
    <t>星辉娱乐</t>
  </si>
  <si>
    <t>www.lixinger.com/analytics/company/sz/300043/300043/detail</t>
  </si>
  <si>
    <t>鸿富瀚</t>
  </si>
  <si>
    <t>www.lixinger.com/analytics/company/sz/301086/301086/detail</t>
  </si>
  <si>
    <t>观想科技</t>
  </si>
  <si>
    <t>www.lixinger.com/analytics/company/sz/301213/301213/detail</t>
  </si>
  <si>
    <t>西部证券</t>
  </si>
  <si>
    <t>www.lixinger.com/analytics/company/sz/002673/2673/detail</t>
  </si>
  <si>
    <t>大名城</t>
  </si>
  <si>
    <t>www.lixinger.com/analytics/company/sh/600094/600094/detail</t>
  </si>
  <si>
    <t>开能健康</t>
  </si>
  <si>
    <t>www.lixinger.com/analytics/company/sz/300272/300272/detail</t>
  </si>
  <si>
    <t>均普智能</t>
  </si>
  <si>
    <t>www.lixinger.com/analytics/company/sh/688306/688306/detail</t>
  </si>
  <si>
    <t>创源股份</t>
  </si>
  <si>
    <t>www.lixinger.com/analytics/company/sz/300703/300703/detail</t>
  </si>
  <si>
    <t>中华企业</t>
  </si>
  <si>
    <t>www.lixinger.com/analytics/company/sh/600675/600675/detail</t>
  </si>
  <si>
    <t>福莱蒽特</t>
  </si>
  <si>
    <t>www.lixinger.com/analytics/company/sh/605566/605566/detail</t>
  </si>
  <si>
    <t>中创环保</t>
  </si>
  <si>
    <t>www.lixinger.com/analytics/company/sz/300056/300056/detail</t>
  </si>
  <si>
    <t>浙江自然</t>
  </si>
  <si>
    <t>娱乐用品</t>
  </si>
  <si>
    <t>www.lixinger.com/analytics/company/sh/605080/605080/detail</t>
  </si>
  <si>
    <t>国发股份</t>
  </si>
  <si>
    <t>www.lixinger.com/analytics/company/sh/600538/600538/detail</t>
  </si>
  <si>
    <t>松井股份</t>
  </si>
  <si>
    <t>www.lixinger.com/analytics/company/sh/688157/688157/detail</t>
  </si>
  <si>
    <t>贵州三力</t>
  </si>
  <si>
    <t>www.lixinger.com/analytics/company/sh/603439/603439/detail</t>
  </si>
  <si>
    <t>大元泵业</t>
  </si>
  <si>
    <t>www.lixinger.com/analytics/company/sh/603757/603757/detail</t>
  </si>
  <si>
    <t>联合光电</t>
  </si>
  <si>
    <t>www.lixinger.com/analytics/company/sz/300691/300691/detail</t>
  </si>
  <si>
    <t>西部创业</t>
  </si>
  <si>
    <t>www.lixinger.com/analytics/company/sz/000557/557/detail</t>
  </si>
  <si>
    <t>卫信康</t>
  </si>
  <si>
    <t>www.lixinger.com/analytics/company/sh/603676/603676/detail</t>
  </si>
  <si>
    <t>梅雁吉祥</t>
  </si>
  <si>
    <t>www.lixinger.com/analytics/company/sh/600868/600868/detail</t>
  </si>
  <si>
    <t>汤姆猫</t>
  </si>
  <si>
    <t>www.lixinger.com/analytics/company/sz/300459/300459/detail</t>
  </si>
  <si>
    <t>厚普股份</t>
  </si>
  <si>
    <t>www.lixinger.com/analytics/company/sz/300471/300471/detail</t>
  </si>
  <si>
    <t>中百集团</t>
  </si>
  <si>
    <t>www.lixinger.com/analytics/company/sz/000759/759/detail</t>
  </si>
  <si>
    <t>仕佳光子</t>
  </si>
  <si>
    <t>www.lixinger.com/analytics/company/sh/688313/688313/detail</t>
  </si>
  <si>
    <t>立方数科</t>
  </si>
  <si>
    <t>www.lixinger.com/analytics/company/sz/300344/300344/detail</t>
  </si>
  <si>
    <t>华培动力</t>
  </si>
  <si>
    <t>www.lixinger.com/analytics/company/sh/603121/603121/detail</t>
  </si>
  <si>
    <t>宏昌科技</t>
  </si>
  <si>
    <t>www.lixinger.com/analytics/company/sz/301008/301008/detail</t>
  </si>
  <si>
    <t>大龙地产</t>
  </si>
  <si>
    <t>www.lixinger.com/analytics/company/sh/600159/600159/detail</t>
  </si>
  <si>
    <t>仙乐健康</t>
  </si>
  <si>
    <t>www.lixinger.com/analytics/company/sz/300791/300791/detail</t>
  </si>
  <si>
    <t>山东钢铁</t>
  </si>
  <si>
    <t>www.lixinger.com/analytics/company/sh/600022/600022/detail</t>
  </si>
  <si>
    <t>瑞松科技</t>
  </si>
  <si>
    <t>www.lixinger.com/analytics/company/sh/688090/688090/detail</t>
  </si>
  <si>
    <t>金力泰</t>
  </si>
  <si>
    <t>www.lixinger.com/analytics/company/sz/300225/300225/detail</t>
  </si>
  <si>
    <t>豫光金铅</t>
  </si>
  <si>
    <t>www.lixinger.com/analytics/company/sh/600531/600531/detail</t>
  </si>
  <si>
    <t>东方银星</t>
  </si>
  <si>
    <t>www.lixinger.com/analytics/company/sh/600753/600753/detail</t>
  </si>
  <si>
    <t>浙江仙通</t>
  </si>
  <si>
    <t>www.lixinger.com/analytics/company/sh/603239/603239/detail</t>
  </si>
  <si>
    <t>名臣健康</t>
  </si>
  <si>
    <t>www.lixinger.com/analytics/company/sz/002919/2919/detail</t>
  </si>
  <si>
    <t>康平科技</t>
  </si>
  <si>
    <t>www.lixinger.com/analytics/company/sz/300907/300907/detail</t>
  </si>
  <si>
    <t>汇源通信</t>
  </si>
  <si>
    <t>www.lixinger.com/analytics/company/sz/000586/586/detail</t>
  </si>
  <si>
    <t>阳普医疗</t>
  </si>
  <si>
    <t>www.lixinger.com/analytics/company/sz/300030/300030/detail</t>
  </si>
  <si>
    <t>铜牛信息</t>
  </si>
  <si>
    <t>www.lixinger.com/analytics/company/sz/300895/300895/detail</t>
  </si>
  <si>
    <t>奕瑞科技</t>
  </si>
  <si>
    <t>www.lixinger.com/analytics/company/sh/688301/688301/detail</t>
  </si>
  <si>
    <t>倍杰特</t>
  </si>
  <si>
    <t>www.lixinger.com/analytics/company/sz/300774/300774/detail</t>
  </si>
  <si>
    <t>宝莱特</t>
  </si>
  <si>
    <t>www.lixinger.com/analytics/company/sz/300246/300246/detail</t>
  </si>
  <si>
    <t>汇中股份</t>
  </si>
  <si>
    <t>www.lixinger.com/analytics/company/sz/300371/300371/detail</t>
  </si>
  <si>
    <t>华是科技</t>
  </si>
  <si>
    <t>www.lixinger.com/analytics/company/sz/301218/301218/detail</t>
  </si>
  <si>
    <t>路德环境</t>
  </si>
  <si>
    <t>www.lixinger.com/analytics/company/sh/688156/688156/detail</t>
  </si>
  <si>
    <t>联明股份</t>
  </si>
  <si>
    <t>www.lixinger.com/analytics/company/sh/603006/603006/detail</t>
  </si>
  <si>
    <t>雄帝科技</t>
  </si>
  <si>
    <t>www.lixinger.com/analytics/company/sz/300546/300546/detail</t>
  </si>
  <si>
    <t>南国置业</t>
  </si>
  <si>
    <t>www.lixinger.com/analytics/company/sz/002305/2305/detail</t>
  </si>
  <si>
    <t>深大通</t>
  </si>
  <si>
    <t>www.lixinger.com/analytics/company/sz/000038/38/detail</t>
  </si>
  <si>
    <t>五矿稀土</t>
  </si>
  <si>
    <t>www.lixinger.com/analytics/company/sz/000831/831/detail</t>
  </si>
  <si>
    <t>福光股份</t>
  </si>
  <si>
    <t>www.lixinger.com/analytics/company/sh/688010/688010/detail</t>
  </si>
  <si>
    <t>江龙船艇</t>
  </si>
  <si>
    <t>www.lixinger.com/analytics/company/sz/300589/300589/detail</t>
  </si>
  <si>
    <t>ST北文</t>
  </si>
  <si>
    <t>www.lixinger.com/analytics/company/sz/000802/802/detail</t>
  </si>
  <si>
    <t>美盛文化</t>
  </si>
  <si>
    <t>www.lixinger.com/analytics/company/sz/002699/2699/detail</t>
  </si>
  <si>
    <t>赛象科技</t>
  </si>
  <si>
    <t>www.lixinger.com/analytics/company/sz/002337/2337/detail</t>
  </si>
  <si>
    <t>科创信息</t>
  </si>
  <si>
    <t>www.lixinger.com/analytics/company/sz/300730/300730/detail</t>
  </si>
  <si>
    <t>理工导航</t>
  </si>
  <si>
    <t>www.lixinger.com/analytics/company/sh/688282/688282/detail</t>
  </si>
  <si>
    <t>华峰测控</t>
  </si>
  <si>
    <t>www.lixinger.com/analytics/company/sh/688200/688200/detail</t>
  </si>
  <si>
    <t>矩子科技</t>
  </si>
  <si>
    <t>www.lixinger.com/analytics/company/sz/300802/300802/detail</t>
  </si>
  <si>
    <t>元琛科技</t>
  </si>
  <si>
    <t>www.lixinger.com/analytics/company/sh/688659/688659/detail</t>
  </si>
  <si>
    <t>联创股份</t>
  </si>
  <si>
    <t>www.lixinger.com/analytics/company/sz/300343/300343/detail</t>
  </si>
  <si>
    <t>力生制药</t>
  </si>
  <si>
    <t>www.lixinger.com/analytics/company/sz/002393/2393/detail</t>
  </si>
  <si>
    <t>中瓷电子</t>
  </si>
  <si>
    <t>www.lixinger.com/analytics/company/sz/003031/3031/detail</t>
  </si>
  <si>
    <t>雪天盐业</t>
  </si>
  <si>
    <t>www.lixinger.com/analytics/company/sh/600929/600929/detail</t>
  </si>
  <si>
    <t>久之洋</t>
  </si>
  <si>
    <t>www.lixinger.com/analytics/company/sz/300516/300516/detail</t>
  </si>
  <si>
    <t>益盛药业</t>
  </si>
  <si>
    <t>www.lixinger.com/analytics/company/sz/002566/2566/detail</t>
  </si>
  <si>
    <t>安必平</t>
  </si>
  <si>
    <t>www.lixinger.com/analytics/company/sh/688393/688393/detail</t>
  </si>
  <si>
    <t>森远股份</t>
  </si>
  <si>
    <t>www.lixinger.com/analytics/company/sz/300210/300210/detail</t>
  </si>
  <si>
    <t>浩丰科技</t>
  </si>
  <si>
    <t>www.lixinger.com/analytics/company/sz/300419/300419/detail</t>
  </si>
  <si>
    <t>福晶科技</t>
  </si>
  <si>
    <t>www.lixinger.com/analytics/company/sz/002222/2222/detail</t>
  </si>
  <si>
    <t>合肥城建</t>
  </si>
  <si>
    <t>www.lixinger.com/analytics/company/sz/002208/2208/detail</t>
  </si>
  <si>
    <t>普联软件</t>
  </si>
  <si>
    <t>www.lixinger.com/analytics/company/sz/300996/300996/detail</t>
  </si>
  <si>
    <t>佳缘科技</t>
  </si>
  <si>
    <t>www.lixinger.com/analytics/company/sz/301117/301117/detail</t>
  </si>
  <si>
    <t>富邦股份</t>
  </si>
  <si>
    <t>www.lixinger.com/analytics/company/sz/300387/300387/detail</t>
  </si>
  <si>
    <t>力芯微</t>
  </si>
  <si>
    <t>www.lixinger.com/analytics/company/sh/688601/688601/detail</t>
  </si>
  <si>
    <t>杰恩设计</t>
  </si>
  <si>
    <t>www.lixinger.com/analytics/company/sz/300668/300668/detail</t>
  </si>
  <si>
    <t>泰恩康</t>
  </si>
  <si>
    <t>www.lixinger.com/analytics/company/sz/301263/301263/detail</t>
  </si>
  <si>
    <t>天迈科技</t>
  </si>
  <si>
    <t>www.lixinger.com/analytics/company/sz/300807/300807/detail</t>
  </si>
  <si>
    <t>兆威机电</t>
  </si>
  <si>
    <t>www.lixinger.com/analytics/company/sz/003021/3021/detail</t>
  </si>
  <si>
    <t>天娱数科</t>
  </si>
  <si>
    <t>www.lixinger.com/analytics/company/sz/002354/2354/detail</t>
  </si>
  <si>
    <t>同飞股份</t>
  </si>
  <si>
    <t>www.lixinger.com/analytics/company/sz/300990/300990/detail</t>
  </si>
  <si>
    <t>天虹股份</t>
  </si>
  <si>
    <t>www.lixinger.com/analytics/company/sz/002419/2419/detail</t>
  </si>
  <si>
    <t>神宇股份</t>
  </si>
  <si>
    <t>www.lixinger.com/analytics/company/sz/300563/300563/detail</t>
  </si>
  <si>
    <t>张裕Ｂ</t>
  </si>
  <si>
    <t>www.lixinger.com/analytics/company/sz/200869/200869/detail</t>
  </si>
  <si>
    <t>湘佳股份</t>
  </si>
  <si>
    <t>www.lixinger.com/analytics/company/sz/002982/2982/detail</t>
  </si>
  <si>
    <t>牧高笛</t>
  </si>
  <si>
    <t>www.lixinger.com/analytics/company/sh/603908/603908/detail</t>
  </si>
  <si>
    <t>晶华新材</t>
  </si>
  <si>
    <t>www.lixinger.com/analytics/company/sh/603683/603683/detail</t>
  </si>
  <si>
    <t>力合微</t>
  </si>
  <si>
    <t>www.lixinger.com/analytics/company/sh/688589/688589/detail</t>
  </si>
  <si>
    <t>京华激光</t>
  </si>
  <si>
    <t>www.lixinger.com/analytics/company/sh/603607/603607/detail</t>
  </si>
  <si>
    <t>中银证券</t>
  </si>
  <si>
    <t>www.lixinger.com/analytics/company/sh/601696/601696/detail</t>
  </si>
  <si>
    <t>中金黄金</t>
  </si>
  <si>
    <t>www.lixinger.com/analytics/company/sh/600489/600489/detail</t>
  </si>
  <si>
    <t>安正时尚</t>
  </si>
  <si>
    <t>www.lixinger.com/analytics/company/sh/603839/603839/detail</t>
  </si>
  <si>
    <t>晶丰明源</t>
  </si>
  <si>
    <t>www.lixinger.com/analytics/company/sh/688368/688368/detail</t>
  </si>
  <si>
    <t>信安世纪</t>
  </si>
  <si>
    <t>www.lixinger.com/analytics/company/sh/688201/688201/detail</t>
  </si>
  <si>
    <t>新天药业</t>
  </si>
  <si>
    <t>www.lixinger.com/analytics/company/sz/002873/2873/detail</t>
  </si>
  <si>
    <t>科思股份</t>
  </si>
  <si>
    <t>www.lixinger.com/analytics/company/sz/300856/300856/detail</t>
  </si>
  <si>
    <t>天地在线</t>
  </si>
  <si>
    <t>www.lixinger.com/analytics/company/sz/002995/2995/detail</t>
  </si>
  <si>
    <t>耐普矿机</t>
  </si>
  <si>
    <t>www.lixinger.com/analytics/company/sz/300818/300818/detail</t>
  </si>
  <si>
    <t>申联生物</t>
  </si>
  <si>
    <t>www.lixinger.com/analytics/company/sh/688098/688098/detail</t>
  </si>
  <si>
    <t>万通智控</t>
  </si>
  <si>
    <t>www.lixinger.com/analytics/company/sz/300643/300643/detail</t>
  </si>
  <si>
    <t>安博通</t>
  </si>
  <si>
    <t>www.lixinger.com/analytics/company/sh/688168/688168/detail</t>
  </si>
  <si>
    <t>铜峰电子</t>
  </si>
  <si>
    <t>www.lixinger.com/analytics/company/sh/600237/600237/detail</t>
  </si>
  <si>
    <t>家联科技</t>
  </si>
  <si>
    <t>www.lixinger.com/analytics/company/sz/301193/301193/detail</t>
  </si>
  <si>
    <t>博迁新材</t>
  </si>
  <si>
    <t>www.lixinger.com/analytics/company/sh/605376/605376/detail</t>
  </si>
  <si>
    <t>嘉友国际</t>
  </si>
  <si>
    <t>www.lixinger.com/analytics/company/sh/603871/603871/detail</t>
  </si>
  <si>
    <t>唐源电气</t>
  </si>
  <si>
    <t>www.lixinger.com/analytics/company/sz/300789/300789/detail</t>
  </si>
  <si>
    <t>光智科技</t>
  </si>
  <si>
    <t>www.lixinger.com/analytics/company/sz/300489/300489/detail</t>
  </si>
  <si>
    <t>龙磁科技</t>
  </si>
  <si>
    <t>www.lixinger.com/analytics/company/sz/300835/300835/detail</t>
  </si>
  <si>
    <t>舒华体育</t>
  </si>
  <si>
    <t>www.lixinger.com/analytics/company/sh/605299/605299/detail</t>
  </si>
  <si>
    <t>朗姿股份</t>
  </si>
  <si>
    <t>www.lixinger.com/analytics/company/sz/002612/2612/detail</t>
  </si>
  <si>
    <t>东信和平</t>
  </si>
  <si>
    <t>www.lixinger.com/analytics/company/sz/002017/2017/detail</t>
  </si>
  <si>
    <t>欧圣电气</t>
  </si>
  <si>
    <t>www.lixinger.com/analytics/company/sz/301187/301187/detail</t>
  </si>
  <si>
    <t>万胜智能</t>
  </si>
  <si>
    <t>www.lixinger.com/analytics/company/sz/300882/300882/detail</t>
  </si>
  <si>
    <t>金沃股份</t>
  </si>
  <si>
    <t>www.lixinger.com/analytics/company/sz/300984/300984/detail</t>
  </si>
  <si>
    <t>双飞股份</t>
  </si>
  <si>
    <t>www.lixinger.com/analytics/company/sz/300817/300817/detail</t>
  </si>
  <si>
    <t>宇晶股份</t>
  </si>
  <si>
    <t>www.lixinger.com/analytics/company/sz/002943/2943/detail</t>
  </si>
  <si>
    <t>东方集团</t>
  </si>
  <si>
    <t>www.lixinger.com/analytics/company/sh/600811/600811/detail</t>
  </si>
  <si>
    <t>誉衡药业</t>
  </si>
  <si>
    <t>www.lixinger.com/analytics/company/sz/002437/2437/detail</t>
  </si>
  <si>
    <t>光库科技</t>
  </si>
  <si>
    <t>www.lixinger.com/analytics/company/sz/300620/300620/detail</t>
  </si>
  <si>
    <t>美联新材</t>
  </si>
  <si>
    <t>www.lixinger.com/analytics/company/sz/300586/300586/detail</t>
  </si>
  <si>
    <t>黔源电力</t>
  </si>
  <si>
    <t>www.lixinger.com/analytics/company/sz/002039/2039/detail</t>
  </si>
  <si>
    <t>国立科技</t>
  </si>
  <si>
    <t>www.lixinger.com/analytics/company/sz/300716/300716/detail</t>
  </si>
  <si>
    <t>银河微电</t>
  </si>
  <si>
    <t>www.lixinger.com/analytics/company/sh/688689/688689/detail</t>
  </si>
  <si>
    <t>新华联</t>
  </si>
  <si>
    <t>www.lixinger.com/analytics/company/sz/000620/620/detail</t>
  </si>
  <si>
    <t>东兴证券</t>
  </si>
  <si>
    <t>www.lixinger.com/analytics/company/sh/601198/601198/detail</t>
  </si>
  <si>
    <t>澜起科技</t>
  </si>
  <si>
    <t>www.lixinger.com/analytics/company/sh/688008/688008/detail</t>
  </si>
  <si>
    <t>珠江钢琴</t>
  </si>
  <si>
    <t>www.lixinger.com/analytics/company/sz/002678/2678/detail</t>
  </si>
  <si>
    <t>云涌科技</t>
  </si>
  <si>
    <t>www.lixinger.com/analytics/company/sh/688060/688060/detail</t>
  </si>
  <si>
    <t>声迅股份</t>
  </si>
  <si>
    <t>www.lixinger.com/analytics/company/sz/003004/3004/detail</t>
  </si>
  <si>
    <t>山东黄金</t>
  </si>
  <si>
    <t>www.lixinger.com/analytics/company/sh/600547/600547/detail</t>
  </si>
  <si>
    <t>全通教育</t>
  </si>
  <si>
    <t>www.lixinger.com/analytics/company/sz/300359/300359/detail</t>
  </si>
  <si>
    <t>国民技术</t>
  </si>
  <si>
    <t>www.lixinger.com/analytics/company/sz/300077/300077/detail</t>
  </si>
  <si>
    <t>华生科技</t>
  </si>
  <si>
    <t>www.lixinger.com/analytics/company/sh/605180/605180/detail</t>
  </si>
  <si>
    <t>鼎通科技</t>
  </si>
  <si>
    <t>www.lixinger.com/analytics/company/sh/688668/688668/detail</t>
  </si>
  <si>
    <t>小商品城</t>
  </si>
  <si>
    <t>www.lixinger.com/analytics/company/sh/600415/600415/detail</t>
  </si>
  <si>
    <t>皓元医药</t>
  </si>
  <si>
    <t>www.lixinger.com/analytics/company/sh/688131/688131/detail</t>
  </si>
  <si>
    <t>利德曼</t>
  </si>
  <si>
    <t>www.lixinger.com/analytics/company/sz/300289/300289/detail</t>
  </si>
  <si>
    <t>ST中捷</t>
  </si>
  <si>
    <t>www.lixinger.com/analytics/company/sz/002021/2021/detail</t>
  </si>
  <si>
    <t>开普云</t>
  </si>
  <si>
    <t>www.lixinger.com/analytics/company/sh/688228/688228/detail</t>
  </si>
  <si>
    <t>左江科技</t>
  </si>
  <si>
    <t>www.lixinger.com/analytics/company/sz/300799/300799/detail</t>
  </si>
  <si>
    <t>世嘉科技</t>
  </si>
  <si>
    <t>www.lixinger.com/analytics/company/sz/002796/2796/detail</t>
  </si>
  <si>
    <t>三只松鼠</t>
  </si>
  <si>
    <t>www.lixinger.com/analytics/company/sz/300783/300783/detail</t>
  </si>
  <si>
    <t>盛洋科技</t>
  </si>
  <si>
    <t>www.lixinger.com/analytics/company/sh/603703/603703/detail</t>
  </si>
  <si>
    <t>斯瑞新材</t>
  </si>
  <si>
    <t>www.lixinger.com/analytics/company/sh/688102/688102/detail</t>
  </si>
  <si>
    <t>蓝英装备</t>
  </si>
  <si>
    <t>www.lixinger.com/analytics/company/sz/300293/300293/detail</t>
  </si>
  <si>
    <t>横河精密</t>
  </si>
  <si>
    <t>www.lixinger.com/analytics/company/sz/300539/300539/detail</t>
  </si>
  <si>
    <t>国芯科技</t>
  </si>
  <si>
    <t>www.lixinger.com/analytics/company/sh/688262/688262/detail</t>
  </si>
  <si>
    <t>英科再生</t>
  </si>
  <si>
    <t>www.lixinger.com/analytics/company/sh/688087/688087/detail</t>
  </si>
  <si>
    <t>中体产业</t>
  </si>
  <si>
    <t>www.lixinger.com/analytics/company/sh/600158/600158/detail</t>
  </si>
  <si>
    <t>地铁设计</t>
  </si>
  <si>
    <t>www.lixinger.com/analytics/company/sz/003013/3013/detail</t>
  </si>
  <si>
    <t>重庆百货</t>
  </si>
  <si>
    <t>www.lixinger.com/analytics/company/sh/600729/600729/detail</t>
  </si>
  <si>
    <t>汇纳科技</t>
  </si>
  <si>
    <t>www.lixinger.com/analytics/company/sz/300609/300609/detail</t>
  </si>
  <si>
    <t>友邦吊顶</t>
  </si>
  <si>
    <t>www.lixinger.com/analytics/company/sz/002718/2718/detail</t>
  </si>
  <si>
    <t>一品红</t>
  </si>
  <si>
    <t>www.lixinger.com/analytics/company/sz/300723/300723/detail</t>
  </si>
  <si>
    <t>初灵信息</t>
  </si>
  <si>
    <t>www.lixinger.com/analytics/company/sz/300250/300250/detail</t>
  </si>
  <si>
    <t>盐津铺子</t>
  </si>
  <si>
    <t>www.lixinger.com/analytics/company/sz/002847/2847/detail</t>
  </si>
  <si>
    <t>新华百货</t>
  </si>
  <si>
    <t>www.lixinger.com/analytics/company/sh/600785/600785/detail</t>
  </si>
  <si>
    <t>瑞丰新材</t>
  </si>
  <si>
    <t>www.lixinger.com/analytics/company/sz/300910/300910/detail</t>
  </si>
  <si>
    <t>农产品</t>
  </si>
  <si>
    <t>www.lixinger.com/analytics/company/sz/000061/61/detail</t>
  </si>
  <si>
    <t>高斯贝尔</t>
  </si>
  <si>
    <t>www.lixinger.com/analytics/company/sz/002848/2848/detail</t>
  </si>
  <si>
    <t>安妮股份</t>
  </si>
  <si>
    <t>www.lixinger.com/analytics/company/sz/002235/2235/detail</t>
  </si>
  <si>
    <t>上海艾录</t>
  </si>
  <si>
    <t>www.lixinger.com/analytics/company/sz/301062/301062/detail</t>
  </si>
  <si>
    <t>顶固集创</t>
  </si>
  <si>
    <t>www.lixinger.com/analytics/company/sz/300749/300749/detail</t>
  </si>
  <si>
    <t>润禾材料</t>
  </si>
  <si>
    <t>www.lixinger.com/analytics/company/sz/300727/300727/detail</t>
  </si>
  <si>
    <t>蓝天燃气</t>
  </si>
  <si>
    <t>www.lixinger.com/analytics/company/sh/605368/605368/detail</t>
  </si>
  <si>
    <t>百亚股份</t>
  </si>
  <si>
    <t>www.lixinger.com/analytics/company/sz/003006/3006/detail</t>
  </si>
  <si>
    <t>四会富仕</t>
  </si>
  <si>
    <t>www.lixinger.com/analytics/company/sz/300852/300852/detail</t>
  </si>
  <si>
    <t>金百泽</t>
  </si>
  <si>
    <t>www.lixinger.com/analytics/company/sz/301041/301041/detail</t>
  </si>
  <si>
    <t>迦南智能</t>
  </si>
  <si>
    <t>www.lixinger.com/analytics/company/sz/300880/300880/detail</t>
  </si>
  <si>
    <t>漫步者</t>
  </si>
  <si>
    <t>www.lixinger.com/analytics/company/sz/002351/2351/detail</t>
  </si>
  <si>
    <t>菱电电控</t>
  </si>
  <si>
    <t>www.lixinger.com/analytics/company/sh/688667/688667/detail</t>
  </si>
  <si>
    <t>因赛集团</t>
  </si>
  <si>
    <t>www.lixinger.com/analytics/company/sz/300781/300781/detail</t>
  </si>
  <si>
    <t>芯源微</t>
  </si>
  <si>
    <t>www.lixinger.com/analytics/company/sh/688037/688037/detail</t>
  </si>
  <si>
    <t>必得科技</t>
  </si>
  <si>
    <t>www.lixinger.com/analytics/company/sh/605298/605298/detail</t>
  </si>
  <si>
    <t>聚力文化</t>
  </si>
  <si>
    <t>www.lixinger.com/analytics/company/sz/002247/2247/detail</t>
  </si>
  <si>
    <t>芳源股份</t>
  </si>
  <si>
    <t>www.lixinger.com/analytics/company/sh/688148/688148/detail</t>
  </si>
  <si>
    <t>天禄科技</t>
  </si>
  <si>
    <t>www.lixinger.com/analytics/company/sz/301045/301045/detail</t>
  </si>
  <si>
    <t>艾可蓝</t>
  </si>
  <si>
    <t>www.lixinger.com/analytics/company/sz/300816/300816/detail</t>
  </si>
  <si>
    <t>安集科技</t>
  </si>
  <si>
    <t>www.lixinger.com/analytics/company/sh/688019/688019/detail</t>
  </si>
  <si>
    <t>交大思诺</t>
  </si>
  <si>
    <t>www.lixinger.com/analytics/company/sz/300851/300851/detail</t>
  </si>
  <si>
    <t>开立医疗</t>
  </si>
  <si>
    <t>www.lixinger.com/analytics/company/sz/300633/300633/detail</t>
  </si>
  <si>
    <t>绿田机械</t>
  </si>
  <si>
    <t>www.lixinger.com/analytics/company/sh/605259/605259/detail</t>
  </si>
  <si>
    <t>普丽盛</t>
  </si>
  <si>
    <t>www.lixinger.com/analytics/company/sz/300442/300442/detail</t>
  </si>
  <si>
    <t>征和工业</t>
  </si>
  <si>
    <t>www.lixinger.com/analytics/company/sz/003033/3033/detail</t>
  </si>
  <si>
    <t>双塔食品</t>
  </si>
  <si>
    <t>www.lixinger.com/analytics/company/sz/002481/2481/detail</t>
  </si>
  <si>
    <t>瀛通通讯</t>
  </si>
  <si>
    <t>www.lixinger.com/analytics/company/sz/002861/2861/detail</t>
  </si>
  <si>
    <t>思林杰</t>
  </si>
  <si>
    <t>www.lixinger.com/analytics/company/sh/688115/688115/detail</t>
  </si>
  <si>
    <t>宏盛股份</t>
  </si>
  <si>
    <t>www.lixinger.com/analytics/company/sh/603090/603090/detail</t>
  </si>
  <si>
    <t>锌业股份</t>
  </si>
  <si>
    <t>www.lixinger.com/analytics/company/sz/000751/751/detail</t>
  </si>
  <si>
    <t>易天股份</t>
  </si>
  <si>
    <t>www.lixinger.com/analytics/company/sz/300812/300812/detail</t>
  </si>
  <si>
    <t>易瑞生物</t>
  </si>
  <si>
    <t>www.lixinger.com/analytics/company/sz/300942/300942/detail</t>
  </si>
  <si>
    <t>煜邦电力</t>
  </si>
  <si>
    <t>www.lixinger.com/analytics/company/sh/688597/688597/detail</t>
  </si>
  <si>
    <t>太辰光</t>
  </si>
  <si>
    <t>www.lixinger.com/analytics/company/sz/300570/300570/detail</t>
  </si>
  <si>
    <t>新疆天业</t>
  </si>
  <si>
    <t>www.lixinger.com/analytics/company/sh/600075/600075/detail</t>
  </si>
  <si>
    <t>萃华珠宝</t>
  </si>
  <si>
    <t>www.lixinger.com/analytics/company/sz/002731/2731/detail</t>
  </si>
  <si>
    <t>喜悦智行</t>
  </si>
  <si>
    <t>www.lixinger.com/analytics/company/sz/301198/301198/detail</t>
  </si>
  <si>
    <t>元利科技</t>
  </si>
  <si>
    <t>www.lixinger.com/analytics/company/sh/603217/603217/detail</t>
  </si>
  <si>
    <t>汉邦高科</t>
  </si>
  <si>
    <t>www.lixinger.com/analytics/company/sz/300449/300449/detail</t>
  </si>
  <si>
    <t>景峰医药</t>
  </si>
  <si>
    <t>www.lixinger.com/analytics/company/sz/000908/908/detail</t>
  </si>
  <si>
    <t>江南水务</t>
  </si>
  <si>
    <t>www.lixinger.com/analytics/company/sh/601199/601199/detail</t>
  </si>
  <si>
    <t>奥翔药业</t>
  </si>
  <si>
    <t>www.lixinger.com/analytics/company/sh/603229/603229/detail</t>
  </si>
  <si>
    <t>元成股份</t>
  </si>
  <si>
    <t>www.lixinger.com/analytics/company/sh/603388/603388/detail</t>
  </si>
  <si>
    <t>恒通股份</t>
  </si>
  <si>
    <t>www.lixinger.com/analytics/company/sh/603223/603223/detail</t>
  </si>
  <si>
    <t>新城市</t>
  </si>
  <si>
    <t>www.lixinger.com/analytics/company/sz/300778/300778/detail</t>
  </si>
  <si>
    <t>大众交通</t>
  </si>
  <si>
    <t>www.lixinger.com/analytics/company/sh/600611/600611/detail</t>
  </si>
  <si>
    <t>*ST德威</t>
  </si>
  <si>
    <t>www.lixinger.com/analytics/company/sz/300325/300325/detail</t>
  </si>
  <si>
    <t>贤丰控股</t>
  </si>
  <si>
    <t>www.lixinger.com/analytics/company/sz/002141/2141/detail</t>
  </si>
  <si>
    <t>晨光新材</t>
  </si>
  <si>
    <t>www.lixinger.com/analytics/company/sh/605399/605399/detail</t>
  </si>
  <si>
    <t>凌霄泵业</t>
  </si>
  <si>
    <t>www.lixinger.com/analytics/company/sz/002884/2884/detail</t>
  </si>
  <si>
    <t>康弘药业</t>
  </si>
  <si>
    <t>www.lixinger.com/analytics/company/sz/002773/2773/detail</t>
  </si>
  <si>
    <t>连云港</t>
  </si>
  <si>
    <t>www.lixinger.com/analytics/company/sh/601008/601008/detail</t>
  </si>
  <si>
    <t>杭州园林</t>
  </si>
  <si>
    <t>www.lixinger.com/analytics/company/sz/300649/300649/detail</t>
  </si>
  <si>
    <t>如通股份</t>
  </si>
  <si>
    <t>www.lixinger.com/analytics/company/sh/603036/603036/detail</t>
  </si>
  <si>
    <t>南山智尚</t>
  </si>
  <si>
    <t>www.lixinger.com/analytics/company/sz/300918/300918/detail</t>
  </si>
  <si>
    <t>容知日新</t>
  </si>
  <si>
    <t>www.lixinger.com/analytics/company/sh/688768/688768/detail</t>
  </si>
  <si>
    <t>*ST索菱</t>
  </si>
  <si>
    <t>www.lixinger.com/analytics/company/sz/002766/2766/detail</t>
  </si>
  <si>
    <t>达刚控股</t>
  </si>
  <si>
    <t>www.lixinger.com/analytics/company/sz/300103/300103/detail</t>
  </si>
  <si>
    <t>华森制药</t>
  </si>
  <si>
    <t>www.lixinger.com/analytics/company/sz/002907/2907/detail</t>
  </si>
  <si>
    <t>建科机械</t>
  </si>
  <si>
    <t>www.lixinger.com/analytics/company/sz/300823/300823/detail</t>
  </si>
  <si>
    <t>ST云投</t>
  </si>
  <si>
    <t>www.lixinger.com/analytics/company/sz/002200/2200/detail</t>
  </si>
  <si>
    <t>聚合顺</t>
  </si>
  <si>
    <t>www.lixinger.com/analytics/company/sh/605166/605166/detail</t>
  </si>
  <si>
    <t>世荣兆业</t>
  </si>
  <si>
    <t>www.lixinger.com/analytics/company/sz/002016/2016/detail</t>
  </si>
  <si>
    <t>海泰科</t>
  </si>
  <si>
    <t>www.lixinger.com/analytics/company/sz/301022/301022/detail</t>
  </si>
  <si>
    <t>东方钽业</t>
  </si>
  <si>
    <t>www.lixinger.com/analytics/company/sz/000962/962/detail</t>
  </si>
  <si>
    <t>宏创控股</t>
  </si>
  <si>
    <t>www.lixinger.com/analytics/company/sz/002379/2379/detail</t>
  </si>
  <si>
    <t>达威股份</t>
  </si>
  <si>
    <t>www.lixinger.com/analytics/company/sz/300535/300535/detail</t>
  </si>
  <si>
    <t>拱东医疗</t>
  </si>
  <si>
    <t>www.lixinger.com/analytics/company/sh/605369/605369/detail</t>
  </si>
  <si>
    <t>东港股份</t>
  </si>
  <si>
    <t>www.lixinger.com/analytics/company/sz/002117/2117/detail</t>
  </si>
  <si>
    <t>青松建化</t>
  </si>
  <si>
    <t>www.lixinger.com/analytics/company/sh/600425/600425/detail</t>
  </si>
  <si>
    <t>石英股份</t>
  </si>
  <si>
    <t>www.lixinger.com/analytics/company/sh/603688/603688/detail</t>
  </si>
  <si>
    <t>*ST网力</t>
  </si>
  <si>
    <t>www.lixinger.com/analytics/company/sz/300367/300367/detail</t>
  </si>
  <si>
    <t>壹石通</t>
  </si>
  <si>
    <t>www.lixinger.com/analytics/company/sh/688733/688733/detail</t>
  </si>
  <si>
    <t>建业股份</t>
  </si>
  <si>
    <t>www.lixinger.com/analytics/company/sh/603948/603948/detail</t>
  </si>
  <si>
    <t>实益达</t>
  </si>
  <si>
    <t>www.lixinger.com/analytics/company/sz/002137/2137/detail</t>
  </si>
  <si>
    <t>立霸股份</t>
  </si>
  <si>
    <t>www.lixinger.com/analytics/company/sh/603519/603519/detail</t>
  </si>
  <si>
    <t>福成股份</t>
  </si>
  <si>
    <t>www.lixinger.com/analytics/company/sh/600965/600965/detail</t>
  </si>
  <si>
    <t>长华股份</t>
  </si>
  <si>
    <t>www.lixinger.com/analytics/company/sh/605018/605018/detail</t>
  </si>
  <si>
    <t>湖南天雁</t>
  </si>
  <si>
    <t>www.lixinger.com/analytics/company/sh/600698/600698/detail</t>
  </si>
  <si>
    <t>明志科技</t>
  </si>
  <si>
    <t>www.lixinger.com/analytics/company/sh/688355/688355/detail</t>
  </si>
  <si>
    <t>安车检测</t>
  </si>
  <si>
    <t>www.lixinger.com/analytics/company/sz/300572/300572/detail</t>
  </si>
  <si>
    <t>恒玄科技</t>
  </si>
  <si>
    <t>www.lixinger.com/analytics/company/sh/688608/688608/detail</t>
  </si>
  <si>
    <t>视源股份</t>
  </si>
  <si>
    <t>www.lixinger.com/analytics/company/sz/002841/2841/detail</t>
  </si>
  <si>
    <t>双乐股份</t>
  </si>
  <si>
    <t>www.lixinger.com/analytics/company/sz/301036/301036/detail</t>
  </si>
  <si>
    <t>德马科技</t>
  </si>
  <si>
    <t>www.lixinger.com/analytics/company/sh/688360/688360/detail</t>
  </si>
  <si>
    <t>立航科技</t>
  </si>
  <si>
    <t>www.lixinger.com/analytics/company/sh/603261/603261/detail</t>
  </si>
  <si>
    <t>诺邦股份</t>
  </si>
  <si>
    <t>www.lixinger.com/analytics/company/sh/603238/603238/detail</t>
  </si>
  <si>
    <t>深粮B</t>
  </si>
  <si>
    <t>www.lixinger.com/analytics/company/sz/200019/200019/detail</t>
  </si>
  <si>
    <t>鲁北化工</t>
  </si>
  <si>
    <t>www.lixinger.com/analytics/company/sh/600727/600727/detail</t>
  </si>
  <si>
    <t>淳中科技</t>
  </si>
  <si>
    <t>www.lixinger.com/analytics/company/sh/603516/603516/detail</t>
  </si>
  <si>
    <t>*ST云城</t>
  </si>
  <si>
    <t>www.lixinger.com/analytics/company/sh/600239/600239/detail</t>
  </si>
  <si>
    <t>广济药业</t>
  </si>
  <si>
    <t>www.lixinger.com/analytics/company/sz/000952/952/detail</t>
  </si>
  <si>
    <t>彩讯股份</t>
  </si>
  <si>
    <t>www.lixinger.com/analytics/company/sz/300634/300634/detail</t>
  </si>
  <si>
    <t>南风股份</t>
  </si>
  <si>
    <t>www.lixinger.com/analytics/company/sz/300004/300004/detail</t>
  </si>
  <si>
    <t>万东医疗</t>
  </si>
  <si>
    <t>www.lixinger.com/analytics/company/sh/600055/600055/detail</t>
  </si>
  <si>
    <t>普冉股份</t>
  </si>
  <si>
    <t>www.lixinger.com/analytics/company/sh/688766/688766/detail</t>
  </si>
  <si>
    <t>奥普光电</t>
  </si>
  <si>
    <t>www.lixinger.com/analytics/company/sz/002338/2338/detail</t>
  </si>
  <si>
    <t>必创科技</t>
  </si>
  <si>
    <t>www.lixinger.com/analytics/company/sz/300667/300667/detail</t>
  </si>
  <si>
    <t>奇正藏药</t>
  </si>
  <si>
    <t>www.lixinger.com/analytics/company/sz/002287/2287/detail</t>
  </si>
  <si>
    <t>华谊兄弟</t>
  </si>
  <si>
    <t>www.lixinger.com/analytics/company/sz/300027/300027/detail</t>
  </si>
  <si>
    <t>大港股份</t>
  </si>
  <si>
    <t>www.lixinger.com/analytics/company/sz/002077/2077/detail</t>
  </si>
  <si>
    <t>德宏股份</t>
  </si>
  <si>
    <t>www.lixinger.com/analytics/company/sh/603701/603701/detail</t>
  </si>
  <si>
    <t>中青宝</t>
  </si>
  <si>
    <t>www.lixinger.com/analytics/company/sz/300052/300052/detail</t>
  </si>
  <si>
    <t>宏德股份</t>
  </si>
  <si>
    <t>www.lixinger.com/analytics/company/sz/301163/301163/detail</t>
  </si>
  <si>
    <t>普元信息</t>
  </si>
  <si>
    <t>www.lixinger.com/analytics/company/sh/688118/688118/detail</t>
  </si>
  <si>
    <t>每日互动</t>
  </si>
  <si>
    <t>www.lixinger.com/analytics/company/sz/300766/300766/detail</t>
  </si>
  <si>
    <t>东宝生物</t>
  </si>
  <si>
    <t>www.lixinger.com/analytics/company/sz/300239/300239/detail</t>
  </si>
  <si>
    <t>聆达股份</t>
  </si>
  <si>
    <t>www.lixinger.com/analytics/company/sz/300125/300125/detail</t>
  </si>
  <si>
    <t>豪悦护理</t>
  </si>
  <si>
    <t>www.lixinger.com/analytics/company/sh/605009/605009/detail</t>
  </si>
  <si>
    <t>国力股份</t>
  </si>
  <si>
    <t>www.lixinger.com/analytics/company/sh/688103/688103/detail</t>
  </si>
  <si>
    <t>共同药业</t>
  </si>
  <si>
    <t>www.lixinger.com/analytics/company/sz/300966/300966/detail</t>
  </si>
  <si>
    <t>川大智胜</t>
  </si>
  <si>
    <t>www.lixinger.com/analytics/company/sz/002253/2253/detail</t>
  </si>
  <si>
    <t>天泽信息</t>
  </si>
  <si>
    <t>www.lixinger.com/analytics/company/sz/300209/300209/detail</t>
  </si>
  <si>
    <t>民德电子</t>
  </si>
  <si>
    <t>www.lixinger.com/analytics/company/sz/300656/300656/detail</t>
  </si>
  <si>
    <t>爱慕股份</t>
  </si>
  <si>
    <t>www.lixinger.com/analytics/company/sh/603511/603511/detail</t>
  </si>
  <si>
    <t>迈拓股份</t>
  </si>
  <si>
    <t>www.lixinger.com/analytics/company/sz/301006/301006/detail</t>
  </si>
  <si>
    <t>新特电气</t>
  </si>
  <si>
    <t>www.lixinger.com/analytics/company/sz/301120/301120/detail</t>
  </si>
  <si>
    <t>强力新材</t>
  </si>
  <si>
    <t>www.lixinger.com/analytics/company/sz/300429/300429/detail</t>
  </si>
  <si>
    <t>国脉科技</t>
  </si>
  <si>
    <t>www.lixinger.com/analytics/company/sz/002093/2093/detail</t>
  </si>
  <si>
    <t>新通联</t>
  </si>
  <si>
    <t>www.lixinger.com/analytics/company/sh/603022/603022/detail</t>
  </si>
  <si>
    <t>鸿博股份</t>
  </si>
  <si>
    <t>www.lixinger.com/analytics/company/sz/002229/2229/detail</t>
  </si>
  <si>
    <t>新亚强</t>
  </si>
  <si>
    <t>www.lixinger.com/analytics/company/sh/603155/603155/detail</t>
  </si>
  <si>
    <t>长光华芯</t>
  </si>
  <si>
    <t>www.lixinger.com/analytics/company/sh/688048/688048/detail</t>
  </si>
  <si>
    <t>四方达</t>
  </si>
  <si>
    <t>www.lixinger.com/analytics/company/sz/300179/300179/detail</t>
  </si>
  <si>
    <t>国旅联合</t>
  </si>
  <si>
    <t>www.lixinger.com/analytics/company/sh/600358/600358/detail</t>
  </si>
  <si>
    <t>新农股份</t>
  </si>
  <si>
    <t>www.lixinger.com/analytics/company/sz/002942/2942/detail</t>
  </si>
  <si>
    <t>新媒股份</t>
  </si>
  <si>
    <t>www.lixinger.com/analytics/company/sz/300770/300770/detail</t>
  </si>
  <si>
    <t>航亚科技</t>
  </si>
  <si>
    <t>www.lixinger.com/analytics/company/sh/688510/688510/detail</t>
  </si>
  <si>
    <t>昀冢科技</t>
  </si>
  <si>
    <t>www.lixinger.com/analytics/company/sh/688260/688260/detail</t>
  </si>
  <si>
    <t>镇海股份</t>
  </si>
  <si>
    <t>www.lixinger.com/analytics/company/sh/603637/603637/detail</t>
  </si>
  <si>
    <t>ST中昌</t>
  </si>
  <si>
    <t>www.lixinger.com/analytics/company/sh/600242/600242/detail</t>
  </si>
  <si>
    <t>精功科技</t>
  </si>
  <si>
    <t>www.lixinger.com/analytics/company/sz/002006/2006/detail</t>
  </si>
  <si>
    <t>上海电影</t>
  </si>
  <si>
    <t>www.lixinger.com/analytics/company/sh/601595/601595/detail</t>
  </si>
  <si>
    <t>正川股份</t>
  </si>
  <si>
    <t>www.lixinger.com/analytics/company/sh/603976/603976/detail</t>
  </si>
  <si>
    <t>首华燃气</t>
  </si>
  <si>
    <t>www.lixinger.com/analytics/company/sz/300483/300483/detail</t>
  </si>
  <si>
    <t>雪松发展</t>
  </si>
  <si>
    <t>www.lixinger.com/analytics/company/sz/002485/2485/detail</t>
  </si>
  <si>
    <t>三维天地</t>
  </si>
  <si>
    <t>www.lixinger.com/analytics/company/sz/301159/301159/detail</t>
  </si>
  <si>
    <t>凯马Ｂ</t>
  </si>
  <si>
    <t>www.lixinger.com/analytics/company/sh/900953/900953/detail</t>
  </si>
  <si>
    <t>英可瑞</t>
  </si>
  <si>
    <t>www.lixinger.com/analytics/company/sz/300713/300713/detail</t>
  </si>
  <si>
    <t>水星家纺</t>
  </si>
  <si>
    <t>www.lixinger.com/analytics/company/sh/603365/603365/detail</t>
  </si>
  <si>
    <t>兆新股份</t>
  </si>
  <si>
    <t>www.lixinger.com/analytics/company/sz/002256/2256/detail</t>
  </si>
  <si>
    <t>国林科技</t>
  </si>
  <si>
    <t>www.lixinger.com/analytics/company/sz/300786/300786/detail</t>
  </si>
  <si>
    <t>顾地科技</t>
  </si>
  <si>
    <t>www.lixinger.com/analytics/company/sz/002694/2694/detail</t>
  </si>
  <si>
    <t>邵阳液压</t>
  </si>
  <si>
    <t>www.lixinger.com/analytics/company/sz/301079/301079/detail</t>
  </si>
  <si>
    <t>朗特智能</t>
  </si>
  <si>
    <t>www.lixinger.com/analytics/company/sz/300916/300916/detail</t>
  </si>
  <si>
    <t>通业科技</t>
  </si>
  <si>
    <t>www.lixinger.com/analytics/company/sz/300960/300960/detail</t>
  </si>
  <si>
    <t>长春燃气</t>
  </si>
  <si>
    <t>www.lixinger.com/analytics/company/sh/600333/600333/detail</t>
  </si>
  <si>
    <t>博云新材</t>
  </si>
  <si>
    <t>www.lixinger.com/analytics/company/sz/002297/2297/detail</t>
  </si>
  <si>
    <t>兴民智通</t>
  </si>
  <si>
    <t>www.lixinger.com/analytics/company/sz/002355/2355/detail</t>
  </si>
  <si>
    <t>羚锐制药</t>
  </si>
  <si>
    <t>www.lixinger.com/analytics/company/sh/600285/600285/detail</t>
  </si>
  <si>
    <t>尔康制药</t>
  </si>
  <si>
    <t>www.lixinger.com/analytics/company/sz/300267/300267/detail</t>
  </si>
  <si>
    <t>宁波方正</t>
  </si>
  <si>
    <t>www.lixinger.com/analytics/company/sz/300998/300998/detail</t>
  </si>
  <si>
    <t>纽泰格</t>
  </si>
  <si>
    <t>www.lixinger.com/analytics/company/sz/301229/301229/detail</t>
  </si>
  <si>
    <t>捷安高科</t>
  </si>
  <si>
    <t>www.lixinger.com/analytics/company/sz/300845/300845/detail</t>
  </si>
  <si>
    <t>明新旭腾</t>
  </si>
  <si>
    <t>www.lixinger.com/analytics/company/sh/605068/605068/detail</t>
  </si>
  <si>
    <t>泰慕士</t>
  </si>
  <si>
    <t>www.lixinger.com/analytics/company/sz/001234/1234/detail</t>
  </si>
  <si>
    <t>京城股份</t>
  </si>
  <si>
    <t>www.lixinger.com/analytics/company/sh/600860/600860/detail</t>
  </si>
  <si>
    <t>艾隆科技</t>
  </si>
  <si>
    <t>www.lixinger.com/analytics/company/sh/688329/688329/detail</t>
  </si>
  <si>
    <t>国能日新</t>
  </si>
  <si>
    <t>www.lixinger.com/analytics/company/sz/301162/301162/detail</t>
  </si>
  <si>
    <t>康辰药业</t>
  </si>
  <si>
    <t>www.lixinger.com/analytics/company/sh/603590/603590/detail</t>
  </si>
  <si>
    <t>三孚股份</t>
  </si>
  <si>
    <t>www.lixinger.com/analytics/company/sh/603938/603938/detail</t>
  </si>
  <si>
    <t>中捷精工</t>
  </si>
  <si>
    <t>www.lixinger.com/analytics/company/sz/301072/301072/detail</t>
  </si>
  <si>
    <t>特宝生物</t>
  </si>
  <si>
    <t>www.lixinger.com/analytics/company/sh/688278/688278/detail</t>
  </si>
  <si>
    <t>川环科技</t>
  </si>
  <si>
    <t>www.lixinger.com/analytics/company/sz/300547/300547/detail</t>
  </si>
  <si>
    <t>麦趣尔</t>
  </si>
  <si>
    <t>www.lixinger.com/analytics/company/sz/002719/2719/detail</t>
  </si>
  <si>
    <t>新兴装备</t>
  </si>
  <si>
    <t>www.lixinger.com/analytics/company/sz/002933/2933/detail</t>
  </si>
  <si>
    <t>中熔电气</t>
  </si>
  <si>
    <t>www.lixinger.com/analytics/company/sz/301031/301031/detail</t>
  </si>
  <si>
    <t>大中矿业</t>
  </si>
  <si>
    <t>www.lixinger.com/analytics/company/sz/001203/1203/detail</t>
  </si>
  <si>
    <t>科汇股份</t>
  </si>
  <si>
    <t>www.lixinger.com/analytics/company/sh/688681/688681/detail</t>
  </si>
  <si>
    <t>中南文化</t>
  </si>
  <si>
    <t>www.lixinger.com/analytics/company/sz/002445/2445/detail</t>
  </si>
  <si>
    <t>百龙创园</t>
  </si>
  <si>
    <t>www.lixinger.com/analytics/company/sh/605016/605016/detail</t>
  </si>
  <si>
    <t>家家悦</t>
  </si>
  <si>
    <t>www.lixinger.com/analytics/company/sh/603708/603708/detail</t>
  </si>
  <si>
    <t>欧普康视</t>
  </si>
  <si>
    <t>www.lixinger.com/analytics/company/sz/300595/300595/detail</t>
  </si>
  <si>
    <t>瑞凌股份</t>
  </si>
  <si>
    <t>www.lixinger.com/analytics/company/sz/300154/300154/detail</t>
  </si>
  <si>
    <t>联瑞新材</t>
  </si>
  <si>
    <t>www.lixinger.com/analytics/company/sh/688300/688300/detail</t>
  </si>
  <si>
    <t>佳禾食品</t>
  </si>
  <si>
    <t>www.lixinger.com/analytics/company/sh/605300/605300/detail</t>
  </si>
  <si>
    <t>芯海科技</t>
  </si>
  <si>
    <t>www.lixinger.com/analytics/company/sh/688595/688595/detail</t>
  </si>
  <si>
    <t>恒宝股份</t>
  </si>
  <si>
    <t>www.lixinger.com/analytics/company/sz/002104/2104/detail</t>
  </si>
  <si>
    <t>欣贺股份</t>
  </si>
  <si>
    <t>www.lixinger.com/analytics/company/sz/003016/3016/detail</t>
  </si>
  <si>
    <t>昂利康</t>
  </si>
  <si>
    <t>www.lixinger.com/analytics/company/sz/002940/2940/detail</t>
  </si>
  <si>
    <t>榕基软件</t>
  </si>
  <si>
    <t>www.lixinger.com/analytics/company/sz/002474/2474/detail</t>
  </si>
  <si>
    <t>金海高科</t>
  </si>
  <si>
    <t>www.lixinger.com/analytics/company/sh/603311/603311/detail</t>
  </si>
  <si>
    <t>锋龙股份</t>
  </si>
  <si>
    <t>www.lixinger.com/analytics/company/sz/002931/2931/detail</t>
  </si>
  <si>
    <t>迈信林</t>
  </si>
  <si>
    <t>www.lixinger.com/analytics/company/sh/688685/688685/detail</t>
  </si>
  <si>
    <t>美吉姆</t>
  </si>
  <si>
    <t>www.lixinger.com/analytics/company/sz/002621/2621/detail</t>
  </si>
  <si>
    <t>富吉瑞</t>
  </si>
  <si>
    <t>www.lixinger.com/analytics/company/sh/688272/688272/detail</t>
  </si>
  <si>
    <t>超越科技</t>
  </si>
  <si>
    <t>www.lixinger.com/analytics/company/sz/301049/301049/detail</t>
  </si>
  <si>
    <t>*ST当代</t>
  </si>
  <si>
    <t>www.lixinger.com/analytics/company/sz/000673/673/detail</t>
  </si>
  <si>
    <t>志邦家居</t>
  </si>
  <si>
    <t>www.lixinger.com/analytics/company/sh/603801/603801/detail</t>
  </si>
  <si>
    <t>双汇发展</t>
  </si>
  <si>
    <t>www.lixinger.com/analytics/company/sz/000895/895/detail</t>
  </si>
  <si>
    <t>元力股份</t>
  </si>
  <si>
    <t>www.lixinger.com/analytics/company/sz/300174/300174/detail</t>
  </si>
  <si>
    <t>永新光学</t>
  </si>
  <si>
    <t>www.lixinger.com/analytics/company/sh/603297/603297/detail</t>
  </si>
  <si>
    <t>丰林集团</t>
  </si>
  <si>
    <t>www.lixinger.com/analytics/company/sh/601996/601996/detail</t>
  </si>
  <si>
    <t>天亿马</t>
  </si>
  <si>
    <t>www.lixinger.com/analytics/company/sz/301178/301178/detail</t>
  </si>
  <si>
    <t>华瑞股份</t>
  </si>
  <si>
    <t>www.lixinger.com/analytics/company/sz/300626/300626/detail</t>
  </si>
  <si>
    <t>唯科科技</t>
  </si>
  <si>
    <t>www.lixinger.com/analytics/company/sz/301196/301196/detail</t>
  </si>
  <si>
    <t>骏成科技</t>
  </si>
  <si>
    <t>www.lixinger.com/analytics/company/sz/301106/301106/detail</t>
  </si>
  <si>
    <t>陕西金叶</t>
  </si>
  <si>
    <t>www.lixinger.com/analytics/company/sz/000812/812/detail</t>
  </si>
  <si>
    <t>凯淳股份</t>
  </si>
  <si>
    <t>www.lixinger.com/analytics/company/sz/301001/301001/detail</t>
  </si>
  <si>
    <t>五粮液</t>
  </si>
  <si>
    <t>白酒</t>
  </si>
  <si>
    <t>www.lixinger.com/analytics/company/sz/000858/858/detail</t>
  </si>
  <si>
    <t>三孚新科</t>
  </si>
  <si>
    <t>www.lixinger.com/analytics/company/sh/688359/688359/detail</t>
  </si>
  <si>
    <t>张裕Ａ</t>
  </si>
  <si>
    <t>其他酒类</t>
  </si>
  <si>
    <t>www.lixinger.com/analytics/company/sz/000869/869/detail</t>
  </si>
  <si>
    <t>纳芯微</t>
  </si>
  <si>
    <t>www.lixinger.com/analytics/company/sh/688052/688052/detail</t>
  </si>
  <si>
    <t>中触媒</t>
  </si>
  <si>
    <t>www.lixinger.com/analytics/company/sh/688267/688267/detail</t>
  </si>
  <si>
    <t>新疆火炬</t>
  </si>
  <si>
    <t>www.lixinger.com/analytics/company/sh/603080/603080/detail</t>
  </si>
  <si>
    <t>富安娜</t>
  </si>
  <si>
    <t>www.lixinger.com/analytics/company/sz/002327/2327/detail</t>
  </si>
  <si>
    <t>德尔未来</t>
  </si>
  <si>
    <t>www.lixinger.com/analytics/company/sz/002631/2631/detail</t>
  </si>
  <si>
    <t>坤彩科技</t>
  </si>
  <si>
    <t>www.lixinger.com/analytics/company/sh/603826/603826/detail</t>
  </si>
  <si>
    <t>能辉科技</t>
  </si>
  <si>
    <t>www.lixinger.com/analytics/company/sz/301046/301046/detail</t>
  </si>
  <si>
    <t>申华控股</t>
  </si>
  <si>
    <t>www.lixinger.com/analytics/company/sh/600653/600653/detail</t>
  </si>
  <si>
    <t>秋田微</t>
  </si>
  <si>
    <t>www.lixinger.com/analytics/company/sz/300939/300939/detail</t>
  </si>
  <si>
    <t>新华锦</t>
  </si>
  <si>
    <t>www.lixinger.com/analytics/company/sh/600735/600735/detail</t>
  </si>
  <si>
    <t>呈和科技</t>
  </si>
  <si>
    <t>www.lixinger.com/analytics/company/sh/688625/688625/detail</t>
  </si>
  <si>
    <t>佳发教育</t>
  </si>
  <si>
    <t>www.lixinger.com/analytics/company/sz/300559/300559/detail</t>
  </si>
  <si>
    <t>嘉麟杰</t>
  </si>
  <si>
    <t>www.lixinger.com/analytics/company/sz/002486/2486/detail</t>
  </si>
  <si>
    <t>肇民科技</t>
  </si>
  <si>
    <t>www.lixinger.com/analytics/company/sz/301000/301000/detail</t>
  </si>
  <si>
    <t>南华生物</t>
  </si>
  <si>
    <t>www.lixinger.com/analytics/company/sz/000504/504/detail</t>
  </si>
  <si>
    <t>天津普林</t>
  </si>
  <si>
    <t>www.lixinger.com/analytics/company/sz/002134/2134/detail</t>
  </si>
  <si>
    <t>联盛化学</t>
  </si>
  <si>
    <t>www.lixinger.com/analytics/company/sz/301212/301212/detail</t>
  </si>
  <si>
    <t>同为股份</t>
  </si>
  <si>
    <t>www.lixinger.com/analytics/company/sz/002835/2835/detail</t>
  </si>
  <si>
    <t>*ST星星</t>
  </si>
  <si>
    <t>www.lixinger.com/analytics/company/sz/300256/300256/detail</t>
  </si>
  <si>
    <t>三生国健</t>
  </si>
  <si>
    <t>www.lixinger.com/analytics/company/sh/688336/688336/detail</t>
  </si>
  <si>
    <t>天海防务</t>
  </si>
  <si>
    <t>www.lixinger.com/analytics/company/sz/300008/300008/detail</t>
  </si>
  <si>
    <t>壶化股份</t>
  </si>
  <si>
    <t>www.lixinger.com/analytics/company/sz/003002/3002/detail</t>
  </si>
  <si>
    <t>招标股份</t>
  </si>
  <si>
    <t>www.lixinger.com/analytics/company/sz/301136/301136/detail</t>
  </si>
  <si>
    <t>安达智能</t>
  </si>
  <si>
    <t>www.lixinger.com/analytics/company/sh/688125/688125/detail</t>
  </si>
  <si>
    <t>君禾股份</t>
  </si>
  <si>
    <t>www.lixinger.com/analytics/company/sh/603617/603617/detail</t>
  </si>
  <si>
    <t>尚品宅配</t>
  </si>
  <si>
    <t>www.lixinger.com/analytics/company/sz/300616/300616/detail</t>
  </si>
  <si>
    <t>华恒生物</t>
  </si>
  <si>
    <t>www.lixinger.com/analytics/company/sh/688639/688639/detail</t>
  </si>
  <si>
    <t>乐歌股份</t>
  </si>
  <si>
    <t>www.lixinger.com/analytics/company/sz/300729/300729/detail</t>
  </si>
  <si>
    <t>巨人网络</t>
  </si>
  <si>
    <t>www.lixinger.com/analytics/company/sz/002558/2558/detail</t>
  </si>
  <si>
    <t>会畅通讯</t>
  </si>
  <si>
    <t>www.lixinger.com/analytics/company/sz/300578/300578/detail</t>
  </si>
  <si>
    <t>雷尔伟</t>
  </si>
  <si>
    <t>www.lixinger.com/analytics/company/sz/301016/301016/detail</t>
  </si>
  <si>
    <t>云南铜业</t>
  </si>
  <si>
    <t>www.lixinger.com/analytics/company/sz/000878/878/detail</t>
  </si>
  <si>
    <t>广州酒家</t>
  </si>
  <si>
    <t>www.lixinger.com/analytics/company/sh/603043/603043/detail</t>
  </si>
  <si>
    <t>莱尔科技</t>
  </si>
  <si>
    <t>www.lixinger.com/analytics/company/sh/688683/688683/detail</t>
  </si>
  <si>
    <t>赛托生物</t>
  </si>
  <si>
    <t>www.lixinger.com/analytics/company/sz/300583/300583/detail</t>
  </si>
  <si>
    <t>安路科技</t>
  </si>
  <si>
    <t>www.lixinger.com/analytics/company/sh/688107/688107/detail</t>
  </si>
  <si>
    <t>翔港科技</t>
  </si>
  <si>
    <t>www.lixinger.com/analytics/company/sh/603499/603499/detail</t>
  </si>
  <si>
    <t>汉商集团</t>
  </si>
  <si>
    <t>www.lixinger.com/analytics/company/sh/600774/600774/detail</t>
  </si>
  <si>
    <t>透景生命</t>
  </si>
  <si>
    <t>www.lixinger.com/analytics/company/sz/300642/300642/detail</t>
  </si>
  <si>
    <t>快意电梯</t>
  </si>
  <si>
    <t>www.lixinger.com/analytics/company/sz/002774/2774/detail</t>
  </si>
  <si>
    <t>兴化股份</t>
  </si>
  <si>
    <t>www.lixinger.com/analytics/company/sz/002109/2109/detail</t>
  </si>
  <si>
    <t>宁波高发</t>
  </si>
  <si>
    <t>www.lixinger.com/analytics/company/sh/603788/603788/detail</t>
  </si>
  <si>
    <t>赛福天</t>
  </si>
  <si>
    <t>www.lixinger.com/analytics/company/sh/603028/603028/detail</t>
  </si>
  <si>
    <t>新联电子</t>
  </si>
  <si>
    <t>www.lixinger.com/analytics/company/sz/002546/2546/detail</t>
  </si>
  <si>
    <t>日久光电</t>
  </si>
  <si>
    <t>www.lixinger.com/analytics/company/sz/003015/3015/detail</t>
  </si>
  <si>
    <t>五方光电</t>
  </si>
  <si>
    <t>www.lixinger.com/analytics/company/sz/002962/2962/detail</t>
  </si>
  <si>
    <t>品渥食品</t>
  </si>
  <si>
    <t>www.lixinger.com/analytics/company/sz/300892/300892/detail</t>
  </si>
  <si>
    <t>古越龙山</t>
  </si>
  <si>
    <t>www.lixinger.com/analytics/company/sh/600059/600059/detail</t>
  </si>
  <si>
    <t>蓝海华腾</t>
  </si>
  <si>
    <t>www.lixinger.com/analytics/company/sz/300484/300484/detail</t>
  </si>
  <si>
    <t>振江股份</t>
  </si>
  <si>
    <t>www.lixinger.com/analytics/company/sh/603507/603507/detail</t>
  </si>
  <si>
    <t>金种子酒</t>
  </si>
  <si>
    <t>www.lixinger.com/analytics/company/sh/600199/600199/detail</t>
  </si>
  <si>
    <t>泸天化</t>
  </si>
  <si>
    <t>www.lixinger.com/analytics/company/sz/000912/912/detail</t>
  </si>
  <si>
    <t>钢研纳克</t>
  </si>
  <si>
    <t>www.lixinger.com/analytics/company/sz/300797/300797/detail</t>
  </si>
  <si>
    <t>巴安水务</t>
  </si>
  <si>
    <t>www.lixinger.com/analytics/company/sz/300262/300262/detail</t>
  </si>
  <si>
    <t>岱勒新材</t>
  </si>
  <si>
    <t>www.lixinger.com/analytics/company/sz/300700/300700/detail</t>
  </si>
  <si>
    <t>滨化股份</t>
  </si>
  <si>
    <t>www.lixinger.com/analytics/company/sh/601678/601678/detail</t>
  </si>
  <si>
    <t>*ST大集</t>
  </si>
  <si>
    <t>www.lixinger.com/analytics/company/sz/000564/564/detail</t>
  </si>
  <si>
    <t>霍莱沃</t>
  </si>
  <si>
    <t>www.lixinger.com/analytics/company/sh/688682/688682/detail</t>
  </si>
  <si>
    <t>复洁环保</t>
  </si>
  <si>
    <t>www.lixinger.com/analytics/company/sh/688335/688335/detail</t>
  </si>
  <si>
    <t>泽达易盛</t>
  </si>
  <si>
    <t>www.lixinger.com/analytics/company/sh/688555/688555/detail</t>
  </si>
  <si>
    <t>直真科技</t>
  </si>
  <si>
    <t>www.lixinger.com/analytics/company/sz/003007/3007/detail</t>
  </si>
  <si>
    <t>盛航股份</t>
  </si>
  <si>
    <t>www.lixinger.com/analytics/company/sz/001205/1205/detail</t>
  </si>
  <si>
    <t>中设股份</t>
  </si>
  <si>
    <t>www.lixinger.com/analytics/company/sz/002883/2883/detail</t>
  </si>
  <si>
    <t>ST联建</t>
  </si>
  <si>
    <t>www.lixinger.com/analytics/company/sz/300269/300269/detail</t>
  </si>
  <si>
    <t>致远互联</t>
  </si>
  <si>
    <t>www.lixinger.com/analytics/company/sh/688369/688369/detail</t>
  </si>
  <si>
    <t>华亚智能</t>
  </si>
  <si>
    <t>www.lixinger.com/analytics/company/sz/003043/3043/detail</t>
  </si>
  <si>
    <t>清溢光电</t>
  </si>
  <si>
    <t>www.lixinger.com/analytics/company/sh/688138/688138/detail</t>
  </si>
  <si>
    <t>世纪天鸿</t>
  </si>
  <si>
    <t>www.lixinger.com/analytics/company/sz/300654/300654/detail</t>
  </si>
  <si>
    <t>大湖股份</t>
  </si>
  <si>
    <t>www.lixinger.com/analytics/company/sh/600257/600257/detail</t>
  </si>
  <si>
    <t>克明食品</t>
  </si>
  <si>
    <t>www.lixinger.com/analytics/company/sz/002661/2661/detail</t>
  </si>
  <si>
    <t>读者传媒</t>
  </si>
  <si>
    <t>www.lixinger.com/analytics/company/sh/603999/603999/detail</t>
  </si>
  <si>
    <t>江苏北人</t>
  </si>
  <si>
    <t>www.lixinger.com/analytics/company/sh/688218/688218/detail</t>
  </si>
  <si>
    <t>我武生物</t>
  </si>
  <si>
    <t>www.lixinger.com/analytics/company/sz/300357/300357/detail</t>
  </si>
  <si>
    <t>恒盛能源</t>
  </si>
  <si>
    <t>www.lixinger.com/analytics/company/sh/605580/605580/detail</t>
  </si>
  <si>
    <t>信测标准</t>
  </si>
  <si>
    <t>www.lixinger.com/analytics/company/sz/300938/300938/detail</t>
  </si>
  <si>
    <t>日盈电子</t>
  </si>
  <si>
    <t>www.lixinger.com/analytics/company/sh/603286/603286/detail</t>
  </si>
  <si>
    <t>博通集成</t>
  </si>
  <si>
    <t>www.lixinger.com/analytics/company/sh/603068/603068/detail</t>
  </si>
  <si>
    <t>华金资本</t>
  </si>
  <si>
    <t>资产管理</t>
  </si>
  <si>
    <t>www.lixinger.com/analytics/company/sz/000532/532/detail</t>
  </si>
  <si>
    <t>江泉实业</t>
  </si>
  <si>
    <t>www.lixinger.com/analytics/company/sh/600212/600212/detail</t>
  </si>
  <si>
    <t>博亚精工</t>
  </si>
  <si>
    <t>www.lixinger.com/analytics/company/sz/300971/300971/detail</t>
  </si>
  <si>
    <t>鼎龙文化</t>
  </si>
  <si>
    <t>www.lixinger.com/analytics/company/sz/002502/2502/detail</t>
  </si>
  <si>
    <t>济民医疗</t>
  </si>
  <si>
    <t>www.lixinger.com/analytics/company/sh/603222/603222/detail</t>
  </si>
  <si>
    <t>天利科技</t>
  </si>
  <si>
    <t>www.lixinger.com/analytics/company/sz/300399/300399/detail</t>
  </si>
  <si>
    <t>*ST光一</t>
  </si>
  <si>
    <t>www.lixinger.com/analytics/company/sz/300356/300356/detail</t>
  </si>
  <si>
    <t>奥维通信</t>
  </si>
  <si>
    <t>www.lixinger.com/analytics/company/sz/002231/2231/detail</t>
  </si>
  <si>
    <t>ST星源</t>
  </si>
  <si>
    <t>www.lixinger.com/analytics/company/sz/000005/5/detail</t>
  </si>
  <si>
    <t>湖北宜化</t>
  </si>
  <si>
    <t>www.lixinger.com/analytics/company/sz/000422/422/detail</t>
  </si>
  <si>
    <t>中盐化工</t>
  </si>
  <si>
    <t>www.lixinger.com/analytics/company/sh/600328/600328/detail</t>
  </si>
  <si>
    <t>综艺股份</t>
  </si>
  <si>
    <t>www.lixinger.com/analytics/company/sh/600770/600770/detail</t>
  </si>
  <si>
    <t>正丹股份</t>
  </si>
  <si>
    <t>www.lixinger.com/analytics/company/sz/300641/300641/detail</t>
  </si>
  <si>
    <t>天和防务</t>
  </si>
  <si>
    <t>www.lixinger.com/analytics/company/sz/300397/300397/detail</t>
  </si>
  <si>
    <t>鸿泉物联</t>
  </si>
  <si>
    <t>www.lixinger.com/analytics/company/sh/688288/688288/detail</t>
  </si>
  <si>
    <t>天威视讯</t>
  </si>
  <si>
    <t>www.lixinger.com/analytics/company/sz/002238/2238/detail</t>
  </si>
  <si>
    <t>野马电池</t>
  </si>
  <si>
    <t>www.lixinger.com/analytics/company/sh/605378/605378/detail</t>
  </si>
  <si>
    <t>青木股份</t>
  </si>
  <si>
    <t>www.lixinger.com/analytics/company/sz/301110/301110/detail</t>
  </si>
  <si>
    <t>新洁能</t>
  </si>
  <si>
    <t>www.lixinger.com/analytics/company/sh/605111/605111/detail</t>
  </si>
  <si>
    <t>中元股份</t>
  </si>
  <si>
    <t>www.lixinger.com/analytics/company/sz/300018/300018/detail</t>
  </si>
  <si>
    <t>永吉股份</t>
  </si>
  <si>
    <t>www.lixinger.com/analytics/company/sh/603058/603058/detail</t>
  </si>
  <si>
    <t>大宏立</t>
  </si>
  <si>
    <t>www.lixinger.com/analytics/company/sz/300865/300865/detail</t>
  </si>
  <si>
    <t>吉林高速</t>
  </si>
  <si>
    <t>www.lixinger.com/analytics/company/sh/601518/601518/detail</t>
  </si>
  <si>
    <t>春晖智控</t>
  </si>
  <si>
    <t>www.lixinger.com/analytics/company/sz/300943/300943/detail</t>
  </si>
  <si>
    <t>钱江水利</t>
  </si>
  <si>
    <t>www.lixinger.com/analytics/company/sh/600283/600283/detail</t>
  </si>
  <si>
    <t>义翘神州</t>
  </si>
  <si>
    <t>www.lixinger.com/analytics/company/sz/301047/301047/detail</t>
  </si>
  <si>
    <t>锦龙股份</t>
  </si>
  <si>
    <t>www.lixinger.com/analytics/company/sz/000712/712/detail</t>
  </si>
  <si>
    <t>幸福蓝海</t>
  </si>
  <si>
    <t>www.lixinger.com/analytics/company/sz/300528/300528/detail</t>
  </si>
  <si>
    <t>凤竹纺织</t>
  </si>
  <si>
    <t>www.lixinger.com/analytics/company/sh/600493/600493/detail</t>
  </si>
  <si>
    <t>筑博设计</t>
  </si>
  <si>
    <t>www.lixinger.com/analytics/company/sz/300564/300564/detail</t>
  </si>
  <si>
    <t>远望谷</t>
  </si>
  <si>
    <t>www.lixinger.com/analytics/company/sz/002161/2161/detail</t>
  </si>
  <si>
    <t>祖名股份</t>
  </si>
  <si>
    <t>www.lixinger.com/analytics/company/sz/003030/3030/detail</t>
  </si>
  <si>
    <t>锦江在线</t>
  </si>
  <si>
    <t>www.lixinger.com/analytics/company/sh/600650/600650/detail</t>
  </si>
  <si>
    <t>高乐股份</t>
  </si>
  <si>
    <t>www.lixinger.com/analytics/company/sz/002348/2348/detail</t>
  </si>
  <si>
    <t>北矿科技</t>
  </si>
  <si>
    <t>www.lixinger.com/analytics/company/sh/600980/600980/detail</t>
  </si>
  <si>
    <t>凤形股份</t>
  </si>
  <si>
    <t>www.lixinger.com/analytics/company/sz/002760/2760/detail</t>
  </si>
  <si>
    <t>跃岭股份</t>
  </si>
  <si>
    <t>www.lixinger.com/analytics/company/sz/002725/2725/detail</t>
  </si>
  <si>
    <t>睿昂基因</t>
  </si>
  <si>
    <t>www.lixinger.com/analytics/company/sh/688217/688217/detail</t>
  </si>
  <si>
    <t>湘邮科技</t>
  </si>
  <si>
    <t>www.lixinger.com/analytics/company/sh/600476/600476/detail</t>
  </si>
  <si>
    <t>快克股份</t>
  </si>
  <si>
    <t>www.lixinger.com/analytics/company/sh/603203/603203/detail</t>
  </si>
  <si>
    <t>科融环境</t>
  </si>
  <si>
    <t>www.lixinger.com/analytics/company/sz/300152/300152/detail</t>
  </si>
  <si>
    <t>德迈仕</t>
  </si>
  <si>
    <t>www.lixinger.com/analytics/company/sz/301007/301007/detail</t>
  </si>
  <si>
    <t>文一科技</t>
  </si>
  <si>
    <t>www.lixinger.com/analytics/company/sh/600520/600520/detail</t>
  </si>
  <si>
    <t>信雅达</t>
  </si>
  <si>
    <t>www.lixinger.com/analytics/company/sh/600571/600571/detail</t>
  </si>
  <si>
    <t>中船汉光</t>
  </si>
  <si>
    <t>www.lixinger.com/analytics/company/sz/300847/300847/detail</t>
  </si>
  <si>
    <t>乐通股份</t>
  </si>
  <si>
    <t>www.lixinger.com/analytics/company/sz/002319/2319/detail</t>
  </si>
  <si>
    <t>新宏泰</t>
  </si>
  <si>
    <t>www.lixinger.com/analytics/company/sh/603016/603016/detail</t>
  </si>
  <si>
    <t>三德科技</t>
  </si>
  <si>
    <t>www.lixinger.com/analytics/company/sz/300515/300515/detail</t>
  </si>
  <si>
    <t>浩洋股份</t>
  </si>
  <si>
    <t>www.lixinger.com/analytics/company/sz/300833/300833/detail</t>
  </si>
  <si>
    <t>优德精密</t>
  </si>
  <si>
    <t>www.lixinger.com/analytics/company/sz/300549/300549/detail</t>
  </si>
  <si>
    <t>兴业科技</t>
  </si>
  <si>
    <t>www.lixinger.com/analytics/company/sz/002674/2674/detail</t>
  </si>
  <si>
    <t>深粮控股</t>
  </si>
  <si>
    <t>www.lixinger.com/analytics/company/sz/000019/19/detail</t>
  </si>
  <si>
    <t>高盟新材</t>
  </si>
  <si>
    <t>www.lixinger.com/analytics/company/sz/300200/300200/detail</t>
  </si>
  <si>
    <t>成都燃气</t>
  </si>
  <si>
    <t>www.lixinger.com/analytics/company/sh/603053/603053/detail</t>
  </si>
  <si>
    <t>深华发Ｂ</t>
  </si>
  <si>
    <t>www.lixinger.com/analytics/company/sz/200020/200020/detail</t>
  </si>
  <si>
    <t>东方环宇</t>
  </si>
  <si>
    <t>www.lixinger.com/analytics/company/sh/603706/603706/detail</t>
  </si>
  <si>
    <t>龙利得</t>
  </si>
  <si>
    <t>www.lixinger.com/analytics/company/sz/300883/300883/detail</t>
  </si>
  <si>
    <t>飞马国际</t>
  </si>
  <si>
    <t>www.lixinger.com/analytics/company/sz/002210/2210/detail</t>
  </si>
  <si>
    <t>浩物股份</t>
  </si>
  <si>
    <t>www.lixinger.com/analytics/company/sz/000757/757/detail</t>
  </si>
  <si>
    <t>水发燃气</t>
  </si>
  <si>
    <t>www.lixinger.com/analytics/company/sh/603318/603318/detail</t>
  </si>
  <si>
    <t>冠农股份</t>
  </si>
  <si>
    <t>www.lixinger.com/analytics/company/sh/600251/600251/detail</t>
  </si>
  <si>
    <t>阿石创</t>
  </si>
  <si>
    <t>www.lixinger.com/analytics/company/sz/300706/300706/detail</t>
  </si>
  <si>
    <t>圣达生物</t>
  </si>
  <si>
    <t>www.lixinger.com/analytics/company/sh/603079/603079/detail</t>
  </si>
  <si>
    <t>虹软科技</t>
  </si>
  <si>
    <t>www.lixinger.com/analytics/company/sh/688088/688088/detail</t>
  </si>
  <si>
    <t>洽洽食品</t>
  </si>
  <si>
    <t>www.lixinger.com/analytics/company/sz/002557/2557/detail</t>
  </si>
  <si>
    <t>凯众股份</t>
  </si>
  <si>
    <t>www.lixinger.com/analytics/company/sh/603037/603037/detail</t>
  </si>
  <si>
    <t>大商股份</t>
  </si>
  <si>
    <t>www.lixinger.com/analytics/company/sh/600694/600694/detail</t>
  </si>
  <si>
    <t>康惠制药</t>
  </si>
  <si>
    <t>www.lixinger.com/analytics/company/sh/603139/603139/detail</t>
  </si>
  <si>
    <t>光庭信息</t>
  </si>
  <si>
    <t>www.lixinger.com/analytics/company/sz/301221/301221/detail</t>
  </si>
  <si>
    <t>药康生物</t>
  </si>
  <si>
    <t>www.lixinger.com/analytics/company/sh/688046/688046/detail</t>
  </si>
  <si>
    <t>攀钢钒钛</t>
  </si>
  <si>
    <t>www.lixinger.com/analytics/company/sz/000629/629/detail</t>
  </si>
  <si>
    <t>ST粤泰</t>
  </si>
  <si>
    <t>www.lixinger.com/analytics/company/sh/600393/600393/detail</t>
  </si>
  <si>
    <t>新经典</t>
  </si>
  <si>
    <t>www.lixinger.com/analytics/company/sh/603096/603096/detail</t>
  </si>
  <si>
    <t>ST天圣</t>
  </si>
  <si>
    <t>www.lixinger.com/analytics/company/sz/002872/2872/detail</t>
  </si>
  <si>
    <t>泛微网络</t>
  </si>
  <si>
    <t>www.lixinger.com/analytics/company/sh/603039/603039/detail</t>
  </si>
  <si>
    <t>永和智控</t>
  </si>
  <si>
    <t>www.lixinger.com/analytics/company/sz/002795/2795/detail</t>
  </si>
  <si>
    <t>凯立新材</t>
  </si>
  <si>
    <t>www.lixinger.com/analytics/company/sh/688269/688269/detail</t>
  </si>
  <si>
    <t>博汇科技</t>
  </si>
  <si>
    <t>www.lixinger.com/analytics/company/sh/688004/688004/detail</t>
  </si>
  <si>
    <t>展鹏科技</t>
  </si>
  <si>
    <t>www.lixinger.com/analytics/company/sh/603488/603488/detail</t>
  </si>
  <si>
    <t>哈尔斯</t>
  </si>
  <si>
    <t>www.lixinger.com/analytics/company/sz/002615/2615/detail</t>
  </si>
  <si>
    <t>*ST中天</t>
  </si>
  <si>
    <t>www.lixinger.com/analytics/company/sh/600856/600856/detail</t>
  </si>
  <si>
    <t>泰嘉股份</t>
  </si>
  <si>
    <t>www.lixinger.com/analytics/company/sz/002843/2843/detail</t>
  </si>
  <si>
    <t>祥明智能</t>
  </si>
  <si>
    <t>www.lixinger.com/analytics/company/sz/301226/301226/detail</t>
  </si>
  <si>
    <t>盈康生命</t>
  </si>
  <si>
    <t>www.lixinger.com/analytics/company/sz/300143/300143/detail</t>
  </si>
  <si>
    <t>荣泰健康</t>
  </si>
  <si>
    <t>www.lixinger.com/analytics/company/sh/603579/603579/detail</t>
  </si>
  <si>
    <t>泰禾智能</t>
  </si>
  <si>
    <t>www.lixinger.com/analytics/company/sh/603656/603656/detail</t>
  </si>
  <si>
    <t>舍得酒业</t>
  </si>
  <si>
    <t>www.lixinger.com/analytics/company/sh/600702/600702/detail</t>
  </si>
  <si>
    <t>阳光诺和</t>
  </si>
  <si>
    <t>www.lixinger.com/analytics/company/sh/688621/688621/detail</t>
  </si>
  <si>
    <t>新光光电</t>
  </si>
  <si>
    <t>www.lixinger.com/analytics/company/sh/688011/688011/detail</t>
  </si>
  <si>
    <t>金道科技</t>
  </si>
  <si>
    <t>www.lixinger.com/analytics/company/sz/301279/301279/detail</t>
  </si>
  <si>
    <t>晋西车轴</t>
  </si>
  <si>
    <t>www.lixinger.com/analytics/company/sh/600495/600495/detail</t>
  </si>
  <si>
    <t>鞍重股份</t>
  </si>
  <si>
    <t>www.lixinger.com/analytics/company/sz/002667/2667/detail</t>
  </si>
  <si>
    <t>优利德</t>
  </si>
  <si>
    <t>www.lixinger.com/analytics/company/sh/688628/688628/detail</t>
  </si>
  <si>
    <t>珀莱雅</t>
  </si>
  <si>
    <t>www.lixinger.com/analytics/company/sh/603605/603605/detail</t>
  </si>
  <si>
    <t>洁特生物</t>
  </si>
  <si>
    <t>www.lixinger.com/analytics/company/sh/688026/688026/detail</t>
  </si>
  <si>
    <t>皖天然气</t>
  </si>
  <si>
    <t>www.lixinger.com/analytics/company/sh/603689/603689/detail</t>
  </si>
  <si>
    <t>ST凯乐</t>
  </si>
  <si>
    <t>www.lixinger.com/analytics/company/sh/600260/600260/detail</t>
  </si>
  <si>
    <t>赛微电子</t>
  </si>
  <si>
    <t>www.lixinger.com/analytics/company/sz/300456/300456/detail</t>
  </si>
  <si>
    <t>海欣股份</t>
  </si>
  <si>
    <t>www.lixinger.com/analytics/company/sh/600851/600851/detail</t>
  </si>
  <si>
    <t>翱捷科技</t>
  </si>
  <si>
    <t>www.lixinger.com/analytics/company/sh/688220/688220/detail</t>
  </si>
  <si>
    <t>景业智能</t>
  </si>
  <si>
    <t>www.lixinger.com/analytics/company/sh/688290/688290/detail</t>
  </si>
  <si>
    <t>越剑智能</t>
  </si>
  <si>
    <t>www.lixinger.com/analytics/company/sh/603095/603095/detail</t>
  </si>
  <si>
    <t>ST时万</t>
  </si>
  <si>
    <t>www.lixinger.com/analytics/company/sh/600241/600241/detail</t>
  </si>
  <si>
    <t>德龙激光</t>
  </si>
  <si>
    <t>www.lixinger.com/analytics/company/sh/688170/688170/detail</t>
  </si>
  <si>
    <t>卓易信息</t>
  </si>
  <si>
    <t>www.lixinger.com/analytics/company/sh/688258/688258/detail</t>
  </si>
  <si>
    <t>集友股份</t>
  </si>
  <si>
    <t>www.lixinger.com/analytics/company/sh/603429/603429/detail</t>
  </si>
  <si>
    <t>中信出版</t>
  </si>
  <si>
    <t>www.lixinger.com/analytics/company/sz/300788/300788/detail</t>
  </si>
  <si>
    <t>科新机电</t>
  </si>
  <si>
    <t>www.lixinger.com/analytics/company/sz/300092/300092/detail</t>
  </si>
  <si>
    <t>顺控发展</t>
  </si>
  <si>
    <t>www.lixinger.com/analytics/company/sz/003039/3039/detail</t>
  </si>
  <si>
    <t>南大环境</t>
  </si>
  <si>
    <t>www.lixinger.com/analytics/company/sz/300864/300864/detail</t>
  </si>
  <si>
    <t>上海雅仕</t>
  </si>
  <si>
    <t>www.lixinger.com/analytics/company/sh/603329/603329/detail</t>
  </si>
  <si>
    <t>神思电子</t>
  </si>
  <si>
    <t>www.lixinger.com/analytics/company/sz/300479/300479/detail</t>
  </si>
  <si>
    <t>海欣食品</t>
  </si>
  <si>
    <t>www.lixinger.com/analytics/company/sz/002702/2702/detail</t>
  </si>
  <si>
    <t>华达新材</t>
  </si>
  <si>
    <t>www.lixinger.com/analytics/company/sh/605158/605158/detail</t>
  </si>
  <si>
    <t>欢乐家</t>
  </si>
  <si>
    <t>www.lixinger.com/analytics/company/sz/300997/300997/detail</t>
  </si>
  <si>
    <t>西昌电力</t>
  </si>
  <si>
    <t>www.lixinger.com/analytics/company/sh/600505/600505/detail</t>
  </si>
  <si>
    <t>世龙实业</t>
  </si>
  <si>
    <t>www.lixinger.com/analytics/company/sz/002748/2748/detail</t>
  </si>
  <si>
    <t>亚通股份</t>
  </si>
  <si>
    <t>www.lixinger.com/analytics/company/sh/600692/600692/detail</t>
  </si>
  <si>
    <t>优彩资源</t>
  </si>
  <si>
    <t>www.lixinger.com/analytics/company/sz/002998/2998/detail</t>
  </si>
  <si>
    <t>赛特新材</t>
  </si>
  <si>
    <t>www.lixinger.com/analytics/company/sh/688398/688398/detail</t>
  </si>
  <si>
    <t>永悦科技</t>
  </si>
  <si>
    <t>www.lixinger.com/analytics/company/sh/603879/603879/detail</t>
  </si>
  <si>
    <t>天创时尚</t>
  </si>
  <si>
    <t>www.lixinger.com/analytics/company/sh/603608/603608/detail</t>
  </si>
  <si>
    <t>华兰股份</t>
  </si>
  <si>
    <t>www.lixinger.com/analytics/company/sz/301093/301093/detail</t>
  </si>
  <si>
    <t>海南椰岛</t>
  </si>
  <si>
    <t>www.lixinger.com/analytics/company/sh/600238/600238/detail</t>
  </si>
  <si>
    <t>世名科技</t>
  </si>
  <si>
    <t>www.lixinger.com/analytics/company/sz/300522/300522/detail</t>
  </si>
  <si>
    <t>德艺文创</t>
  </si>
  <si>
    <t>www.lixinger.com/analytics/company/sz/300640/300640/detail</t>
  </si>
  <si>
    <t>九牧王</t>
  </si>
  <si>
    <t>www.lixinger.com/analytics/company/sh/601566/601566/detail</t>
  </si>
  <si>
    <t>中国科传</t>
  </si>
  <si>
    <t>www.lixinger.com/analytics/company/sh/601858/601858/detail</t>
  </si>
  <si>
    <t>腾达建设</t>
  </si>
  <si>
    <t>www.lixinger.com/analytics/company/sh/600512/600512/detail</t>
  </si>
  <si>
    <t>工大高科</t>
  </si>
  <si>
    <t>www.lixinger.com/analytics/company/sh/688367/688367/detail</t>
  </si>
  <si>
    <t>森赫股份</t>
  </si>
  <si>
    <t>www.lixinger.com/analytics/company/sz/301056/301056/detail</t>
  </si>
  <si>
    <t>绝味食品</t>
  </si>
  <si>
    <t>熟食</t>
  </si>
  <si>
    <t>www.lixinger.com/analytics/company/sh/603517/603517/detail</t>
  </si>
  <si>
    <t>东亚机械</t>
  </si>
  <si>
    <t>www.lixinger.com/analytics/company/sz/301028/301028/detail</t>
  </si>
  <si>
    <t>珠海中富</t>
  </si>
  <si>
    <t>www.lixinger.com/analytics/company/sz/000659/659/detail</t>
  </si>
  <si>
    <t>*ST博信</t>
  </si>
  <si>
    <t>www.lixinger.com/analytics/company/sh/600083/600083/detail</t>
  </si>
  <si>
    <t>迪瑞医疗</t>
  </si>
  <si>
    <t>www.lixinger.com/analytics/company/sz/300396/300396/detail</t>
  </si>
  <si>
    <t>超达装备</t>
  </si>
  <si>
    <t>www.lixinger.com/analytics/company/sz/301186/301186/detail</t>
  </si>
  <si>
    <t>三木集团</t>
  </si>
  <si>
    <t>www.lixinger.com/analytics/company/sz/000632/632/detail</t>
  </si>
  <si>
    <t>纳微科技</t>
  </si>
  <si>
    <t>www.lixinger.com/analytics/company/sh/688690/688690/detail</t>
  </si>
  <si>
    <t>美好置业</t>
  </si>
  <si>
    <t>www.lixinger.com/analytics/company/sz/000667/667/detail</t>
  </si>
  <si>
    <t>新美星</t>
  </si>
  <si>
    <t>www.lixinger.com/analytics/company/sz/300509/300509/detail</t>
  </si>
  <si>
    <t>奥特迅</t>
  </si>
  <si>
    <t>www.lixinger.com/analytics/company/sz/002227/2227/detail</t>
  </si>
  <si>
    <t>先锋新材</t>
  </si>
  <si>
    <t>www.lixinger.com/analytics/company/sz/300163/300163/detail</t>
  </si>
  <si>
    <t>德力股份</t>
  </si>
  <si>
    <t>www.lixinger.com/analytics/company/sz/002571/2571/detail</t>
  </si>
  <si>
    <t>山大地纬</t>
  </si>
  <si>
    <t>www.lixinger.com/analytics/company/sh/688579/688579/detail</t>
  </si>
  <si>
    <t>臻镭科技</t>
  </si>
  <si>
    <t>www.lixinger.com/analytics/company/sh/688270/688270/detail</t>
  </si>
  <si>
    <t>厦门空港</t>
  </si>
  <si>
    <t>www.lixinger.com/analytics/company/sh/600897/600897/detail</t>
  </si>
  <si>
    <t>金马游乐</t>
  </si>
  <si>
    <t>www.lixinger.com/analytics/company/sz/300756/300756/detail</t>
  </si>
  <si>
    <t>日月明</t>
  </si>
  <si>
    <t>www.lixinger.com/analytics/company/sz/300906/300906/detail</t>
  </si>
  <si>
    <t>大为股份</t>
  </si>
  <si>
    <t>www.lixinger.com/analytics/company/sz/002213/2213/detail</t>
  </si>
  <si>
    <t>*ST易见</t>
  </si>
  <si>
    <t>其他多元金融</t>
  </si>
  <si>
    <t>www.lixinger.com/analytics/company/sh/600093/600093/detail</t>
  </si>
  <si>
    <t>金富科技</t>
  </si>
  <si>
    <t>www.lixinger.com/analytics/company/sz/003018/3018/detail</t>
  </si>
  <si>
    <t>通策医疗</t>
  </si>
  <si>
    <t>www.lixinger.com/analytics/company/sh/600763/600763/detail</t>
  </si>
  <si>
    <t>重庆啤酒</t>
  </si>
  <si>
    <t>www.lixinger.com/analytics/company/sh/600132/600132/detail</t>
  </si>
  <si>
    <t>我乐家居</t>
  </si>
  <si>
    <t>www.lixinger.com/analytics/company/sh/603326/603326/detail</t>
  </si>
  <si>
    <t>海峡股份</t>
  </si>
  <si>
    <t>www.lixinger.com/analytics/company/sz/002320/2320/detail</t>
  </si>
  <si>
    <t>茂化实华</t>
  </si>
  <si>
    <t>www.lixinger.com/analytics/company/sz/000637/637/detail</t>
  </si>
  <si>
    <t>南侨食品</t>
  </si>
  <si>
    <t>www.lixinger.com/analytics/company/sh/605339/605339/detail</t>
  </si>
  <si>
    <t>安联锐视</t>
  </si>
  <si>
    <t>www.lixinger.com/analytics/company/sz/301042/301042/detail</t>
  </si>
  <si>
    <t>冰川网络</t>
  </si>
  <si>
    <t>www.lixinger.com/analytics/company/sz/300533/300533/detail</t>
  </si>
  <si>
    <t>友阿股份</t>
  </si>
  <si>
    <t>www.lixinger.com/analytics/company/sz/002277/2277/detail</t>
  </si>
  <si>
    <t>国安达</t>
  </si>
  <si>
    <t>www.lixinger.com/analytics/company/sz/300902/300902/detail</t>
  </si>
  <si>
    <t>祥生医疗</t>
  </si>
  <si>
    <t>www.lixinger.com/analytics/company/sh/688358/688358/detail</t>
  </si>
  <si>
    <t>惠云钛业</t>
  </si>
  <si>
    <t>www.lixinger.com/analytics/company/sz/300891/300891/detail</t>
  </si>
  <si>
    <t>新世界</t>
  </si>
  <si>
    <t>www.lixinger.com/analytics/company/sh/600628/600628/detail</t>
  </si>
  <si>
    <t>财信发展</t>
  </si>
  <si>
    <t>www.lixinger.com/analytics/company/sz/000838/838/detail</t>
  </si>
  <si>
    <t>威创股份</t>
  </si>
  <si>
    <t>www.lixinger.com/analytics/company/sz/002308/2308/detail</t>
  </si>
  <si>
    <t>国美通讯</t>
  </si>
  <si>
    <t>www.lixinger.com/analytics/company/sh/600898/600898/detail</t>
  </si>
  <si>
    <t>恒而达</t>
  </si>
  <si>
    <t>www.lixinger.com/analytics/company/sz/300946/300946/detail</t>
  </si>
  <si>
    <t>立高食品</t>
  </si>
  <si>
    <t>www.lixinger.com/analytics/company/sz/300973/300973/detail</t>
  </si>
  <si>
    <t>博拓生物</t>
  </si>
  <si>
    <t>www.lixinger.com/analytics/company/sh/688767/688767/detail</t>
  </si>
  <si>
    <t>葵花药业</t>
  </si>
  <si>
    <t>www.lixinger.com/analytics/company/sz/002737/2737/detail</t>
  </si>
  <si>
    <t>纽威数控</t>
  </si>
  <si>
    <t>www.lixinger.com/analytics/company/sh/688697/688697/detail</t>
  </si>
  <si>
    <t>会稽山</t>
  </si>
  <si>
    <t>www.lixinger.com/analytics/company/sh/601579/601579/detail</t>
  </si>
  <si>
    <t>三元生物</t>
  </si>
  <si>
    <t>www.lixinger.com/analytics/company/sz/301206/301206/detail</t>
  </si>
  <si>
    <t>本川智能</t>
  </si>
  <si>
    <t>www.lixinger.com/analytics/company/sz/300964/300964/detail</t>
  </si>
  <si>
    <t>盛讯达</t>
  </si>
  <si>
    <t>www.lixinger.com/analytics/company/sz/300518/300518/detail</t>
  </si>
  <si>
    <t>建车B</t>
  </si>
  <si>
    <t>www.lixinger.com/analytics/company/sz/200054/200054/detail</t>
  </si>
  <si>
    <t>倍加洁</t>
  </si>
  <si>
    <t>www.lixinger.com/analytics/company/sh/603059/603059/detail</t>
  </si>
  <si>
    <t>利柏特</t>
  </si>
  <si>
    <t>www.lixinger.com/analytics/company/sh/605167/605167/detail</t>
  </si>
  <si>
    <t>三祥新材</t>
  </si>
  <si>
    <t>www.lixinger.com/analytics/company/sh/603663/603663/detail</t>
  </si>
  <si>
    <t>恒锋工具</t>
  </si>
  <si>
    <t>www.lixinger.com/analytics/company/sz/300488/300488/detail</t>
  </si>
  <si>
    <t>英派斯</t>
  </si>
  <si>
    <t>www.lixinger.com/analytics/company/sz/002899/2899/detail</t>
  </si>
  <si>
    <t>江苏博云</t>
  </si>
  <si>
    <t>www.lixinger.com/analytics/company/sz/301003/301003/detail</t>
  </si>
  <si>
    <t>数据港</t>
  </si>
  <si>
    <t>www.lixinger.com/analytics/company/sh/603881/603881/detail</t>
  </si>
  <si>
    <t>星球石墨</t>
  </si>
  <si>
    <t>www.lixinger.com/analytics/company/sh/688633/688633/detail</t>
  </si>
  <si>
    <t>海尔生物</t>
  </si>
  <si>
    <t>www.lixinger.com/analytics/company/sh/688139/688139/detail</t>
  </si>
  <si>
    <t>哈三联</t>
  </si>
  <si>
    <t>www.lixinger.com/analytics/company/sz/002900/2900/detail</t>
  </si>
  <si>
    <t>浙江黎明</t>
  </si>
  <si>
    <t>www.lixinger.com/analytics/company/sh/603048/603048/detail</t>
  </si>
  <si>
    <t>密封科技</t>
  </si>
  <si>
    <t>www.lixinger.com/analytics/company/sz/301020/301020/detail</t>
  </si>
  <si>
    <t>西部牧业</t>
  </si>
  <si>
    <t>www.lixinger.com/analytics/company/sz/300106/300106/detail</t>
  </si>
  <si>
    <t>云南锗业</t>
  </si>
  <si>
    <t>www.lixinger.com/analytics/company/sz/002428/2428/detail</t>
  </si>
  <si>
    <t>联泓新科</t>
  </si>
  <si>
    <t>www.lixinger.com/analytics/company/sz/003022/3022/detail</t>
  </si>
  <si>
    <t>金鸿顺</t>
  </si>
  <si>
    <t>www.lixinger.com/analytics/company/sh/603922/603922/detail</t>
  </si>
  <si>
    <t>华信新材</t>
  </si>
  <si>
    <t>www.lixinger.com/analytics/company/sz/300717/300717/detail</t>
  </si>
  <si>
    <t>世华科技</t>
  </si>
  <si>
    <t>www.lixinger.com/analytics/company/sh/688093/688093/detail</t>
  </si>
  <si>
    <t>长江通信</t>
  </si>
  <si>
    <t>www.lixinger.com/analytics/company/sh/600345/600345/detail</t>
  </si>
  <si>
    <t>百润股份</t>
  </si>
  <si>
    <t>www.lixinger.com/analytics/company/sz/002568/2568/detail</t>
  </si>
  <si>
    <t>南凌科技</t>
  </si>
  <si>
    <t>www.lixinger.com/analytics/company/sz/300921/300921/detail</t>
  </si>
  <si>
    <t>亚世光电</t>
  </si>
  <si>
    <t>www.lixinger.com/analytics/company/sz/002952/2952/detail</t>
  </si>
  <si>
    <t>金春股份</t>
  </si>
  <si>
    <t>www.lixinger.com/analytics/company/sz/300877/300877/detail</t>
  </si>
  <si>
    <t>林海股份</t>
  </si>
  <si>
    <t>www.lixinger.com/analytics/company/sh/600099/600099/detail</t>
  </si>
  <si>
    <t>华昌化工</t>
  </si>
  <si>
    <t>www.lixinger.com/analytics/company/sz/002274/2274/detail</t>
  </si>
  <si>
    <t>煌上煌</t>
  </si>
  <si>
    <t>www.lixinger.com/analytics/company/sz/002695/2695/detail</t>
  </si>
  <si>
    <t>南方精工</t>
  </si>
  <si>
    <t>www.lixinger.com/analytics/company/sz/002553/2553/detail</t>
  </si>
  <si>
    <t>力诺特玻</t>
  </si>
  <si>
    <t>www.lixinger.com/analytics/company/sz/301188/301188/detail</t>
  </si>
  <si>
    <t>瑞晟智能</t>
  </si>
  <si>
    <t>www.lixinger.com/analytics/company/sh/688215/688215/detail</t>
  </si>
  <si>
    <t>惠发食品</t>
  </si>
  <si>
    <t>www.lixinger.com/analytics/company/sh/603536/603536/detail</t>
  </si>
  <si>
    <t>品茗股份</t>
  </si>
  <si>
    <t>www.lixinger.com/analytics/company/sh/688109/688109/detail</t>
  </si>
  <si>
    <t>中大力德</t>
  </si>
  <si>
    <t>www.lixinger.com/analytics/company/sz/002896/2896/detail</t>
  </si>
  <si>
    <t>鼎捷软件</t>
  </si>
  <si>
    <t>www.lixinger.com/analytics/company/sz/300378/300378/detail</t>
  </si>
  <si>
    <t>爱丽家居</t>
  </si>
  <si>
    <t>www.lixinger.com/analytics/company/sh/603221/603221/detail</t>
  </si>
  <si>
    <t>东方材料</t>
  </si>
  <si>
    <t>www.lixinger.com/analytics/company/sh/603110/603110/detail</t>
  </si>
  <si>
    <t>宏川智慧</t>
  </si>
  <si>
    <t>www.lixinger.com/analytics/company/sz/002930/2930/detail</t>
  </si>
  <si>
    <t>东方锆业</t>
  </si>
  <si>
    <t>www.lixinger.com/analytics/company/sz/002167/2167/detail</t>
  </si>
  <si>
    <t>奥福环保</t>
  </si>
  <si>
    <t>www.lixinger.com/analytics/company/sh/688021/688021/detail</t>
  </si>
  <si>
    <t>国机通用</t>
  </si>
  <si>
    <t>www.lixinger.com/analytics/company/sh/600444/600444/detail</t>
  </si>
  <si>
    <t>奥锐特</t>
  </si>
  <si>
    <t>www.lixinger.com/analytics/company/sh/605116/605116/detail</t>
  </si>
  <si>
    <t>天微电子</t>
  </si>
  <si>
    <t>www.lixinger.com/analytics/company/sh/688511/688511/detail</t>
  </si>
  <si>
    <t>山东玻纤</t>
  </si>
  <si>
    <t>www.lixinger.com/analytics/company/sh/605006/605006/detail</t>
  </si>
  <si>
    <t>海辰药业</t>
  </si>
  <si>
    <t>www.lixinger.com/analytics/company/sz/300584/300584/detail</t>
  </si>
  <si>
    <t>宏微科技</t>
  </si>
  <si>
    <t>www.lixinger.com/analytics/company/sh/688711/688711/detail</t>
  </si>
  <si>
    <t>维力医疗</t>
  </si>
  <si>
    <t>www.lixinger.com/analytics/company/sh/603309/603309/detail</t>
  </si>
  <si>
    <t>恒帅股份</t>
  </si>
  <si>
    <t>www.lixinger.com/analytics/company/sz/300969/300969/detail</t>
  </si>
  <si>
    <t>高凌信息</t>
  </si>
  <si>
    <t>www.lixinger.com/analytics/company/sh/688175/688175/detail</t>
  </si>
  <si>
    <t>西南证券</t>
  </si>
  <si>
    <t>www.lixinger.com/analytics/company/sh/600369/600369/detail</t>
  </si>
  <si>
    <t>万事利</t>
  </si>
  <si>
    <t>www.lixinger.com/analytics/company/sz/301066/301066/detail</t>
  </si>
  <si>
    <t>恒基达鑫</t>
  </si>
  <si>
    <t>www.lixinger.com/analytics/company/sz/002492/2492/detail</t>
  </si>
  <si>
    <t>清研环境</t>
  </si>
  <si>
    <t>www.lixinger.com/analytics/company/sz/301288/301288/detail</t>
  </si>
  <si>
    <t>金陵体育</t>
  </si>
  <si>
    <t>www.lixinger.com/analytics/company/sz/300651/300651/detail</t>
  </si>
  <si>
    <t>申科股份</t>
  </si>
  <si>
    <t>www.lixinger.com/analytics/company/sz/002633/2633/detail</t>
  </si>
  <si>
    <t>弘宇股份</t>
  </si>
  <si>
    <t>www.lixinger.com/analytics/company/sz/002890/2890/detail</t>
  </si>
  <si>
    <t>南卫股份</t>
  </si>
  <si>
    <t>www.lixinger.com/analytics/company/sh/603880/603880/detail</t>
  </si>
  <si>
    <t>西力科技</t>
  </si>
  <si>
    <t>www.lixinger.com/analytics/company/sh/688616/688616/detail</t>
  </si>
  <si>
    <t>东吴证券</t>
  </si>
  <si>
    <t>www.lixinger.com/analytics/company/sh/601555/601555/detail</t>
  </si>
  <si>
    <t>远信工业</t>
  </si>
  <si>
    <t>www.lixinger.com/analytics/company/sz/301053/301053/detail</t>
  </si>
  <si>
    <t>华纳药厂</t>
  </si>
  <si>
    <t>www.lixinger.com/analytics/company/sh/688799/688799/detail</t>
  </si>
  <si>
    <t>同德化工</t>
  </si>
  <si>
    <t>www.lixinger.com/analytics/company/sz/002360/2360/detail</t>
  </si>
  <si>
    <t>恒源煤电</t>
  </si>
  <si>
    <t>www.lixinger.com/analytics/company/sh/600971/600971/detail</t>
  </si>
  <si>
    <t>皖仪科技</t>
  </si>
  <si>
    <t>www.lixinger.com/analytics/company/sh/688600/688600/detail</t>
  </si>
  <si>
    <t>德恩精工</t>
  </si>
  <si>
    <t>www.lixinger.com/analytics/company/sz/300780/300780/detail</t>
  </si>
  <si>
    <t>亚邦股份</t>
  </si>
  <si>
    <t>www.lixinger.com/analytics/company/sh/603188/603188/detail</t>
  </si>
  <si>
    <t>飞天诚信</t>
  </si>
  <si>
    <t>www.lixinger.com/analytics/company/sz/300386/300386/detail</t>
  </si>
  <si>
    <t>奥尼电子</t>
  </si>
  <si>
    <t>www.lixinger.com/analytics/company/sz/301189/301189/detail</t>
  </si>
  <si>
    <t>乐山电力</t>
  </si>
  <si>
    <t>www.lixinger.com/analytics/company/sh/600644/600644/detail</t>
  </si>
  <si>
    <t>康欣新材</t>
  </si>
  <si>
    <t>www.lixinger.com/analytics/company/sh/600076/600076/detail</t>
  </si>
  <si>
    <t>宜宾纸业</t>
  </si>
  <si>
    <t>www.lixinger.com/analytics/company/sh/600793/600793/detail</t>
  </si>
  <si>
    <t>方邦股份</t>
  </si>
  <si>
    <t>www.lixinger.com/analytics/company/sh/688020/688020/detail</t>
  </si>
  <si>
    <t>青岛啤酒</t>
  </si>
  <si>
    <t>www.lixinger.com/analytics/company/sh/600600/600600/detail</t>
  </si>
  <si>
    <t>威尔药业</t>
  </si>
  <si>
    <t>www.lixinger.com/analytics/company/sh/603351/603351/detail</t>
  </si>
  <si>
    <t>浙江众成</t>
  </si>
  <si>
    <t>www.lixinger.com/analytics/company/sz/002522/2522/detail</t>
  </si>
  <si>
    <t>炬申股份</t>
  </si>
  <si>
    <t>www.lixinger.com/analytics/company/sz/001202/1202/detail</t>
  </si>
  <si>
    <t>江苏索普</t>
  </si>
  <si>
    <t>www.lixinger.com/analytics/company/sh/600746/600746/detail</t>
  </si>
  <si>
    <t>海伦钢琴</t>
  </si>
  <si>
    <t>www.lixinger.com/analytics/company/sz/300329/300329/detail</t>
  </si>
  <si>
    <t>古鳌科技</t>
  </si>
  <si>
    <t>www.lixinger.com/analytics/company/sz/300551/300551/detail</t>
  </si>
  <si>
    <t>三峡新材</t>
  </si>
  <si>
    <t>www.lixinger.com/analytics/company/sh/600293/600293/detail</t>
  </si>
  <si>
    <t>捷强装备</t>
  </si>
  <si>
    <t>www.lixinger.com/analytics/company/sz/300875/300875/detail</t>
  </si>
  <si>
    <t>海量数据</t>
  </si>
  <si>
    <t>www.lixinger.com/analytics/company/sh/603138/603138/detail</t>
  </si>
  <si>
    <t>建新股份</t>
  </si>
  <si>
    <t>www.lixinger.com/analytics/company/sz/300107/300107/detail</t>
  </si>
  <si>
    <t>ST天润</t>
  </si>
  <si>
    <t>www.lixinger.com/analytics/company/sz/002113/2113/detail</t>
  </si>
  <si>
    <t>ST天马</t>
  </si>
  <si>
    <t>www.lixinger.com/analytics/company/sz/002122/2122/detail</t>
  </si>
  <si>
    <t>金牌厨柜</t>
  </si>
  <si>
    <t>www.lixinger.com/analytics/company/sh/603180/603180/detail</t>
  </si>
  <si>
    <t>恒辉安防</t>
  </si>
  <si>
    <t>www.lixinger.com/analytics/company/sz/300952/300952/detail</t>
  </si>
  <si>
    <t>锐新科技</t>
  </si>
  <si>
    <t>www.lixinger.com/analytics/company/sz/300828/300828/detail</t>
  </si>
  <si>
    <t>美思德</t>
  </si>
  <si>
    <t>www.lixinger.com/analytics/company/sh/603041/603041/detail</t>
  </si>
  <si>
    <t>开开实业</t>
  </si>
  <si>
    <t>www.lixinger.com/analytics/company/sh/600272/600272/detail</t>
  </si>
  <si>
    <t>诺泰生物</t>
  </si>
  <si>
    <t>www.lixinger.com/analytics/company/sh/688076/688076/detail</t>
  </si>
  <si>
    <t>纬德信息</t>
  </si>
  <si>
    <t>www.lixinger.com/analytics/company/sh/688171/688171/detail</t>
  </si>
  <si>
    <t>真爱美家</t>
  </si>
  <si>
    <t>www.lixinger.com/analytics/company/sz/003041/3041/detail</t>
  </si>
  <si>
    <t>富春股份</t>
  </si>
  <si>
    <t>www.lixinger.com/analytics/company/sz/300299/300299/detail</t>
  </si>
  <si>
    <t>苏宁环球</t>
  </si>
  <si>
    <t>www.lixinger.com/analytics/company/sz/000718/718/detail</t>
  </si>
  <si>
    <t>深华发Ａ</t>
  </si>
  <si>
    <t>www.lixinger.com/analytics/company/sz/000020/20/detail</t>
  </si>
  <si>
    <t>华西股份</t>
  </si>
  <si>
    <t>www.lixinger.com/analytics/company/sz/000936/936/detail</t>
  </si>
  <si>
    <t>*ST新光</t>
  </si>
  <si>
    <t>www.lixinger.com/analytics/company/sz/002147/2147/detail</t>
  </si>
  <si>
    <t>*ST中基</t>
  </si>
  <si>
    <t>www.lixinger.com/analytics/company/sz/000972/972/detail</t>
  </si>
  <si>
    <t>京能置业</t>
  </si>
  <si>
    <t>www.lixinger.com/analytics/company/sh/600791/600791/detail</t>
  </si>
  <si>
    <t>明月镜片</t>
  </si>
  <si>
    <t>www.lixinger.com/analytics/company/sz/301101/301101/detail</t>
  </si>
  <si>
    <t>中源家居</t>
  </si>
  <si>
    <t>www.lixinger.com/analytics/company/sh/603709/603709/detail</t>
  </si>
  <si>
    <t>登云股份</t>
  </si>
  <si>
    <t>www.lixinger.com/analytics/company/sz/002715/2715/detail</t>
  </si>
  <si>
    <t>蕾奥规划</t>
  </si>
  <si>
    <t>www.lixinger.com/analytics/company/sz/300989/300989/detail</t>
  </si>
  <si>
    <t>北元集团</t>
  </si>
  <si>
    <t>www.lixinger.com/analytics/company/sh/601568/601568/detail</t>
  </si>
  <si>
    <t>卫光生物</t>
  </si>
  <si>
    <t>www.lixinger.com/analytics/company/sz/002880/2880/detail</t>
  </si>
  <si>
    <t>天玑科技</t>
  </si>
  <si>
    <t>www.lixinger.com/analytics/company/sz/300245/300245/detail</t>
  </si>
  <si>
    <t>爱朋医疗</t>
  </si>
  <si>
    <t>www.lixinger.com/analytics/company/sz/300753/300753/detail</t>
  </si>
  <si>
    <t>统联精密</t>
  </si>
  <si>
    <t>www.lixinger.com/analytics/company/sh/688210/688210/detail</t>
  </si>
  <si>
    <t>华虹计通</t>
  </si>
  <si>
    <t>www.lixinger.com/analytics/company/sz/300330/300330/detail</t>
  </si>
  <si>
    <t>*ST利源</t>
  </si>
  <si>
    <t>www.lixinger.com/analytics/company/sz/002501/2501/detail</t>
  </si>
  <si>
    <t>天地数码</t>
  </si>
  <si>
    <t>www.lixinger.com/analytics/company/sz/300743/300743/detail</t>
  </si>
  <si>
    <t>蜀道装备</t>
  </si>
  <si>
    <t>www.lixinger.com/analytics/company/sz/300540/300540/detail</t>
  </si>
  <si>
    <t>迈得医疗</t>
  </si>
  <si>
    <t>www.lixinger.com/analytics/company/sh/688310/688310/detail</t>
  </si>
  <si>
    <t>灵康药业</t>
  </si>
  <si>
    <t>www.lixinger.com/analytics/company/sh/603669/603669/detail</t>
  </si>
  <si>
    <t>大东南</t>
  </si>
  <si>
    <t>www.lixinger.com/analytics/company/sz/002263/2263/detail</t>
  </si>
  <si>
    <t>得利斯</t>
  </si>
  <si>
    <t>www.lixinger.com/analytics/company/sz/002330/2330/detail</t>
  </si>
  <si>
    <t>洪兴股份</t>
  </si>
  <si>
    <t>www.lixinger.com/analytics/company/sz/001209/1209/detail</t>
  </si>
  <si>
    <t>凯旺科技</t>
  </si>
  <si>
    <t>www.lixinger.com/analytics/company/sz/301182/301182/detail</t>
  </si>
  <si>
    <t>甘化科工</t>
  </si>
  <si>
    <t>www.lixinger.com/analytics/company/sz/000576/576/detail</t>
  </si>
  <si>
    <t>聚杰微纤</t>
  </si>
  <si>
    <t>www.lixinger.com/analytics/company/sz/300819/300819/detail</t>
  </si>
  <si>
    <t>江西长运</t>
  </si>
  <si>
    <t>www.lixinger.com/analytics/company/sh/600561/600561/detail</t>
  </si>
  <si>
    <t>安硕信息</t>
  </si>
  <si>
    <t>www.lixinger.com/analytics/company/sz/300380/300380/detail</t>
  </si>
  <si>
    <t>英诺激光</t>
  </si>
  <si>
    <t>www.lixinger.com/analytics/company/sz/301021/301021/detail</t>
  </si>
  <si>
    <t>中达安</t>
  </si>
  <si>
    <t>www.lixinger.com/analytics/company/sz/300635/300635/detail</t>
  </si>
  <si>
    <t>利扬芯片</t>
  </si>
  <si>
    <t>www.lixinger.com/analytics/company/sh/688135/688135/detail</t>
  </si>
  <si>
    <t>第一医药</t>
  </si>
  <si>
    <t>www.lixinger.com/analytics/company/sh/600833/600833/detail</t>
  </si>
  <si>
    <t>茶花股份</t>
  </si>
  <si>
    <t>www.lixinger.com/analytics/company/sh/603615/603615/detail</t>
  </si>
  <si>
    <t>伊力特</t>
  </si>
  <si>
    <t>www.lixinger.com/analytics/company/sh/600197/600197/detail</t>
  </si>
  <si>
    <t>沙钢股份</t>
  </si>
  <si>
    <t>www.lixinger.com/analytics/company/sz/002075/2075/detail</t>
  </si>
  <si>
    <t>图南股份</t>
  </si>
  <si>
    <t>www.lixinger.com/analytics/company/sz/300855/300855/detail</t>
  </si>
  <si>
    <t>润都股份</t>
  </si>
  <si>
    <t>www.lixinger.com/analytics/company/sz/002923/2923/detail</t>
  </si>
  <si>
    <t>嘉必优</t>
  </si>
  <si>
    <t>www.lixinger.com/analytics/company/sh/688089/688089/detail</t>
  </si>
  <si>
    <t>晶方科技</t>
  </si>
  <si>
    <t>www.lixinger.com/analytics/company/sh/603005/603005/detail</t>
  </si>
  <si>
    <t>雷迪克</t>
  </si>
  <si>
    <t>www.lixinger.com/analytics/company/sz/300652/300652/detail</t>
  </si>
  <si>
    <t>沪宁股份</t>
  </si>
  <si>
    <t>www.lixinger.com/analytics/company/sz/300669/300669/detail</t>
  </si>
  <si>
    <t>欣天科技</t>
  </si>
  <si>
    <t>www.lixinger.com/analytics/company/sz/300615/300615/detail</t>
  </si>
  <si>
    <t>亚钾国际</t>
  </si>
  <si>
    <t>www.lixinger.com/analytics/company/sz/000893/893/detail</t>
  </si>
  <si>
    <t>纵横股份</t>
  </si>
  <si>
    <t>www.lixinger.com/analytics/company/sh/688070/688070/detail</t>
  </si>
  <si>
    <t>华锐精密</t>
  </si>
  <si>
    <t>www.lixinger.com/analytics/company/sh/688059/688059/detail</t>
  </si>
  <si>
    <t>ST新海</t>
  </si>
  <si>
    <t>www.lixinger.com/analytics/company/sz/002089/2089/detail</t>
  </si>
  <si>
    <t>汉王科技</t>
  </si>
  <si>
    <t>www.lixinger.com/analytics/company/sz/002362/2362/detail</t>
  </si>
  <si>
    <t>和顺科技</t>
  </si>
  <si>
    <t>www.lixinger.com/analytics/company/sz/301237/301237/detail</t>
  </si>
  <si>
    <t>奥来德</t>
  </si>
  <si>
    <t>www.lixinger.com/analytics/company/sh/688378/688378/detail</t>
  </si>
  <si>
    <t>怡达股份</t>
  </si>
  <si>
    <t>www.lixinger.com/analytics/company/sz/300721/300721/detail</t>
  </si>
  <si>
    <t>东华测试</t>
  </si>
  <si>
    <t>www.lixinger.com/analytics/company/sz/300354/300354/detail</t>
  </si>
  <si>
    <t>创兴资源</t>
  </si>
  <si>
    <t>www.lixinger.com/analytics/company/sh/600193/600193/detail</t>
  </si>
  <si>
    <t>键凯科技</t>
  </si>
  <si>
    <t>www.lixinger.com/analytics/company/sh/688356/688356/detail</t>
  </si>
  <si>
    <t>渝开发</t>
  </si>
  <si>
    <t>www.lixinger.com/analytics/company/sz/000514/514/detail</t>
  </si>
  <si>
    <t>浦东金桥</t>
  </si>
  <si>
    <t>www.lixinger.com/analytics/company/sh/600639/600639/detail</t>
  </si>
  <si>
    <t>宏英智能</t>
  </si>
  <si>
    <t>www.lixinger.com/analytics/company/sz/001266/1266/detail</t>
  </si>
  <si>
    <t>迅捷兴</t>
  </si>
  <si>
    <t>www.lixinger.com/analytics/company/sh/688655/688655/detail</t>
  </si>
  <si>
    <t>远兴能源</t>
  </si>
  <si>
    <t>www.lixinger.com/analytics/company/sz/000683/683/detail</t>
  </si>
  <si>
    <t>波导股份</t>
  </si>
  <si>
    <t>www.lixinger.com/analytics/company/sh/600130/600130/detail</t>
  </si>
  <si>
    <t>陇神戎发</t>
  </si>
  <si>
    <t>www.lixinger.com/analytics/company/sz/300534/300534/detail</t>
  </si>
  <si>
    <t>康芝药业</t>
  </si>
  <si>
    <t>www.lixinger.com/analytics/company/sz/300086/300086/detail</t>
  </si>
  <si>
    <t>迪阿股份</t>
  </si>
  <si>
    <t>www.lixinger.com/analytics/company/sz/301177/301177/detail</t>
  </si>
  <si>
    <t>燕麦科技</t>
  </si>
  <si>
    <t>www.lixinger.com/analytics/company/sh/688312/688312/detail</t>
  </si>
  <si>
    <t>农尚环境</t>
  </si>
  <si>
    <t>www.lixinger.com/analytics/company/sz/300536/300536/detail</t>
  </si>
  <si>
    <t>英杰电气</t>
  </si>
  <si>
    <t>www.lixinger.com/analytics/company/sz/300820/300820/detail</t>
  </si>
  <si>
    <t>税友股份</t>
  </si>
  <si>
    <t>www.lixinger.com/analytics/company/sh/603171/603171/detail</t>
  </si>
  <si>
    <t>安科瑞</t>
  </si>
  <si>
    <t>www.lixinger.com/analytics/company/sz/300286/300286/detail</t>
  </si>
  <si>
    <t>宁波联合</t>
  </si>
  <si>
    <t>www.lixinger.com/analytics/company/sh/600051/600051/detail</t>
  </si>
  <si>
    <t>石头科技</t>
  </si>
  <si>
    <t>www.lixinger.com/analytics/company/sh/688169/688169/detail</t>
  </si>
  <si>
    <t>和科达</t>
  </si>
  <si>
    <t>www.lixinger.com/analytics/company/sz/002816/2816/detail</t>
  </si>
  <si>
    <t>川恒股份</t>
  </si>
  <si>
    <t>www.lixinger.com/analytics/company/sz/002895/2895/detail</t>
  </si>
  <si>
    <t>若羽臣</t>
  </si>
  <si>
    <t>www.lixinger.com/analytics/company/sz/003010/3010/detail</t>
  </si>
  <si>
    <t>三力士</t>
  </si>
  <si>
    <t>www.lixinger.com/analytics/company/sz/002224/2224/detail</t>
  </si>
  <si>
    <t>联测科技</t>
  </si>
  <si>
    <t>www.lixinger.com/analytics/company/sh/688113/688113/detail</t>
  </si>
  <si>
    <t>迪贝电气</t>
  </si>
  <si>
    <t>www.lixinger.com/analytics/company/sh/603320/603320/detail</t>
  </si>
  <si>
    <t>上海亚虹</t>
  </si>
  <si>
    <t>www.lixinger.com/analytics/company/sh/603159/603159/detail</t>
  </si>
  <si>
    <t>ST中珠</t>
  </si>
  <si>
    <t>www.lixinger.com/analytics/company/sh/600568/600568/detail</t>
  </si>
  <si>
    <t>奥普家居</t>
  </si>
  <si>
    <t>www.lixinger.com/analytics/company/sh/603551/603551/detail</t>
  </si>
  <si>
    <t>星湖科技</t>
  </si>
  <si>
    <t>www.lixinger.com/analytics/company/sh/600866/600866/detail</t>
  </si>
  <si>
    <t>中科金财</t>
  </si>
  <si>
    <t>www.lixinger.com/analytics/company/sz/002657/2657/detail</t>
  </si>
  <si>
    <t>牧原股份</t>
  </si>
  <si>
    <t>www.lixinger.com/analytics/company/sz/002714/2714/detail</t>
  </si>
  <si>
    <t>沐邦高科</t>
  </si>
  <si>
    <t>www.lixinger.com/analytics/company/sh/603398/603398/detail</t>
  </si>
  <si>
    <t>炬光科技</t>
  </si>
  <si>
    <t>www.lixinger.com/analytics/company/sh/688167/688167/detail</t>
  </si>
  <si>
    <t>爱旭股份</t>
  </si>
  <si>
    <t>www.lixinger.com/analytics/company/sh/600732/600732/detail</t>
  </si>
  <si>
    <t>大东方</t>
  </si>
  <si>
    <t>www.lixinger.com/analytics/company/sh/600327/600327/detail</t>
  </si>
  <si>
    <t>澄天伟业</t>
  </si>
  <si>
    <t>www.lixinger.com/analytics/company/sz/300689/300689/detail</t>
  </si>
  <si>
    <t>*ST腾邦</t>
  </si>
  <si>
    <t>www.lixinger.com/analytics/company/sz/300178/300178/detail</t>
  </si>
  <si>
    <t>拉芳家化</t>
  </si>
  <si>
    <t>www.lixinger.com/analytics/company/sh/603630/603630/detail</t>
  </si>
  <si>
    <t>惠城环保</t>
  </si>
  <si>
    <t>www.lixinger.com/analytics/company/sz/300779/300779/detail</t>
  </si>
  <si>
    <t>春雪食品</t>
  </si>
  <si>
    <t>www.lixinger.com/analytics/company/sh/605567/605567/detail</t>
  </si>
  <si>
    <t>沈阳化工</t>
  </si>
  <si>
    <t>www.lixinger.com/analytics/company/sz/000698/698/detail</t>
  </si>
  <si>
    <t>洁雅股份</t>
  </si>
  <si>
    <t>www.lixinger.com/analytics/company/sz/301108/301108/detail</t>
  </si>
  <si>
    <t>禾信仪器</t>
  </si>
  <si>
    <t>www.lixinger.com/analytics/company/sh/688622/688622/detail</t>
  </si>
  <si>
    <t>迎丰股份</t>
  </si>
  <si>
    <t>www.lixinger.com/analytics/company/sh/605055/605055/detail</t>
  </si>
  <si>
    <t>冠昊生物</t>
  </si>
  <si>
    <t>www.lixinger.com/analytics/company/sz/300238/300238/detail</t>
  </si>
  <si>
    <t>爱司凯</t>
  </si>
  <si>
    <t>www.lixinger.com/analytics/company/sz/300521/300521/detail</t>
  </si>
  <si>
    <t>中汽股份</t>
  </si>
  <si>
    <t>www.lixinger.com/analytics/company/sz/301215/301215/detail</t>
  </si>
  <si>
    <t>热景生物</t>
  </si>
  <si>
    <t>www.lixinger.com/analytics/company/sh/688068/688068/detail</t>
  </si>
  <si>
    <t>粤高速Ａ</t>
  </si>
  <si>
    <t>www.lixinger.com/analytics/company/sz/000429/429/detail</t>
  </si>
  <si>
    <t>仟源医药</t>
  </si>
  <si>
    <t>www.lixinger.com/analytics/company/sz/300254/300254/detail</t>
  </si>
  <si>
    <t>古井贡Ｂ</t>
  </si>
  <si>
    <t>www.lixinger.com/analytics/company/sz/200596/200596/detail</t>
  </si>
  <si>
    <t>奥园美谷</t>
  </si>
  <si>
    <t>医美服务</t>
  </si>
  <si>
    <t>www.lixinger.com/analytics/company/sz/000615/615/detail</t>
  </si>
  <si>
    <t>美瑞新材</t>
  </si>
  <si>
    <t>www.lixinger.com/analytics/company/sz/300848/300848/detail</t>
  </si>
  <si>
    <t>扬子新材</t>
  </si>
  <si>
    <t>www.lixinger.com/analytics/company/sz/002652/2652/detail</t>
  </si>
  <si>
    <t>金新农</t>
  </si>
  <si>
    <t>www.lixinger.com/analytics/company/sz/002548/2548/detail</t>
  </si>
  <si>
    <t>田中精机</t>
  </si>
  <si>
    <t>www.lixinger.com/analytics/company/sz/300461/300461/detail</t>
  </si>
  <si>
    <t>华盛昌</t>
  </si>
  <si>
    <t>www.lixinger.com/analytics/company/sz/002980/2980/detail</t>
  </si>
  <si>
    <t>中坚科技</t>
  </si>
  <si>
    <t>www.lixinger.com/analytics/company/sz/002779/2779/detail</t>
  </si>
  <si>
    <t>中英科技</t>
  </si>
  <si>
    <t>www.lixinger.com/analytics/company/sz/300936/300936/detail</t>
  </si>
  <si>
    <t>空港股份</t>
  </si>
  <si>
    <t>www.lixinger.com/analytics/company/sh/600463/600463/detail</t>
  </si>
  <si>
    <t>宝塔实业</t>
  </si>
  <si>
    <t>www.lixinger.com/analytics/company/sz/000595/595/detail</t>
  </si>
  <si>
    <t>浙矿股份</t>
  </si>
  <si>
    <t>www.lixinger.com/analytics/company/sz/300837/300837/detail</t>
  </si>
  <si>
    <t>德龙汇能</t>
  </si>
  <si>
    <t>www.lixinger.com/analytics/company/sz/000593/593/detail</t>
  </si>
  <si>
    <t>实丰文化</t>
  </si>
  <si>
    <t>www.lixinger.com/analytics/company/sz/002862/2862/detail</t>
  </si>
  <si>
    <t>东亚药业</t>
  </si>
  <si>
    <t>www.lixinger.com/analytics/company/sh/605177/605177/detail</t>
  </si>
  <si>
    <t>西藏珠峰</t>
  </si>
  <si>
    <t>www.lixinger.com/analytics/company/sh/600338/600338/detail</t>
  </si>
  <si>
    <t>万泽股份</t>
  </si>
  <si>
    <t>www.lixinger.com/analytics/company/sz/000534/534/detail</t>
  </si>
  <si>
    <t>千禾味业</t>
  </si>
  <si>
    <t>www.lixinger.com/analytics/company/sh/603027/603027/detail</t>
  </si>
  <si>
    <t>兴齐眼药</t>
  </si>
  <si>
    <t>www.lixinger.com/analytics/company/sz/300573/300573/detail</t>
  </si>
  <si>
    <t>盈建科</t>
  </si>
  <si>
    <t>www.lixinger.com/analytics/company/sz/300935/300935/detail</t>
  </si>
  <si>
    <t>海利生物</t>
  </si>
  <si>
    <t>www.lixinger.com/analytics/company/sh/603718/603718/detail</t>
  </si>
  <si>
    <t>亿通科技</t>
  </si>
  <si>
    <t>www.lixinger.com/analytics/company/sz/300211/300211/detail</t>
  </si>
  <si>
    <t>移为通信</t>
  </si>
  <si>
    <t>www.lixinger.com/analytics/company/sz/300590/300590/detail</t>
  </si>
  <si>
    <t>四方光电</t>
  </si>
  <si>
    <t>www.lixinger.com/analytics/company/sh/688665/688665/detail</t>
  </si>
  <si>
    <t>科威尔</t>
  </si>
  <si>
    <t>www.lixinger.com/analytics/company/sh/688551/688551/detail</t>
  </si>
  <si>
    <t>富临运业</t>
  </si>
  <si>
    <t>www.lixinger.com/analytics/company/sz/002357/2357/detail</t>
  </si>
  <si>
    <t>龙源电力</t>
  </si>
  <si>
    <t>www.lixinger.com/analytics/company/sz/001289/1289/detail</t>
  </si>
  <si>
    <t>妙可蓝多</t>
  </si>
  <si>
    <t>www.lixinger.com/analytics/company/sh/600882/600882/detail</t>
  </si>
  <si>
    <t>荣安地产</t>
  </si>
  <si>
    <t>www.lixinger.com/analytics/company/sz/000517/517/detail</t>
  </si>
  <si>
    <t>东岳硅材</t>
  </si>
  <si>
    <t>www.lixinger.com/analytics/company/sz/300821/300821/detail</t>
  </si>
  <si>
    <t>华辰装备</t>
  </si>
  <si>
    <t>www.lixinger.com/analytics/company/sz/300809/300809/detail</t>
  </si>
  <si>
    <t>欣龙控股</t>
  </si>
  <si>
    <t>www.lixinger.com/analytics/company/sz/000955/955/detail</t>
  </si>
  <si>
    <t>北陆药业</t>
  </si>
  <si>
    <t>www.lixinger.com/analytics/company/sz/300016/300016/detail</t>
  </si>
  <si>
    <t>菜百股份</t>
  </si>
  <si>
    <t>www.lixinger.com/analytics/company/sh/605599/605599/detail</t>
  </si>
  <si>
    <t>青海春天</t>
  </si>
  <si>
    <t>www.lixinger.com/analytics/company/sh/600381/600381/detail</t>
  </si>
  <si>
    <t>显盈科技</t>
  </si>
  <si>
    <t>www.lixinger.com/analytics/company/sz/301067/301067/detail</t>
  </si>
  <si>
    <t>国金证券</t>
  </si>
  <si>
    <t>www.lixinger.com/analytics/company/sh/600109/600109/detail</t>
  </si>
  <si>
    <t>富信科技</t>
  </si>
  <si>
    <t>www.lixinger.com/analytics/company/sh/688662/688662/detail</t>
  </si>
  <si>
    <t>上海凯鑫</t>
  </si>
  <si>
    <t>www.lixinger.com/analytics/company/sz/300899/300899/detail</t>
  </si>
  <si>
    <t>佳创视讯</t>
  </si>
  <si>
    <t>www.lixinger.com/analytics/company/sz/300264/300264/detail</t>
  </si>
  <si>
    <t>雷柏科技</t>
  </si>
  <si>
    <t>www.lixinger.com/analytics/company/sz/002577/2577/detail</t>
  </si>
  <si>
    <t>新劲刚</t>
  </si>
  <si>
    <t>www.lixinger.com/analytics/company/sz/300629/300629/detail</t>
  </si>
  <si>
    <t>华西证券</t>
  </si>
  <si>
    <t>www.lixinger.com/analytics/company/sz/002926/2926/detail</t>
  </si>
  <si>
    <t>电科院</t>
  </si>
  <si>
    <t>www.lixinger.com/analytics/company/sz/300215/300215/detail</t>
  </si>
  <si>
    <t>润阳科技</t>
  </si>
  <si>
    <t>www.lixinger.com/analytics/company/sz/300920/300920/detail</t>
  </si>
  <si>
    <t>粤传媒</t>
  </si>
  <si>
    <t>www.lixinger.com/analytics/company/sz/002181/2181/detail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</si>
  <si>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</si>
  <si>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</si>
  <si>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</si>
  <si>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</si>
  <si>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克来机电</t>
  </si>
  <si>
    <t>www.lixinger.com/analytics/company/sh/603960/603960/detail</t>
  </si>
  <si>
    <t>正弦电气</t>
  </si>
  <si>
    <t>www.lixinger.com/analytics/company/sh/688395/688395/detail</t>
  </si>
  <si>
    <t>镇洋发展</t>
  </si>
  <si>
    <t>www.lixinger.com/analytics/company/sh/603213/603213/detail</t>
  </si>
  <si>
    <t>雪龙集团</t>
  </si>
  <si>
    <t>www.lixinger.com/analytics/company/sh/603949/603949/detail</t>
  </si>
  <si>
    <t>巨星农牧</t>
  </si>
  <si>
    <t>www.lixinger.com/analytics/company/sh/603477/603477/detail</t>
  </si>
  <si>
    <t>朗科科技</t>
  </si>
  <si>
    <t>www.lixinger.com/analytics/company/sz/300042/300042/detail</t>
  </si>
  <si>
    <t>创新医疗</t>
  </si>
  <si>
    <t>www.lixinger.com/analytics/company/sz/002173/2173/detail</t>
  </si>
  <si>
    <t>康隆达</t>
  </si>
  <si>
    <t>www.lixinger.com/analytics/company/sh/603665/603665/detail</t>
  </si>
  <si>
    <t>嘉应制药</t>
  </si>
  <si>
    <t>www.lixinger.com/analytics/company/sz/002198/2198/detail</t>
  </si>
  <si>
    <t>中晶科技</t>
  </si>
  <si>
    <t>www.lixinger.com/analytics/company/sz/003026/3026/detail</t>
  </si>
  <si>
    <t>黄山胶囊</t>
  </si>
  <si>
    <t>www.lixinger.com/analytics/company/sz/002817/2817/detail</t>
  </si>
  <si>
    <t>理邦仪器</t>
  </si>
  <si>
    <t>www.lixinger.com/analytics/company/sz/300206/300206/detail</t>
  </si>
  <si>
    <t>宁波色母</t>
  </si>
  <si>
    <t>www.lixinger.com/analytics/company/sz/301019/301019/detail</t>
  </si>
  <si>
    <t>金石资源</t>
  </si>
  <si>
    <t>www.lixinger.com/analytics/company/sh/603505/603505/detail</t>
  </si>
  <si>
    <t>春秋航空</t>
  </si>
  <si>
    <t>www.lixinger.com/analytics/company/sh/601021/601021/detail</t>
  </si>
  <si>
    <t>科德数控</t>
  </si>
  <si>
    <t>www.lixinger.com/analytics/company/sh/688305/688305/detail</t>
  </si>
  <si>
    <t>益民集团</t>
  </si>
  <si>
    <t>www.lixinger.com/analytics/company/sh/600824/600824/detail</t>
  </si>
  <si>
    <t>敦煌种业</t>
  </si>
  <si>
    <t>www.lixinger.com/analytics/company/sh/600354/600354/detail</t>
  </si>
  <si>
    <t>创益通</t>
  </si>
  <si>
    <t>www.lixinger.com/analytics/company/sz/300991/300991/detail</t>
  </si>
  <si>
    <t>腾景科技</t>
  </si>
  <si>
    <t>www.lixinger.com/analytics/company/sh/688195/688195/detail</t>
  </si>
  <si>
    <t>泰福泵业</t>
  </si>
  <si>
    <t>www.lixinger.com/analytics/company/sz/300992/300992/detail</t>
  </si>
  <si>
    <t>腾信股份</t>
  </si>
  <si>
    <t>www.lixinger.com/analytics/company/sz/300392/300392/detail</t>
  </si>
  <si>
    <t>超捷股份</t>
  </si>
  <si>
    <t>www.lixinger.com/analytics/company/sz/301005/301005/detail</t>
  </si>
  <si>
    <t>山西路桥</t>
  </si>
  <si>
    <t>www.lixinger.com/analytics/company/sz/000755/755/detail</t>
  </si>
  <si>
    <t>松发股份</t>
  </si>
  <si>
    <t>www.lixinger.com/analytics/company/sh/603268/603268/detail</t>
  </si>
  <si>
    <t>华图山鼎</t>
  </si>
  <si>
    <t>www.lixinger.com/analytics/company/sz/300492/300492/detail</t>
  </si>
  <si>
    <t>三超新材</t>
  </si>
  <si>
    <t>www.lixinger.com/analytics/company/sz/300554/300554/detail</t>
  </si>
  <si>
    <t>返利科技</t>
  </si>
  <si>
    <t>www.lixinger.com/analytics/company/sh/600228/600228/detail</t>
  </si>
  <si>
    <t>亨迪药业</t>
  </si>
  <si>
    <t>www.lixinger.com/analytics/company/sz/301211/301211/detail</t>
  </si>
  <si>
    <t>金花股份</t>
  </si>
  <si>
    <t>www.lixinger.com/analytics/company/sh/600080/600080/detail</t>
  </si>
  <si>
    <t>泛亚微透</t>
  </si>
  <si>
    <t>www.lixinger.com/analytics/company/sh/688386/688386/detail</t>
  </si>
  <si>
    <t>智莱科技</t>
  </si>
  <si>
    <t>www.lixinger.com/analytics/company/sz/300771/300771/detail</t>
  </si>
  <si>
    <t>保力新</t>
  </si>
  <si>
    <t>www.lixinger.com/analytics/company/sz/300116/300116/detail</t>
  </si>
  <si>
    <t>朗源股份</t>
  </si>
  <si>
    <t>www.lixinger.com/analytics/company/sz/300175/300175/detail</t>
  </si>
  <si>
    <t>*ST德奥</t>
  </si>
  <si>
    <t>www.lixinger.com/analytics/company/sz/002260/2260/detail</t>
  </si>
  <si>
    <t>易明医药</t>
  </si>
  <si>
    <t>www.lixinger.com/analytics/company/sz/002826/2826/detail</t>
  </si>
  <si>
    <t>贝斯美</t>
  </si>
  <si>
    <t>www.lixinger.com/analytics/company/sz/300796/300796/detail</t>
  </si>
  <si>
    <t>芯朋微</t>
  </si>
  <si>
    <t>www.lixinger.com/analytics/company/sh/688508/688508/detail</t>
  </si>
  <si>
    <t>翠微股份</t>
  </si>
  <si>
    <t>www.lixinger.com/analytics/company/sh/603123/603123/detail</t>
  </si>
  <si>
    <t>科德教育</t>
  </si>
  <si>
    <t>www.lixinger.com/analytics/company/sz/300192/300192/detail</t>
  </si>
  <si>
    <t>南京港</t>
  </si>
  <si>
    <t>www.lixinger.com/analytics/company/sz/002040/2040/detail</t>
  </si>
  <si>
    <t>莲花健康</t>
  </si>
  <si>
    <t>www.lixinger.com/analytics/company/sh/600186/600186/detail</t>
  </si>
  <si>
    <t>开创国际</t>
  </si>
  <si>
    <t>海洋捕捞</t>
  </si>
  <si>
    <t>www.lixinger.com/analytics/company/sh/600097/600097/detail</t>
  </si>
  <si>
    <t>科拓生物</t>
  </si>
  <si>
    <t>www.lixinger.com/analytics/company/sz/300858/300858/detail</t>
  </si>
  <si>
    <t>宝鼎科技</t>
  </si>
  <si>
    <t>www.lixinger.com/analytics/company/sz/002552/2552/detail</t>
  </si>
  <si>
    <t>吉贝尔</t>
  </si>
  <si>
    <t>www.lixinger.com/analytics/company/sh/688566/688566/detail</t>
  </si>
  <si>
    <t>中原证券</t>
  </si>
  <si>
    <t>www.lixinger.com/analytics/company/sh/601375/601375/detail</t>
  </si>
  <si>
    <t>众信旅游</t>
  </si>
  <si>
    <t>www.lixinger.com/analytics/company/sz/002707/2707/detail</t>
  </si>
  <si>
    <t>华瓷股份</t>
  </si>
  <si>
    <t>www.lixinger.com/analytics/company/sz/001216/1216/detail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</si>
  <si>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</si>
  <si>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</si>
  <si>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</si>
  <si>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</si>
  <si>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华鑫股份</t>
  </si>
  <si>
    <t>www.lixinger.com/analytics/company/sh/600621/600621/detail</t>
  </si>
  <si>
    <t>百诚医药</t>
  </si>
  <si>
    <t>www.lixinger.com/analytics/company/sz/301096/301096/detail</t>
  </si>
  <si>
    <t>迪生力</t>
  </si>
  <si>
    <t>www.lixinger.com/analytics/company/sh/603335/603335/detail</t>
  </si>
  <si>
    <t>华阳新材</t>
  </si>
  <si>
    <t>www.lixinger.com/analytics/company/sh/600281/600281/detail</t>
  </si>
  <si>
    <t>星华反光</t>
  </si>
  <si>
    <t>www.lixinger.com/analytics/company/sz/301077/301077/detail</t>
  </si>
  <si>
    <t>仁东控股</t>
  </si>
  <si>
    <t>www.lixinger.com/analytics/company/sz/002647/2647/detail</t>
  </si>
  <si>
    <t>读客文化</t>
  </si>
  <si>
    <t>www.lixinger.com/analytics/company/sz/301025/301025/detail</t>
  </si>
  <si>
    <t>恒信东方</t>
  </si>
  <si>
    <t>www.lixinger.com/analytics/company/sz/300081/300081/detail</t>
  </si>
  <si>
    <t>交大昂立</t>
  </si>
  <si>
    <t>www.lixinger.com/analytics/company/sh/600530/600530/detail</t>
  </si>
  <si>
    <t>万里股份</t>
  </si>
  <si>
    <t>www.lixinger.com/analytics/company/sh/600847/600847/detail</t>
  </si>
  <si>
    <t>凌志软件</t>
  </si>
  <si>
    <t>www.lixinger.com/analytics/company/sh/688588/688588/detail</t>
  </si>
  <si>
    <t>聚辰股份</t>
  </si>
  <si>
    <t>www.lixinger.com/analytics/company/sh/688123/688123/detail</t>
  </si>
  <si>
    <t>康泰医学</t>
  </si>
  <si>
    <t>www.lixinger.com/analytics/company/sz/300869/300869/detail</t>
  </si>
  <si>
    <t>原尚股份</t>
  </si>
  <si>
    <t>www.lixinger.com/analytics/company/sh/603813/603813/detail</t>
  </si>
  <si>
    <t>四环生物</t>
  </si>
  <si>
    <t>www.lixinger.com/analytics/company/sz/000518/518/detail</t>
  </si>
  <si>
    <t>金健米业</t>
  </si>
  <si>
    <t>www.lixinger.com/analytics/company/sh/600127/600127/detail</t>
  </si>
  <si>
    <t>国科微</t>
  </si>
  <si>
    <t>www.lixinger.com/analytics/company/sz/300672/300672/detail</t>
  </si>
  <si>
    <t>昭衍新药</t>
  </si>
  <si>
    <t>www.lixinger.com/analytics/company/sh/603127/603127/detail</t>
  </si>
  <si>
    <t>奥联电子</t>
  </si>
  <si>
    <t>www.lixinger.com/analytics/company/sz/300585/300585/detail</t>
  </si>
  <si>
    <t>华研精机</t>
  </si>
  <si>
    <t>www.lixinger.com/analytics/company/sz/301138/301138/detail</t>
  </si>
  <si>
    <t>富士莱</t>
  </si>
  <si>
    <t>www.lixinger.com/analytics/company/sz/301258/301258/detail</t>
  </si>
  <si>
    <t>圣邦股份</t>
  </si>
  <si>
    <t>www.lixinger.com/analytics/company/sz/300661/300661/detail</t>
  </si>
  <si>
    <t>映翰通</t>
  </si>
  <si>
    <t>www.lixinger.com/analytics/company/sh/688080/688080/detail</t>
  </si>
  <si>
    <t>松炀资源</t>
  </si>
  <si>
    <t>www.lixinger.com/analytics/company/sh/603863/603863/detail</t>
  </si>
  <si>
    <t>科创新源</t>
  </si>
  <si>
    <t>www.lixinger.com/analytics/company/sz/300731/300731/detail</t>
  </si>
  <si>
    <t>诚达药业</t>
  </si>
  <si>
    <t>www.lixinger.com/analytics/company/sz/301201/301201/detail</t>
  </si>
  <si>
    <t>派瑞股份</t>
  </si>
  <si>
    <t>www.lixinger.com/analytics/company/sz/300831/300831/detail</t>
  </si>
  <si>
    <t>明微电子</t>
  </si>
  <si>
    <t>www.lixinger.com/analytics/company/sh/688699/688699/detail</t>
  </si>
  <si>
    <t>杭州柯林</t>
  </si>
  <si>
    <t>www.lixinger.com/analytics/company/sh/688611/688611/detail</t>
  </si>
  <si>
    <t>五洲交通</t>
  </si>
  <si>
    <t>www.lixinger.com/analytics/company/sh/600368/600368/detail</t>
  </si>
  <si>
    <t>燕塘乳业</t>
  </si>
  <si>
    <t>www.lixinger.com/analytics/company/sz/002732/2732/detail</t>
  </si>
  <si>
    <t>信捷电气</t>
  </si>
  <si>
    <t>www.lixinger.com/analytics/company/sh/603416/603416/detail</t>
  </si>
  <si>
    <t>渝三峡Ａ</t>
  </si>
  <si>
    <t>www.lixinger.com/analytics/company/sz/000565/565/detail</t>
  </si>
  <si>
    <t>复旦复华</t>
  </si>
  <si>
    <t>www.lixinger.com/analytics/company/sh/600624/600624/detail</t>
  </si>
  <si>
    <t>新中港</t>
  </si>
  <si>
    <t>www.lixinger.com/analytics/company/sh/605162/605162/detail</t>
  </si>
  <si>
    <t>新余国科</t>
  </si>
  <si>
    <t>www.lixinger.com/analytics/company/sz/300722/300722/detail</t>
  </si>
  <si>
    <t>苑东生物</t>
  </si>
  <si>
    <t>www.lixinger.com/analytics/company/sh/688513/688513/detail</t>
  </si>
  <si>
    <t>中望软件</t>
  </si>
  <si>
    <t>www.lixinger.com/analytics/company/sh/688083/688083/detail</t>
  </si>
  <si>
    <t>众望布艺</t>
  </si>
  <si>
    <t>www.lixinger.com/analytics/company/sh/605003/605003/detail</t>
  </si>
  <si>
    <t>中公高科</t>
  </si>
  <si>
    <t>www.lixinger.com/analytics/company/sh/603860/603860/detail</t>
  </si>
  <si>
    <t>司尔特</t>
  </si>
  <si>
    <t>www.lixinger.com/analytics/company/sz/002538/2538/detail</t>
  </si>
  <si>
    <t>彩虹集团</t>
  </si>
  <si>
    <t>www.lixinger.com/analytics/company/sz/003023/3023/detail</t>
  </si>
  <si>
    <t>中远海科</t>
  </si>
  <si>
    <t>www.lixinger.com/analytics/company/sz/002401/2401/detail</t>
  </si>
  <si>
    <t>东微半导</t>
  </si>
  <si>
    <t>www.lixinger.com/analytics/company/sh/688261/688261/detail</t>
  </si>
  <si>
    <t>锐奇股份</t>
  </si>
  <si>
    <t>www.lixinger.com/analytics/company/sz/300126/300126/detail</t>
  </si>
  <si>
    <t>三盛教育</t>
  </si>
  <si>
    <t>www.lixinger.com/analytics/company/sz/300282/300282/detail</t>
  </si>
  <si>
    <t>汇金科技</t>
  </si>
  <si>
    <t>www.lixinger.com/analytics/company/sz/300561/300561/detail</t>
  </si>
  <si>
    <t>鲁西化工</t>
  </si>
  <si>
    <t>www.lixinger.com/analytics/company/sz/000830/830/detail</t>
  </si>
  <si>
    <t>祥源新材</t>
  </si>
  <si>
    <t>www.lixinger.com/analytics/company/sz/300980/300980/detail</t>
  </si>
  <si>
    <t>棒杰股份</t>
  </si>
  <si>
    <t>www.lixinger.com/analytics/company/sz/002634/2634/detail</t>
  </si>
  <si>
    <t>亿田智能</t>
  </si>
  <si>
    <t>www.lixinger.com/analytics/company/sz/300911/300911/detail</t>
  </si>
  <si>
    <t>ST辉丰</t>
  </si>
  <si>
    <t>www.lixinger.com/analytics/company/sz/002496/2496/detail</t>
  </si>
  <si>
    <t>海昌新材</t>
  </si>
  <si>
    <t>www.lixinger.com/analytics/company/sz/300885/300885/detail</t>
  </si>
  <si>
    <t>杭州高新</t>
  </si>
  <si>
    <t>www.lixinger.com/analytics/company/sz/300478/300478/detail</t>
  </si>
  <si>
    <t>古井贡酒</t>
  </si>
  <si>
    <t>www.lixinger.com/analytics/company/sz/000596/596/detail</t>
  </si>
  <si>
    <t>扬帆新材</t>
  </si>
  <si>
    <t>www.lixinger.com/analytics/company/sz/300637/300637/detail</t>
  </si>
  <si>
    <t>阿科力</t>
  </si>
  <si>
    <t>www.lixinger.com/analytics/company/sh/603722/603722/detail</t>
  </si>
  <si>
    <t>强瑞技术</t>
  </si>
  <si>
    <t>www.lixinger.com/analytics/company/sz/301128/301128/detail</t>
  </si>
  <si>
    <t>ST东洋</t>
  </si>
  <si>
    <t>www.lixinger.com/analytics/company/sz/002086/2086/detail</t>
  </si>
  <si>
    <t>世茂能源</t>
  </si>
  <si>
    <t>www.lixinger.com/analytics/company/sh/605028/605028/detail</t>
  </si>
  <si>
    <t>惠程科技</t>
  </si>
  <si>
    <t>www.lixinger.com/analytics/company/sz/002168/2168/detail</t>
  </si>
  <si>
    <t>极米科技</t>
  </si>
  <si>
    <t>www.lixinger.com/analytics/company/sh/688696/688696/detail</t>
  </si>
  <si>
    <t>沃华医药</t>
  </si>
  <si>
    <t>www.lixinger.com/analytics/company/sz/002107/2107/detail</t>
  </si>
  <si>
    <t>悦安新材</t>
  </si>
  <si>
    <t>www.lixinger.com/analytics/company/sh/688786/688786/detail</t>
  </si>
  <si>
    <t>凯美特气</t>
  </si>
  <si>
    <t>www.lixinger.com/analytics/company/sz/002549/2549/detail</t>
  </si>
  <si>
    <t>宁波精达</t>
  </si>
  <si>
    <t>www.lixinger.com/analytics/company/sh/603088/603088/detail</t>
  </si>
  <si>
    <t>海汽集团</t>
  </si>
  <si>
    <t>www.lixinger.com/analytics/company/sh/603069/603069/detail</t>
  </si>
  <si>
    <t>GQY视讯</t>
  </si>
  <si>
    <t>www.lixinger.com/analytics/company/sz/300076/300076/detail</t>
  </si>
  <si>
    <t>芭田股份</t>
  </si>
  <si>
    <t>www.lixinger.com/analytics/company/sz/002170/2170/detail</t>
  </si>
  <si>
    <t>金枫酒业</t>
  </si>
  <si>
    <t>www.lixinger.com/analytics/company/sh/600616/600616/detail</t>
  </si>
  <si>
    <t>爱博医疗</t>
  </si>
  <si>
    <t>www.lixinger.com/analytics/company/sh/688050/688050/detail</t>
  </si>
  <si>
    <t>海特生物</t>
  </si>
  <si>
    <t>www.lixinger.com/analytics/company/sz/300683/300683/detail</t>
  </si>
  <si>
    <t>先惠技术</t>
  </si>
  <si>
    <t>www.lixinger.com/analytics/company/sh/688155/688155/detail</t>
  </si>
  <si>
    <t>中国中免</t>
  </si>
  <si>
    <t>旅游零售</t>
  </si>
  <si>
    <t>www.lixinger.com/analytics/company/sh/601888/601888/detail</t>
  </si>
  <si>
    <t>天舟文化</t>
  </si>
  <si>
    <t>www.lixinger.com/analytics/company/sz/300148/300148/detail</t>
  </si>
  <si>
    <t>凯盛新材</t>
  </si>
  <si>
    <t>www.lixinger.com/analytics/company/sz/301069/301069/detail</t>
  </si>
  <si>
    <t>寿仙谷</t>
  </si>
  <si>
    <t>www.lixinger.com/analytics/company/sh/603896/603896/detail</t>
  </si>
  <si>
    <t>圣诺生物</t>
  </si>
  <si>
    <t>www.lixinger.com/analytics/company/sh/688117/688117/detail</t>
  </si>
  <si>
    <t>中广天择</t>
  </si>
  <si>
    <t>www.lixinger.com/analytics/company/sh/603721/603721/detail</t>
  </si>
  <si>
    <t>朗博科技</t>
  </si>
  <si>
    <t>www.lixinger.com/analytics/company/sh/603655/603655/detail</t>
  </si>
  <si>
    <t>新五丰</t>
  </si>
  <si>
    <t>www.lixinger.com/analytics/company/sh/600975/600975/detail</t>
  </si>
  <si>
    <t>博晖创新</t>
  </si>
  <si>
    <t>www.lixinger.com/analytics/company/sz/300318/300318/detail</t>
  </si>
  <si>
    <t>丽人丽妆</t>
  </si>
  <si>
    <t>www.lixinger.com/analytics/company/sh/605136/605136/detail</t>
  </si>
  <si>
    <t>东来技术</t>
  </si>
  <si>
    <t>www.lixinger.com/analytics/company/sh/688129/688129/detail</t>
  </si>
  <si>
    <t>果麦文化</t>
  </si>
  <si>
    <t>www.lixinger.com/analytics/company/sz/301052/301052/detail</t>
  </si>
  <si>
    <t>奇德新材</t>
  </si>
  <si>
    <t>www.lixinger.com/analytics/company/sz/300995/300995/detail</t>
  </si>
  <si>
    <t>浙海德曼</t>
  </si>
  <si>
    <t>www.lixinger.com/analytics/company/sh/688577/688577/detail</t>
  </si>
  <si>
    <t>华立股份</t>
  </si>
  <si>
    <t>www.lixinger.com/analytics/company/sh/603038/603038/detail</t>
  </si>
  <si>
    <t>广哈通信</t>
  </si>
  <si>
    <t>www.lixinger.com/analytics/company/sz/300711/300711/detail</t>
  </si>
  <si>
    <t>好太太</t>
  </si>
  <si>
    <t>www.lixinger.com/analytics/company/sh/603848/603848/detail</t>
  </si>
  <si>
    <t>海源复材</t>
  </si>
  <si>
    <t>www.lixinger.com/analytics/company/sz/002529/2529/detail</t>
  </si>
  <si>
    <t>洪汇新材</t>
  </si>
  <si>
    <t>www.lixinger.com/analytics/company/sz/002802/2802/detail</t>
  </si>
  <si>
    <t>京粮B</t>
  </si>
  <si>
    <t>www.lixinger.com/analytics/company/sz/200505/200505/detail</t>
  </si>
  <si>
    <t>ST通葡</t>
  </si>
  <si>
    <t>www.lixinger.com/analytics/company/sh/600365/600365/detail</t>
  </si>
  <si>
    <t>金丹科技</t>
  </si>
  <si>
    <t>www.lixinger.com/analytics/company/sz/300829/300829/detail</t>
  </si>
  <si>
    <t>宝莫股份</t>
  </si>
  <si>
    <t>www.lixinger.com/analytics/company/sz/002476/2476/detail</t>
  </si>
  <si>
    <t>两面针</t>
  </si>
  <si>
    <t>www.lixinger.com/analytics/company/sh/600249/600249/detail</t>
  </si>
  <si>
    <t>中文在线</t>
  </si>
  <si>
    <t>www.lixinger.com/analytics/company/sz/300364/300364/detail</t>
  </si>
  <si>
    <t>台基股份</t>
  </si>
  <si>
    <t>www.lixinger.com/analytics/company/sz/300046/300046/detail</t>
  </si>
  <si>
    <t>争光股份</t>
  </si>
  <si>
    <t>www.lixinger.com/analytics/company/sz/301092/301092/detail</t>
  </si>
  <si>
    <t>赤峰黄金</t>
  </si>
  <si>
    <t>www.lixinger.com/analytics/company/sh/600988/600988/detail</t>
  </si>
  <si>
    <t>三旺通信</t>
  </si>
  <si>
    <t>www.lixinger.com/analytics/company/sh/688618/688618/detail</t>
  </si>
  <si>
    <t>和林微纳</t>
  </si>
  <si>
    <t>www.lixinger.com/analytics/company/sh/688661/688661/detail</t>
  </si>
  <si>
    <t>赛升药业</t>
  </si>
  <si>
    <t>www.lixinger.com/analytics/company/sz/300485/300485/detail</t>
  </si>
  <si>
    <t>莱绅通灵</t>
  </si>
  <si>
    <t>www.lixinger.com/analytics/company/sh/603900/603900/detail</t>
  </si>
  <si>
    <t>芯能科技</t>
  </si>
  <si>
    <t>www.lixinger.com/analytics/company/sh/603105/603105/detail</t>
  </si>
  <si>
    <t>金逸影视</t>
  </si>
  <si>
    <t>www.lixinger.com/analytics/company/sz/002905/2905/detail</t>
  </si>
  <si>
    <t>同和药业</t>
  </si>
  <si>
    <t>www.lixinger.com/analytics/company/sz/300636/300636/detail</t>
  </si>
  <si>
    <t>嘉益股份</t>
  </si>
  <si>
    <t>www.lixinger.com/analytics/company/sz/301004/301004/detail</t>
  </si>
  <si>
    <t>*ST节能</t>
  </si>
  <si>
    <t>www.lixinger.com/analytics/company/sz/000820/820/detail</t>
  </si>
  <si>
    <t>华联股份</t>
  </si>
  <si>
    <t>www.lixinger.com/analytics/company/sz/000882/882/detail</t>
  </si>
  <si>
    <t>宝丽迪</t>
  </si>
  <si>
    <t>www.lixinger.com/analytics/company/sz/300905/300905/detail</t>
  </si>
  <si>
    <t>国光连锁</t>
  </si>
  <si>
    <t>www.lixinger.com/analytics/company/sh/605188/605188/detail</t>
  </si>
  <si>
    <t>气派科技</t>
  </si>
  <si>
    <t>www.lixinger.com/analytics/company/sh/688216/688216/detail</t>
  </si>
  <si>
    <t>海天味业</t>
  </si>
  <si>
    <t>www.lixinger.com/analytics/company/sh/603288/603288/detail</t>
  </si>
  <si>
    <t>*ST同洲</t>
  </si>
  <si>
    <t>www.lixinger.com/analytics/company/sz/002052/2052/detail</t>
  </si>
  <si>
    <t>迪普科技</t>
  </si>
  <si>
    <t>www.lixinger.com/analytics/company/sz/300768/300768/detail</t>
  </si>
  <si>
    <t>花园生物</t>
  </si>
  <si>
    <t>www.lixinger.com/analytics/company/sz/300401/300401/detail</t>
  </si>
  <si>
    <t>宏达高科</t>
  </si>
  <si>
    <t>www.lixinger.com/analytics/company/sz/002144/2144/detail</t>
  </si>
  <si>
    <t>天鹅股份</t>
  </si>
  <si>
    <t>www.lixinger.com/analytics/company/sh/603029/603029/detail</t>
  </si>
  <si>
    <t>青云科技</t>
  </si>
  <si>
    <t>www.lixinger.com/analytics/company/sh/688316/688316/detail</t>
  </si>
  <si>
    <t>创识科技</t>
  </si>
  <si>
    <t>www.lixinger.com/analytics/company/sz/300941/300941/detail</t>
  </si>
  <si>
    <t>维维股份</t>
  </si>
  <si>
    <t>www.lixinger.com/analytics/company/sh/600300/600300/detail</t>
  </si>
  <si>
    <t>深深房Ｂ</t>
  </si>
  <si>
    <t>www.lixinger.com/analytics/company/sz/200029/200029/detail</t>
  </si>
  <si>
    <t>华升股份</t>
  </si>
  <si>
    <t>www.lixinger.com/analytics/company/sh/600156/600156/detail</t>
  </si>
  <si>
    <t>*ST晨鑫</t>
  </si>
  <si>
    <t>www.lixinger.com/analytics/company/sz/002447/2447/detail</t>
  </si>
  <si>
    <t>仲景食品</t>
  </si>
  <si>
    <t>www.lixinger.com/analytics/company/sz/300908/300908/detail</t>
  </si>
  <si>
    <t>标榜股份</t>
  </si>
  <si>
    <t>www.lixinger.com/analytics/company/sz/301181/301181/detail</t>
  </si>
  <si>
    <t>四通股份</t>
  </si>
  <si>
    <t>www.lixinger.com/analytics/company/sh/603838/603838/detail</t>
  </si>
  <si>
    <t>海峡创新</t>
  </si>
  <si>
    <t>www.lixinger.com/analytics/company/sz/300300/300300/detail</t>
  </si>
  <si>
    <t>爱美客</t>
  </si>
  <si>
    <t>www.lixinger.com/analytics/company/sz/300896/300896/detail</t>
  </si>
  <si>
    <t>蓝特光学</t>
  </si>
  <si>
    <t>www.lixinger.com/analytics/company/sh/688127/688127/detail</t>
  </si>
  <si>
    <t>*ST恒誉</t>
  </si>
  <si>
    <t>www.lixinger.com/analytics/company/sh/688309/688309/detail</t>
  </si>
  <si>
    <t>晨化股份</t>
  </si>
  <si>
    <t>www.lixinger.com/analytics/company/sz/300610/300610/detail</t>
  </si>
  <si>
    <t>特一药业</t>
  </si>
  <si>
    <t>www.lixinger.com/analytics/company/sz/002728/2728/detail</t>
  </si>
  <si>
    <t>灿勤科技</t>
  </si>
  <si>
    <t>www.lixinger.com/analytics/company/sh/688182/688182/detail</t>
  </si>
  <si>
    <t>坤恒顺维</t>
  </si>
  <si>
    <t>www.lixinger.com/analytics/company/sh/688283/688283/detail</t>
  </si>
  <si>
    <t>恒邦股份</t>
  </si>
  <si>
    <t>www.lixinger.com/analytics/company/sz/002237/2237/detail</t>
  </si>
  <si>
    <t>晓程科技</t>
  </si>
  <si>
    <t>www.lixinger.com/analytics/company/sz/300139/300139/detail</t>
  </si>
  <si>
    <t>ST安信</t>
  </si>
  <si>
    <t>www.lixinger.com/analytics/company/sh/600816/600816/detail</t>
  </si>
  <si>
    <t>新炬网络</t>
  </si>
  <si>
    <t>www.lixinger.com/analytics/company/sh/605398/605398/detail</t>
  </si>
  <si>
    <t>爱婴室</t>
  </si>
  <si>
    <t>www.lixinger.com/analytics/company/sh/603214/603214/detail</t>
  </si>
  <si>
    <t>*ST吉艾</t>
  </si>
  <si>
    <t>www.lixinger.com/analytics/company/sz/300309/300309/detail</t>
  </si>
  <si>
    <t>退市拉夏</t>
  </si>
  <si>
    <t>www.lixinger.com/analytics/company/sh/603157/603157/detail</t>
  </si>
  <si>
    <t>恒久科技</t>
  </si>
  <si>
    <t>www.lixinger.com/analytics/company/sz/002808/2808/detail</t>
  </si>
  <si>
    <t>舒泰神</t>
  </si>
  <si>
    <t>www.lixinger.com/analytics/company/sz/300204/300204/detail</t>
  </si>
  <si>
    <t>元祖股份</t>
  </si>
  <si>
    <t>www.lixinger.com/analytics/company/sh/603886/603886/detail</t>
  </si>
  <si>
    <t>渤海轮渡</t>
  </si>
  <si>
    <t>www.lixinger.com/analytics/company/sh/603167/603167/detail</t>
  </si>
  <si>
    <t>力鼎光电</t>
  </si>
  <si>
    <t>www.lixinger.com/analytics/company/sh/605118/605118/detail</t>
  </si>
  <si>
    <t>小熊电器</t>
  </si>
  <si>
    <t>www.lixinger.com/analytics/company/sz/002959/2959/detail</t>
  </si>
  <si>
    <t>福建金森</t>
  </si>
  <si>
    <t>www.lixinger.com/analytics/company/sz/002679/2679/detail</t>
  </si>
  <si>
    <t>蓝丰生化</t>
  </si>
  <si>
    <t>www.lixinger.com/analytics/company/sz/002513/2513/detail</t>
  </si>
  <si>
    <t>英集芯</t>
  </si>
  <si>
    <t>www.lixinger.com/analytics/company/sh/688209/688209/detail</t>
  </si>
  <si>
    <t>同大股份</t>
  </si>
  <si>
    <t>www.lixinger.com/analytics/company/sz/300321/300321/detail</t>
  </si>
  <si>
    <t>四川美丰</t>
  </si>
  <si>
    <t>www.lixinger.com/analytics/company/sz/000731/731/detail</t>
  </si>
  <si>
    <t>蒙泰高新</t>
  </si>
  <si>
    <t>www.lixinger.com/analytics/company/sz/300876/300876/detail</t>
  </si>
  <si>
    <t>希荻微</t>
  </si>
  <si>
    <t>www.lixinger.com/analytics/company/sh/688173/688173/detail</t>
  </si>
  <si>
    <t>仁度生物</t>
  </si>
  <si>
    <t>www.lixinger.com/analytics/company/sh/688193/688193/detail</t>
  </si>
  <si>
    <t>火星人</t>
  </si>
  <si>
    <t>www.lixinger.com/analytics/company/sz/300894/300894/detail</t>
  </si>
  <si>
    <t>一鸣食品</t>
  </si>
  <si>
    <t>www.lixinger.com/analytics/company/sh/605179/605179/detail</t>
  </si>
  <si>
    <t>南模生物</t>
  </si>
  <si>
    <t>www.lixinger.com/analytics/company/sh/688265/688265/detail</t>
  </si>
  <si>
    <t>澳华内镜</t>
  </si>
  <si>
    <t>www.lixinger.com/analytics/company/sh/688212/688212/detail</t>
  </si>
  <si>
    <t>津滨发展</t>
  </si>
  <si>
    <t>www.lixinger.com/analytics/company/sz/000897/897/detail</t>
  </si>
  <si>
    <t>心脉医疗</t>
  </si>
  <si>
    <t>www.lixinger.com/analytics/company/sh/688016/688016/detail</t>
  </si>
  <si>
    <t>天润乳业</t>
  </si>
  <si>
    <t>www.lixinger.com/analytics/company/sh/600419/600419/detail</t>
  </si>
  <si>
    <t>丸美股份</t>
  </si>
  <si>
    <t>www.lixinger.com/analytics/company/sh/603983/603983/detail</t>
  </si>
  <si>
    <t>零点有数</t>
  </si>
  <si>
    <t>其他专业服务</t>
  </si>
  <si>
    <t>www.lixinger.com/analytics/company/sz/301169/301169/detail</t>
  </si>
  <si>
    <t>二六三</t>
  </si>
  <si>
    <t>www.lixinger.com/analytics/company/sz/002467/2467/detail</t>
  </si>
  <si>
    <t>力量钻石</t>
  </si>
  <si>
    <t>www.lixinger.com/analytics/company/sz/301071/301071/detail</t>
  </si>
  <si>
    <t>海天瑞声</t>
  </si>
  <si>
    <t>www.lixinger.com/analytics/company/sh/688787/688787/detail</t>
  </si>
  <si>
    <t>宋都股份</t>
  </si>
  <si>
    <t>www.lixinger.com/analytics/company/sh/600077/600077/detail</t>
  </si>
  <si>
    <t>中旗新材</t>
  </si>
  <si>
    <t>www.lixinger.com/analytics/company/sz/001212/1212/detail</t>
  </si>
  <si>
    <t>桂林三金</t>
  </si>
  <si>
    <t>www.lixinger.com/analytics/company/sz/002275/2275/detail</t>
  </si>
  <si>
    <t>九鼎投资</t>
  </si>
  <si>
    <t>www.lixinger.com/analytics/company/sh/600053/600053/detail</t>
  </si>
  <si>
    <t>博济医药</t>
  </si>
  <si>
    <t>www.lixinger.com/analytics/company/sz/300404/300404/detail</t>
  </si>
  <si>
    <t>顺网科技</t>
  </si>
  <si>
    <t>www.lixinger.com/analytics/company/sz/300113/300113/detail</t>
  </si>
  <si>
    <t>瑞华泰</t>
  </si>
  <si>
    <t>www.lixinger.com/analytics/company/sh/688323/688323/detail</t>
  </si>
  <si>
    <t>光正眼科</t>
  </si>
  <si>
    <t>www.lixinger.com/analytics/company/sz/002524/2524/detail</t>
  </si>
  <si>
    <t>ST熊猫</t>
  </si>
  <si>
    <t>www.lixinger.com/analytics/company/sh/600599/600599/detail</t>
  </si>
  <si>
    <t>*ST赫美</t>
  </si>
  <si>
    <t>www.lixinger.com/analytics/company/sz/002356/2356/detail</t>
  </si>
  <si>
    <t>今世缘</t>
  </si>
  <si>
    <t>www.lixinger.com/analytics/company/sh/603369/603369/detail</t>
  </si>
  <si>
    <t>微芯生物</t>
  </si>
  <si>
    <t>www.lixinger.com/analytics/company/sh/688321/688321/detail</t>
  </si>
  <si>
    <t>孩子王</t>
  </si>
  <si>
    <t>www.lixinger.com/analytics/company/sz/301078/301078/detail</t>
  </si>
  <si>
    <t>秦港股份</t>
  </si>
  <si>
    <t>www.lixinger.com/analytics/company/sh/601326/601326/detail</t>
  </si>
  <si>
    <t>海印股份</t>
  </si>
  <si>
    <t>www.lixinger.com/analytics/company/sz/000861/861/detail</t>
  </si>
  <si>
    <t>金石亚药</t>
  </si>
  <si>
    <t>www.lixinger.com/analytics/company/sz/300434/300434/detail</t>
  </si>
  <si>
    <t>*ST金刚</t>
  </si>
  <si>
    <t>www.lixinger.com/analytics/company/sz/300064/300064/detail</t>
  </si>
  <si>
    <t>城建发展</t>
  </si>
  <si>
    <t>www.lixinger.com/analytics/company/sh/600266/600266/detail</t>
  </si>
  <si>
    <t>天地源</t>
  </si>
  <si>
    <t>www.lixinger.com/analytics/company/sh/600665/600665/detail</t>
  </si>
  <si>
    <t>赛隆药业</t>
  </si>
  <si>
    <t>www.lixinger.com/analytics/company/sz/002898/2898/detail</t>
  </si>
  <si>
    <t>倍轻松</t>
  </si>
  <si>
    <t>www.lixinger.com/analytics/company/sh/688793/688793/detail</t>
  </si>
  <si>
    <t>巴比食品</t>
  </si>
  <si>
    <t>www.lixinger.com/analytics/company/sh/605338/605338/detail</t>
  </si>
  <si>
    <t>深南电A</t>
  </si>
  <si>
    <t>www.lixinger.com/analytics/company/sz/000037/37/detail</t>
  </si>
  <si>
    <t>顺发恒业</t>
  </si>
  <si>
    <t>www.lixinger.com/analytics/company/sz/000631/631/detail</t>
  </si>
  <si>
    <t>ST步森</t>
  </si>
  <si>
    <t>www.lixinger.com/analytics/company/sz/002569/2569/detail</t>
  </si>
  <si>
    <t>浙江美大</t>
  </si>
  <si>
    <t>www.lixinger.com/analytics/company/sz/002677/2677/detail</t>
  </si>
  <si>
    <t>山西焦化</t>
  </si>
  <si>
    <t>www.lixinger.com/analytics/company/sh/600740/600740/detail</t>
  </si>
  <si>
    <t>江南奕帆</t>
  </si>
  <si>
    <t>www.lixinger.com/analytics/company/sz/301023/301023/detail</t>
  </si>
  <si>
    <t>京粮控股</t>
  </si>
  <si>
    <t>www.lixinger.com/analytics/company/sz/000505/505/detail</t>
  </si>
  <si>
    <t>西麦食品</t>
  </si>
  <si>
    <t>www.lixinger.com/analytics/company/sz/002956/2956/detail</t>
  </si>
  <si>
    <t>锦盛新材</t>
  </si>
  <si>
    <t>www.lixinger.com/analytics/company/sz/300849/300849/detail</t>
  </si>
  <si>
    <t>*ST天龙</t>
  </si>
  <si>
    <t>www.lixinger.com/analytics/company/sz/300029/300029/detail</t>
  </si>
  <si>
    <t>神州细胞</t>
  </si>
  <si>
    <t>www.lixinger.com/analytics/company/sh/688520/688520/detail</t>
  </si>
  <si>
    <t>天普股份</t>
  </si>
  <si>
    <t>www.lixinger.com/analytics/company/sh/605255/605255/detail</t>
  </si>
  <si>
    <t>三晖电气</t>
  </si>
  <si>
    <t>www.lixinger.com/analytics/company/sz/002857/2857/detail</t>
  </si>
  <si>
    <t>江天化学</t>
  </si>
  <si>
    <t>www.lixinger.com/analytics/company/sz/300927/300927/detail</t>
  </si>
  <si>
    <t>好利科技</t>
  </si>
  <si>
    <t>www.lixinger.com/analytics/company/sz/002729/2729/detail</t>
  </si>
  <si>
    <t>多瑞医药</t>
  </si>
  <si>
    <t>www.lixinger.com/analytics/company/sz/301075/301075/detail</t>
  </si>
  <si>
    <t>中银绒业</t>
  </si>
  <si>
    <t>www.lixinger.com/analytics/company/sz/000982/982/detail</t>
  </si>
  <si>
    <t>好想你</t>
  </si>
  <si>
    <t>www.lixinger.com/analytics/company/sz/002582/2582/detail</t>
  </si>
  <si>
    <t>北辰实业</t>
  </si>
  <si>
    <t>www.lixinger.com/analytics/company/sh/601588/601588/detail</t>
  </si>
  <si>
    <t>博睿数据</t>
  </si>
  <si>
    <t>www.lixinger.com/analytics/company/sh/688229/688229/detail</t>
  </si>
  <si>
    <t>川金诺</t>
  </si>
  <si>
    <t>www.lixinger.com/analytics/company/sz/300505/300505/detail</t>
  </si>
  <si>
    <t>ST摩登</t>
  </si>
  <si>
    <t>www.lixinger.com/analytics/company/sz/002656/2656/detail</t>
  </si>
  <si>
    <t>浙江恒威</t>
  </si>
  <si>
    <t>www.lixinger.com/analytics/company/sz/301222/301222/detail</t>
  </si>
  <si>
    <t>诚意药业</t>
  </si>
  <si>
    <t>www.lixinger.com/analytics/company/sh/603811/603811/detail</t>
  </si>
  <si>
    <t>成都先导</t>
  </si>
  <si>
    <t>www.lixinger.com/analytics/company/sh/688222/688222/detail</t>
  </si>
  <si>
    <t>登海种业</t>
  </si>
  <si>
    <t>www.lixinger.com/analytics/company/sz/002041/2041/detail</t>
  </si>
  <si>
    <t>仁智股份</t>
  </si>
  <si>
    <t>www.lixinger.com/analytics/company/sz/002629/2629/detail</t>
  </si>
  <si>
    <t>艾艾精工</t>
  </si>
  <si>
    <t>www.lixinger.com/analytics/company/sh/603580/603580/detail</t>
  </si>
  <si>
    <t>德固特</t>
  </si>
  <si>
    <t>www.lixinger.com/analytics/company/sz/300950/300950/detail</t>
  </si>
  <si>
    <t>法狮龙</t>
  </si>
  <si>
    <t>www.lixinger.com/analytics/company/sh/605318/605318/detail</t>
  </si>
  <si>
    <t>曼卡龙</t>
  </si>
  <si>
    <t>www.lixinger.com/analytics/company/sz/300945/300945/detail</t>
  </si>
  <si>
    <t>海泰发展</t>
  </si>
  <si>
    <t>www.lixinger.com/analytics/company/sh/600082/600082/detail</t>
  </si>
  <si>
    <t>渤海化学</t>
  </si>
  <si>
    <t>www.lixinger.com/analytics/company/sh/600800/600800/detail</t>
  </si>
  <si>
    <t>至正股份</t>
  </si>
  <si>
    <t>www.lixinger.com/analytics/company/sh/603991/603991/detail</t>
  </si>
  <si>
    <t>大智慧</t>
  </si>
  <si>
    <t>www.lixinger.com/analytics/company/sh/601519/601519/detail</t>
  </si>
  <si>
    <t>新黄浦</t>
  </si>
  <si>
    <t>www.lixinger.com/analytics/company/sh/600638/600638/detail</t>
  </si>
  <si>
    <t>锦和商业</t>
  </si>
  <si>
    <t>www.lixinger.com/analytics/company/sh/603682/603682/detail</t>
  </si>
  <si>
    <t>莱特光电</t>
  </si>
  <si>
    <t>www.lixinger.com/analytics/company/sh/688150/688150/detail</t>
  </si>
  <si>
    <t>深深房Ａ</t>
  </si>
  <si>
    <t>www.lixinger.com/analytics/company/sz/000029/29/detail</t>
  </si>
  <si>
    <t>金陵饭店</t>
  </si>
  <si>
    <t>www.lixinger.com/analytics/company/sh/601007/601007/detail</t>
  </si>
  <si>
    <t>天岳先进</t>
  </si>
  <si>
    <t>www.lixinger.com/analytics/company/sh/688234/688234/detail</t>
  </si>
  <si>
    <t>新瀚新材</t>
  </si>
  <si>
    <t>www.lixinger.com/analytics/company/sz/301076/301076/detail</t>
  </si>
  <si>
    <t>概伦电子</t>
  </si>
  <si>
    <t>www.lixinger.com/analytics/company/sh/688206/688206/detail</t>
  </si>
  <si>
    <t>中央商场</t>
  </si>
  <si>
    <t>www.lixinger.com/analytics/company/sh/600280/600280/detail</t>
  </si>
  <si>
    <t>华民股份</t>
  </si>
  <si>
    <t>www.lixinger.com/analytics/company/sz/300345/300345/detail</t>
  </si>
  <si>
    <t>国新健康</t>
  </si>
  <si>
    <t>www.lixinger.com/analytics/company/sz/000503/503/detail</t>
  </si>
  <si>
    <t>嘉澳环保</t>
  </si>
  <si>
    <t>www.lixinger.com/analytics/company/sh/603822/603822/detail</t>
  </si>
  <si>
    <t>南纺股份</t>
  </si>
  <si>
    <t>www.lixinger.com/analytics/company/sh/600250/600250/detail</t>
  </si>
  <si>
    <t>神工股份</t>
  </si>
  <si>
    <t>www.lixinger.com/analytics/company/sh/688233/688233/detail</t>
  </si>
  <si>
    <t>粤万年青</t>
  </si>
  <si>
    <t>www.lixinger.com/analytics/company/sz/301111/301111/detail</t>
  </si>
  <si>
    <t>上海三毛</t>
  </si>
  <si>
    <t>www.lixinger.com/analytics/company/sh/600689/600689/detail</t>
  </si>
  <si>
    <t>哈森股份</t>
  </si>
  <si>
    <t>www.lixinger.com/analytics/company/sh/603958/603958/detail</t>
  </si>
  <si>
    <t>退市中新</t>
  </si>
  <si>
    <t>www.lixinger.com/analytics/company/sh/603996/603996/detail</t>
  </si>
  <si>
    <t>凯尔达</t>
  </si>
  <si>
    <t>www.lixinger.com/analytics/company/sh/688255/688255/detail</t>
  </si>
  <si>
    <t>长白山</t>
  </si>
  <si>
    <t>自然景区</t>
  </si>
  <si>
    <t>www.lixinger.com/analytics/company/sh/603099/603099/detail</t>
  </si>
  <si>
    <t>三湘印象</t>
  </si>
  <si>
    <t>www.lixinger.com/analytics/company/sz/000863/863/detail</t>
  </si>
  <si>
    <t>山西证券</t>
  </si>
  <si>
    <t>www.lixinger.com/analytics/company/sz/002500/2500/detail</t>
  </si>
  <si>
    <t>*ST圣莱</t>
  </si>
  <si>
    <t>www.lixinger.com/analytics/company/sz/002473/2473/detail</t>
  </si>
  <si>
    <t>唯赛勃</t>
  </si>
  <si>
    <t>www.lixinger.com/analytics/company/sh/688718/688718/detail</t>
  </si>
  <si>
    <t>*ST雅博</t>
  </si>
  <si>
    <t>www.lixinger.com/analytics/company/sz/002323/2323/detail</t>
  </si>
  <si>
    <t>西安饮食</t>
  </si>
  <si>
    <t>餐饮</t>
  </si>
  <si>
    <t>www.lixinger.com/analytics/company/sz/000721/721/detail</t>
  </si>
  <si>
    <t>*ST威尔</t>
  </si>
  <si>
    <t>www.lixinger.com/analytics/company/sz/002058/2058/detail</t>
  </si>
  <si>
    <t>百奥泰</t>
  </si>
  <si>
    <t>www.lixinger.com/analytics/company/sh/688177/688177/detail</t>
  </si>
  <si>
    <t>绿的谐波</t>
  </si>
  <si>
    <t>www.lixinger.com/analytics/company/sh/688017/688017/detail</t>
  </si>
  <si>
    <t>海泰新光</t>
  </si>
  <si>
    <t>www.lixinger.com/analytics/company/sh/688677/688677/detail</t>
  </si>
  <si>
    <t>步科股份</t>
  </si>
  <si>
    <t>www.lixinger.com/analytics/company/sh/688160/688160/detail</t>
  </si>
  <si>
    <t>新金路</t>
  </si>
  <si>
    <t>www.lixinger.com/analytics/company/sz/000510/510/detail</t>
  </si>
  <si>
    <t>ST瀚叶</t>
  </si>
  <si>
    <t>www.lixinger.com/analytics/company/sh/600226/600226/detail</t>
  </si>
  <si>
    <t>岭南控股</t>
  </si>
  <si>
    <t>www.lixinger.com/analytics/company/sz/000524/524/detail</t>
  </si>
  <si>
    <t>华尔泰</t>
  </si>
  <si>
    <t>www.lixinger.com/analytics/company/sz/001217/1217/detail</t>
  </si>
  <si>
    <t>千味央厨</t>
  </si>
  <si>
    <t>www.lixinger.com/analytics/company/sz/001215/1215/detail</t>
  </si>
  <si>
    <t>金三江</t>
  </si>
  <si>
    <t>www.lixinger.com/analytics/company/sz/301059/301059/detail</t>
  </si>
  <si>
    <t>伟隆股份</t>
  </si>
  <si>
    <t>www.lixinger.com/analytics/company/sz/002871/2871/detail</t>
  </si>
  <si>
    <t>天秦装备</t>
  </si>
  <si>
    <t>www.lixinger.com/analytics/company/sz/300922/300922/detail</t>
  </si>
  <si>
    <t>康斯特</t>
  </si>
  <si>
    <t>www.lixinger.com/analytics/company/sz/300445/300445/detail</t>
  </si>
  <si>
    <t>桂林旅游</t>
  </si>
  <si>
    <t>www.lixinger.com/analytics/company/sz/000978/978/detail</t>
  </si>
  <si>
    <t>康普顿</t>
  </si>
  <si>
    <t>www.lixinger.com/analytics/company/sh/603798/603798/detail</t>
  </si>
  <si>
    <t>金利华电</t>
  </si>
  <si>
    <t>www.lixinger.com/analytics/company/sz/300069/300069/detail</t>
  </si>
  <si>
    <t>光云科技</t>
  </si>
  <si>
    <t>www.lixinger.com/analytics/company/sh/688365/688365/detail</t>
  </si>
  <si>
    <t>恒顺醋业</t>
  </si>
  <si>
    <t>www.lixinger.com/analytics/company/sh/600305/600305/detail</t>
  </si>
  <si>
    <t>兴通股份</t>
  </si>
  <si>
    <t>www.lixinger.com/analytics/company/sh/603209/603209/detail</t>
  </si>
  <si>
    <t>东百集团</t>
  </si>
  <si>
    <t>www.lixinger.com/analytics/company/sh/600693/600693/detail</t>
  </si>
  <si>
    <t>华业香料</t>
  </si>
  <si>
    <t>www.lixinger.com/analytics/company/sz/300886/300886/detail</t>
  </si>
  <si>
    <t>峨眉山Ａ</t>
  </si>
  <si>
    <t>www.lixinger.com/analytics/company/sz/000888/888/detail</t>
  </si>
  <si>
    <t>*ST实达</t>
  </si>
  <si>
    <t>www.lixinger.com/analytics/company/sh/600734/600734/detail</t>
  </si>
  <si>
    <t>电魂网络</t>
  </si>
  <si>
    <t>www.lixinger.com/analytics/company/sh/603258/603258/detail</t>
  </si>
  <si>
    <t>亚太药业</t>
  </si>
  <si>
    <t>www.lixinger.com/analytics/company/sz/002370/2370/detail</t>
  </si>
  <si>
    <t>民和股份</t>
  </si>
  <si>
    <t>www.lixinger.com/analytics/company/sz/002234/2234/detail</t>
  </si>
  <si>
    <t>国新文化</t>
  </si>
  <si>
    <t>www.lixinger.com/analytics/company/sh/600636/600636/detail</t>
  </si>
  <si>
    <t>君亭酒店</t>
  </si>
  <si>
    <t>www.lixinger.com/analytics/company/sz/301073/301073/detail</t>
  </si>
  <si>
    <t>沃尔德</t>
  </si>
  <si>
    <t>www.lixinger.com/analytics/company/sh/688028/688028/detail</t>
  </si>
  <si>
    <t>深中华B</t>
  </si>
  <si>
    <t>www.lixinger.com/analytics/company/sz/200017/200017/detail</t>
  </si>
  <si>
    <t>汇嘉时代</t>
  </si>
  <si>
    <t>www.lixinger.com/analytics/company/sh/603101/603101/detail</t>
  </si>
  <si>
    <t>普源精电</t>
  </si>
  <si>
    <t>www.lixinger.com/analytics/company/sh/688337/688337/detail</t>
  </si>
  <si>
    <t>弘亚数控</t>
  </si>
  <si>
    <t>www.lixinger.com/analytics/company/sz/002833/2833/detail</t>
  </si>
  <si>
    <t>致远新能</t>
  </si>
  <si>
    <t>www.lixinger.com/analytics/company/sz/300985/300985/detail</t>
  </si>
  <si>
    <t>神农集团</t>
  </si>
  <si>
    <t>www.lixinger.com/analytics/company/sh/605296/605296/detail</t>
  </si>
  <si>
    <t>兰生股份</t>
  </si>
  <si>
    <t>www.lixinger.com/analytics/company/sh/600826/600826/detail</t>
  </si>
  <si>
    <t>本立科技</t>
  </si>
  <si>
    <t>www.lixinger.com/analytics/company/sz/301065/301065/detail</t>
  </si>
  <si>
    <t>万通发展</t>
  </si>
  <si>
    <t>www.lixinger.com/analytics/company/sh/600246/600246/detail</t>
  </si>
  <si>
    <t>华嵘控股</t>
  </si>
  <si>
    <t>www.lixinger.com/analytics/company/sh/600421/600421/detail</t>
  </si>
  <si>
    <t>六国化工</t>
  </si>
  <si>
    <t>www.lixinger.com/analytics/company/sh/600470/600470/detail</t>
  </si>
  <si>
    <t>顶点软件</t>
  </si>
  <si>
    <t>www.lixinger.com/analytics/company/sh/603383/603383/detail</t>
  </si>
  <si>
    <t>建龙微纳</t>
  </si>
  <si>
    <t>www.lixinger.com/analytics/company/sh/688357/688357/detail</t>
  </si>
  <si>
    <t>川网传媒</t>
  </si>
  <si>
    <t>www.lixinger.com/analytics/company/sz/300987/300987/detail</t>
  </si>
  <si>
    <t>福昕软件</t>
  </si>
  <si>
    <t>www.lixinger.com/analytics/company/sh/688095/688095/detail</t>
  </si>
  <si>
    <t>日辰股份</t>
  </si>
  <si>
    <t>www.lixinger.com/analytics/company/sh/603755/603755/detail</t>
  </si>
  <si>
    <t>重庆钢铁</t>
  </si>
  <si>
    <t>www.lixinger.com/analytics/company/sh/601005/601005/detail</t>
  </si>
  <si>
    <t>向日葵</t>
  </si>
  <si>
    <t>www.lixinger.com/analytics/company/sz/300111/300111/detail</t>
  </si>
  <si>
    <t>*ST丰华</t>
  </si>
  <si>
    <t>www.lixinger.com/analytics/company/sh/600615/600615/detail</t>
  </si>
  <si>
    <t>神农科技</t>
  </si>
  <si>
    <t>www.lixinger.com/analytics/company/sz/300189/300189/detail</t>
  </si>
  <si>
    <t>百普赛斯</t>
  </si>
  <si>
    <t>www.lixinger.com/analytics/company/sz/301080/301080/detail</t>
  </si>
  <si>
    <t>涪陵榨菜</t>
  </si>
  <si>
    <t>www.lixinger.com/analytics/company/sz/002507/2507/detail</t>
  </si>
  <si>
    <t>*ST华塑</t>
  </si>
  <si>
    <t>www.lixinger.com/analytics/company/sz/000509/509/detail</t>
  </si>
  <si>
    <t>万业企业</t>
  </si>
  <si>
    <t>www.lixinger.com/analytics/company/sh/600641/600641/detail</t>
  </si>
  <si>
    <t>京基智农</t>
  </si>
  <si>
    <t>www.lixinger.com/analytics/company/sz/000048/48/detail</t>
  </si>
  <si>
    <t>新坐标</t>
  </si>
  <si>
    <t>www.lixinger.com/analytics/company/sh/603040/603040/detail</t>
  </si>
  <si>
    <t>养元饮品</t>
  </si>
  <si>
    <t>www.lixinger.com/analytics/company/sh/603156/603156/detail</t>
  </si>
  <si>
    <t>雷电微力</t>
  </si>
  <si>
    <t>www.lixinger.com/analytics/company/sz/301050/301050/detail</t>
  </si>
  <si>
    <t>张江高科</t>
  </si>
  <si>
    <t>www.lixinger.com/analytics/company/sh/600895/600895/detail</t>
  </si>
  <si>
    <t>准油股份</t>
  </si>
  <si>
    <t>www.lixinger.com/analytics/company/sz/002207/2207/detail</t>
  </si>
  <si>
    <t>*ST天成</t>
  </si>
  <si>
    <t>www.lixinger.com/analytics/company/sh/600112/600112/detail</t>
  </si>
  <si>
    <t>宝泰隆</t>
  </si>
  <si>
    <t>www.lixinger.com/analytics/company/sh/601011/601011/detail</t>
  </si>
  <si>
    <t>华联综超</t>
  </si>
  <si>
    <t>www.lixinger.com/analytics/company/sh/600361/600361/detail</t>
  </si>
  <si>
    <t>*ST达志</t>
  </si>
  <si>
    <t>www.lixinger.com/analytics/company/sz/300530/300530/detail</t>
  </si>
  <si>
    <t>浩通科技</t>
  </si>
  <si>
    <t>www.lixinger.com/analytics/company/sz/301026/301026/detail</t>
  </si>
  <si>
    <t>方直科技</t>
  </si>
  <si>
    <t>www.lixinger.com/analytics/company/sz/300235/300235/detail</t>
  </si>
  <si>
    <t>仙坛股份</t>
  </si>
  <si>
    <t>www.lixinger.com/analytics/company/sz/002746/2746/detail</t>
  </si>
  <si>
    <t>迎驾贡酒</t>
  </si>
  <si>
    <t>www.lixinger.com/analytics/company/sh/603198/603198/detail</t>
  </si>
  <si>
    <t>*ST新文</t>
  </si>
  <si>
    <t>www.lixinger.com/analytics/company/sz/300336/300336/detail</t>
  </si>
  <si>
    <t>道道全</t>
  </si>
  <si>
    <t>www.lixinger.com/analytics/company/sz/002852/2852/detail</t>
  </si>
  <si>
    <t>华特达因</t>
  </si>
  <si>
    <t>www.lixinger.com/analytics/company/sz/000915/915/detail</t>
  </si>
  <si>
    <t>东晶电子</t>
  </si>
  <si>
    <t>www.lixinger.com/analytics/company/sz/002199/2199/detail</t>
  </si>
  <si>
    <t>爱科科技</t>
  </si>
  <si>
    <t>www.lixinger.com/analytics/company/sh/688092/688092/detail</t>
  </si>
  <si>
    <t>天邦股份</t>
  </si>
  <si>
    <t>www.lixinger.com/analytics/company/sz/002124/2124/detail</t>
  </si>
  <si>
    <t>*ST丹邦</t>
  </si>
  <si>
    <t>www.lixinger.com/analytics/company/sz/002618/2618/detail</t>
  </si>
  <si>
    <t>美尔雅</t>
  </si>
  <si>
    <t>www.lixinger.com/analytics/company/sh/600107/600107/detail</t>
  </si>
  <si>
    <t>金岭矿业</t>
  </si>
  <si>
    <t>www.lixinger.com/analytics/company/sz/000655/655/detail</t>
  </si>
  <si>
    <t>特力Ｂ</t>
  </si>
  <si>
    <t>www.lixinger.com/analytics/company/sz/200025/200025/detail</t>
  </si>
  <si>
    <t>来伊份</t>
  </si>
  <si>
    <t>www.lixinger.com/analytics/company/sh/603777/603777/detail</t>
  </si>
  <si>
    <t>普门科技</t>
  </si>
  <si>
    <t>www.lixinger.com/analytics/company/sh/688389/688389/detail</t>
  </si>
  <si>
    <t>鸥玛软件</t>
  </si>
  <si>
    <t>www.lixinger.com/analytics/company/sz/301185/301185/detail</t>
  </si>
  <si>
    <t>正海生物</t>
  </si>
  <si>
    <t>www.lixinger.com/analytics/company/sz/300653/300653/detail</t>
  </si>
  <si>
    <t>隆华新材</t>
  </si>
  <si>
    <t>www.lixinger.com/analytics/company/sz/301149/301149/detail</t>
  </si>
  <si>
    <t>海南高速</t>
  </si>
  <si>
    <t>www.lixinger.com/analytics/company/sz/000886/886/detail</t>
  </si>
  <si>
    <t>广生堂</t>
  </si>
  <si>
    <t>www.lixinger.com/analytics/company/sz/300436/300436/detail</t>
  </si>
  <si>
    <t>*ST巴士</t>
  </si>
  <si>
    <t>www.lixinger.com/analytics/company/sz/002188/2188/detail</t>
  </si>
  <si>
    <t>*ST绿景</t>
  </si>
  <si>
    <t>www.lixinger.com/analytics/company/sz/000502/502/detail</t>
  </si>
  <si>
    <t>浪莎股份</t>
  </si>
  <si>
    <t>www.lixinger.com/analytics/company/sh/600137/600137/detail</t>
  </si>
  <si>
    <t>大洋生物</t>
  </si>
  <si>
    <t>www.lixinger.com/analytics/company/sz/003017/3017/detail</t>
  </si>
  <si>
    <t>ST目药</t>
  </si>
  <si>
    <t>www.lixinger.com/analytics/company/sh/600671/600671/detail</t>
  </si>
  <si>
    <t>潜能恒信</t>
  </si>
  <si>
    <t>www.lixinger.com/analytics/company/sz/300191/300191/detail</t>
  </si>
  <si>
    <t>华塑股份</t>
  </si>
  <si>
    <t>www.lixinger.com/analytics/company/sh/600935/600935/detail</t>
  </si>
  <si>
    <t>新湖中宝</t>
  </si>
  <si>
    <t>www.lixinger.com/analytics/company/sh/600208/600208/detail</t>
  </si>
  <si>
    <t>集智股份</t>
  </si>
  <si>
    <t>www.lixinger.com/analytics/company/sz/300553/300553/detail</t>
  </si>
  <si>
    <t>玉马遮阳</t>
  </si>
  <si>
    <t>www.lixinger.com/analytics/company/sz/300993/300993/detail</t>
  </si>
  <si>
    <t>维宏股份</t>
  </si>
  <si>
    <t>www.lixinger.com/analytics/company/sz/300508/300508/detail</t>
  </si>
  <si>
    <t>屹通新材</t>
  </si>
  <si>
    <t>www.lixinger.com/analytics/company/sz/300930/300930/detail</t>
  </si>
  <si>
    <t>沃顿科技</t>
  </si>
  <si>
    <t>www.lixinger.com/analytics/company/sz/000920/920/detail</t>
  </si>
  <si>
    <t>东电退</t>
  </si>
  <si>
    <t>www.lixinger.com/analytics/company/sz/000585/585/detail</t>
  </si>
  <si>
    <t>杭州解百</t>
  </si>
  <si>
    <t>www.lixinger.com/analytics/company/sh/600814/600814/detail</t>
  </si>
  <si>
    <t>博士眼镜</t>
  </si>
  <si>
    <t>www.lixinger.com/analytics/company/sz/300622/300622/detail</t>
  </si>
  <si>
    <t>全聚德</t>
  </si>
  <si>
    <t>www.lixinger.com/analytics/company/sz/002186/2186/detail</t>
  </si>
  <si>
    <t>和元生物</t>
  </si>
  <si>
    <t>www.lixinger.com/analytics/company/sh/688238/688238/detail</t>
  </si>
  <si>
    <t>湖南发展</t>
  </si>
  <si>
    <t>www.lixinger.com/analytics/company/sz/000722/722/detail</t>
  </si>
  <si>
    <t>驰宏锌锗</t>
  </si>
  <si>
    <t>www.lixinger.com/analytics/company/sh/600497/600497/detail</t>
  </si>
  <si>
    <t>粤宏远Ａ</t>
  </si>
  <si>
    <t>www.lixinger.com/analytics/company/sz/000573/573/detail</t>
  </si>
  <si>
    <t>西安旅游</t>
  </si>
  <si>
    <t>www.lixinger.com/analytics/company/sz/000610/610/detail</t>
  </si>
  <si>
    <t>华丰股份</t>
  </si>
  <si>
    <t>www.lixinger.com/analytics/company/sh/605100/605100/detail</t>
  </si>
  <si>
    <t>合金投资</t>
  </si>
  <si>
    <t>www.lixinger.com/analytics/company/sz/000633/633/detail</t>
  </si>
  <si>
    <t>康众医疗</t>
  </si>
  <si>
    <t>www.lixinger.com/analytics/company/sh/688607/688607/detail</t>
  </si>
  <si>
    <t>益生股份</t>
  </si>
  <si>
    <t>www.lixinger.com/analytics/company/sz/002458/2458/detail</t>
  </si>
  <si>
    <t>中鲁Ｂ</t>
  </si>
  <si>
    <t>www.lixinger.com/analytics/company/sz/200992/200992/detail</t>
  </si>
  <si>
    <t>京投发展</t>
  </si>
  <si>
    <t>www.lixinger.com/analytics/company/sh/600683/600683/detail</t>
  </si>
  <si>
    <t>天茂集团</t>
  </si>
  <si>
    <t>保险</t>
  </si>
  <si>
    <t>www.lixinger.com/analytics/company/sz/000627/627/detail</t>
  </si>
  <si>
    <t>深水规院</t>
  </si>
  <si>
    <t>www.lixinger.com/analytics/company/sz/301038/301038/detail</t>
  </si>
  <si>
    <t>拓新药业</t>
  </si>
  <si>
    <t>www.lixinger.com/analytics/company/sz/301089/301089/detail</t>
  </si>
  <si>
    <t>思进智能</t>
  </si>
  <si>
    <t>www.lixinger.com/analytics/company/sz/003025/3025/detail</t>
  </si>
  <si>
    <t>加加食品</t>
  </si>
  <si>
    <t>www.lixinger.com/analytics/company/sz/002650/2650/detail</t>
  </si>
  <si>
    <t>炬芯科技</t>
  </si>
  <si>
    <t>www.lixinger.com/analytics/company/sh/688049/688049/detail</t>
  </si>
  <si>
    <t>盐田港</t>
  </si>
  <si>
    <t>www.lixinger.com/analytics/company/sz/000088/88/detail</t>
  </si>
  <si>
    <t>地素时尚</t>
  </si>
  <si>
    <t>www.lixinger.com/analytics/company/sh/603587/603587/detail</t>
  </si>
  <si>
    <t>国盛智科</t>
  </si>
  <si>
    <t>www.lixinger.com/analytics/company/sh/688558/688558/detail</t>
  </si>
  <si>
    <t>金瑞矿业</t>
  </si>
  <si>
    <t>www.lixinger.com/analytics/company/sh/600714/600714/detail</t>
  </si>
  <si>
    <t>亚太实业</t>
  </si>
  <si>
    <t>www.lixinger.com/analytics/company/sz/000691/691/detail</t>
  </si>
  <si>
    <t>深中华A</t>
  </si>
  <si>
    <t>www.lixinger.com/analytics/company/sz/000017/17/detail</t>
  </si>
  <si>
    <t>中油资本</t>
  </si>
  <si>
    <t>www.lixinger.com/analytics/company/sz/000617/617/detail</t>
  </si>
  <si>
    <t>ST八菱</t>
  </si>
  <si>
    <t>www.lixinger.com/analytics/company/sz/002592/2592/detail</t>
  </si>
  <si>
    <t>*ST景谷</t>
  </si>
  <si>
    <t>www.lixinger.com/analytics/company/sh/600265/600265/detail</t>
  </si>
  <si>
    <t>宏达股份</t>
  </si>
  <si>
    <t>www.lixinger.com/analytics/company/sh/600331/600331/detail</t>
  </si>
  <si>
    <t>国光股份</t>
  </si>
  <si>
    <t>www.lixinger.com/analytics/company/sz/002749/2749/detail</t>
  </si>
  <si>
    <t>凌云Ｂ股</t>
  </si>
  <si>
    <t>www.lixinger.com/analytics/company/sh/900957/900957/detail</t>
  </si>
  <si>
    <t>雅艺科技</t>
  </si>
  <si>
    <t>www.lixinger.com/analytics/company/sz/301113/301113/detail</t>
  </si>
  <si>
    <t>红旗连锁</t>
  </si>
  <si>
    <t>www.lixinger.com/analytics/company/sz/002697/2697/detail</t>
  </si>
  <si>
    <t>广百股份</t>
  </si>
  <si>
    <t>www.lixinger.com/analytics/company/sz/002187/2187/detail</t>
  </si>
  <si>
    <t>百胜智能</t>
  </si>
  <si>
    <t>www.lixinger.com/analytics/company/sz/301083/301083/detail</t>
  </si>
  <si>
    <t>武商集团</t>
  </si>
  <si>
    <t>www.lixinger.com/analytics/company/sz/000501/501/detail</t>
  </si>
  <si>
    <t>力盛赛车</t>
  </si>
  <si>
    <t>www.lixinger.com/analytics/company/sz/002858/2858/detail</t>
  </si>
  <si>
    <t>中交地产</t>
  </si>
  <si>
    <t>www.lixinger.com/analytics/company/sz/000736/736/detail</t>
  </si>
  <si>
    <t>朗玛信息</t>
  </si>
  <si>
    <t>www.lixinger.com/analytics/company/sz/300288/300288/detail</t>
  </si>
  <si>
    <t>丽尚国潮</t>
  </si>
  <si>
    <t>www.lixinger.com/analytics/company/sh/600738/600738/detail</t>
  </si>
  <si>
    <t>拓荆科技</t>
  </si>
  <si>
    <t>www.lixinger.com/analytics/company/sh/688072/688072/detail</t>
  </si>
  <si>
    <t>艾迪药业</t>
  </si>
  <si>
    <t>www.lixinger.com/analytics/company/sh/688488/688488/detail</t>
  </si>
  <si>
    <t>创耀科技</t>
  </si>
  <si>
    <t>www.lixinger.com/analytics/company/sh/688259/688259/detail</t>
  </si>
  <si>
    <t>鼎阳科技</t>
  </si>
  <si>
    <t>www.lixinger.com/analytics/company/sh/688112/688112/detail</t>
  </si>
  <si>
    <t>越秀金控</t>
  </si>
  <si>
    <t>www.lixinger.com/analytics/company/sz/000987/987/detail</t>
  </si>
  <si>
    <t>融钰集团</t>
  </si>
  <si>
    <t>www.lixinger.com/analytics/company/sz/002622/2622/detail</t>
  </si>
  <si>
    <t>广宇集团</t>
  </si>
  <si>
    <t>www.lixinger.com/analytics/company/sz/002133/2133/detail</t>
  </si>
  <si>
    <t>韶钢松山</t>
  </si>
  <si>
    <t>www.lixinger.com/analytics/company/sz/000717/717/detail</t>
  </si>
  <si>
    <t>庄园牧场</t>
  </si>
  <si>
    <t>www.lixinger.com/analytics/company/sz/002910/2910/detail</t>
  </si>
  <si>
    <t>ST安泰</t>
  </si>
  <si>
    <t>www.lixinger.com/analytics/company/sh/600408/600408/detail</t>
  </si>
  <si>
    <t>佰仁医疗</t>
  </si>
  <si>
    <t>www.lixinger.com/analytics/company/sh/688198/688198/detail</t>
  </si>
  <si>
    <t>东望时代</t>
  </si>
  <si>
    <t>www.lixinger.com/analytics/company/sh/600052/600052/detail</t>
  </si>
  <si>
    <t>莱伯泰科</t>
  </si>
  <si>
    <t>www.lixinger.com/analytics/company/sh/688056/688056/detail</t>
  </si>
  <si>
    <t>新华传媒</t>
  </si>
  <si>
    <t>www.lixinger.com/analytics/company/sh/600825/600825/detail</t>
  </si>
  <si>
    <t>宇环数控</t>
  </si>
  <si>
    <t>www.lixinger.com/analytics/company/sz/002903/2903/detail</t>
  </si>
  <si>
    <t>恒立实业</t>
  </si>
  <si>
    <t>www.lixinger.com/analytics/company/sz/000622/622/detail</t>
  </si>
  <si>
    <t>特力Ａ</t>
  </si>
  <si>
    <t>www.lixinger.com/analytics/company/sz/000025/25/detail</t>
  </si>
  <si>
    <t>*ST西发</t>
  </si>
  <si>
    <t>www.lixinger.com/analytics/company/sz/000752/752/detail</t>
  </si>
  <si>
    <t>南华仪器</t>
  </si>
  <si>
    <t>www.lixinger.com/analytics/company/sz/300417/300417/detail</t>
  </si>
  <si>
    <t>大连热电</t>
  </si>
  <si>
    <t>www.lixinger.com/analytics/company/sh/600719/600719/detail</t>
  </si>
  <si>
    <t>佳隆股份</t>
  </si>
  <si>
    <t>www.lixinger.com/analytics/company/sz/002495/2495/detail</t>
  </si>
  <si>
    <t>*ST万方</t>
  </si>
  <si>
    <t>www.lixinger.com/analytics/company/sz/000638/638/detail</t>
  </si>
  <si>
    <t>艾力斯</t>
  </si>
  <si>
    <t>www.lixinger.com/analytics/company/sh/688578/688578/detail</t>
  </si>
  <si>
    <t>莫高股份</t>
  </si>
  <si>
    <t>www.lixinger.com/analytics/company/sh/600543/600543/detail</t>
  </si>
  <si>
    <t>华斯股份</t>
  </si>
  <si>
    <t>www.lixinger.com/analytics/company/sz/002494/2494/detail</t>
  </si>
  <si>
    <t>三夫户外</t>
  </si>
  <si>
    <t>www.lixinger.com/analytics/company/sz/002780/2780/detail</t>
  </si>
  <si>
    <t>中公教育</t>
  </si>
  <si>
    <t>www.lixinger.com/analytics/company/sz/002607/2607/detail</t>
  </si>
  <si>
    <t>万兴科技</t>
  </si>
  <si>
    <t>www.lixinger.com/analytics/company/sz/300624/300624/detail</t>
  </si>
  <si>
    <t>泰林生物</t>
  </si>
  <si>
    <t>www.lixinger.com/analytics/company/sz/300813/300813/detail</t>
  </si>
  <si>
    <t>天益医疗</t>
  </si>
  <si>
    <t>www.lixinger.com/analytics/company/sz/301097/301097/detail</t>
  </si>
  <si>
    <t>西大门</t>
  </si>
  <si>
    <t>www.lixinger.com/analytics/company/sh/605155/605155/detail</t>
  </si>
  <si>
    <t>狮头股份</t>
  </si>
  <si>
    <t>www.lixinger.com/analytics/company/sh/600539/600539/detail</t>
  </si>
  <si>
    <t>西藏旅游</t>
  </si>
  <si>
    <t>www.lixinger.com/analytics/company/sh/600749/600749/detail</t>
  </si>
  <si>
    <t>华远地产</t>
  </si>
  <si>
    <t>www.lixinger.com/analytics/company/sh/600743/600743/detail</t>
  </si>
  <si>
    <t>芯导科技</t>
  </si>
  <si>
    <t>www.lixinger.com/analytics/company/sh/688230/688230/detail</t>
  </si>
  <si>
    <t>华统股份</t>
  </si>
  <si>
    <t>www.lixinger.com/analytics/company/sz/002840/2840/detail</t>
  </si>
  <si>
    <t>富春染织</t>
  </si>
  <si>
    <t>www.lixinger.com/analytics/company/sh/605189/605189/detail</t>
  </si>
  <si>
    <t>明星电力</t>
  </si>
  <si>
    <t>www.lixinger.com/analytics/company/sh/600101/600101/detail</t>
  </si>
  <si>
    <t>ST金鸿</t>
  </si>
  <si>
    <t>www.lixinger.com/analytics/company/sz/000669/669/detail</t>
  </si>
  <si>
    <t>ST九有</t>
  </si>
  <si>
    <t>www.lixinger.com/analytics/company/sh/600462/600462/detail</t>
  </si>
  <si>
    <t>菲林格尔</t>
  </si>
  <si>
    <t>www.lixinger.com/analytics/company/sh/603226/603226/detail</t>
  </si>
  <si>
    <t>东方网络</t>
  </si>
  <si>
    <t>www.lixinger.com/analytics/company/sz/002175/2175/detail</t>
  </si>
  <si>
    <t>全志科技</t>
  </si>
  <si>
    <t>www.lixinger.com/analytics/company/sz/300458/300458/detail</t>
  </si>
  <si>
    <t>三六五网</t>
  </si>
  <si>
    <t>www.lixinger.com/analytics/company/sz/300295/300295/detail</t>
  </si>
  <si>
    <t>*ST华讯</t>
  </si>
  <si>
    <t>www.lixinger.com/analytics/company/sz/000687/687/detail</t>
  </si>
  <si>
    <t>*ST乐材</t>
  </si>
  <si>
    <t>www.lixinger.com/analytics/company/sz/300446/300446/detail</t>
  </si>
  <si>
    <t>开元教育</t>
  </si>
  <si>
    <t>www.lixinger.com/analytics/company/sz/300338/300338/detail</t>
  </si>
  <si>
    <t>惠泰医疗</t>
  </si>
  <si>
    <t>www.lixinger.com/analytics/company/sh/688617/688617/detail</t>
  </si>
  <si>
    <t>欧亚集团</t>
  </si>
  <si>
    <t>www.lixinger.com/analytics/company/sh/600697/600697/detail</t>
  </si>
  <si>
    <t>珠江股份</t>
  </si>
  <si>
    <t>www.lixinger.com/analytics/company/sh/600684/600684/detail</t>
  </si>
  <si>
    <t>焦点科技</t>
  </si>
  <si>
    <t>www.lixinger.com/analytics/company/sz/002315/2315/detail</t>
  </si>
  <si>
    <t>恒光股份</t>
  </si>
  <si>
    <t>www.lixinger.com/analytics/company/sz/301118/301118/detail</t>
  </si>
  <si>
    <t>雪榕生物</t>
  </si>
  <si>
    <t>食用菌</t>
  </si>
  <si>
    <t>www.lixinger.com/analytics/company/sz/300511/300511/detail</t>
  </si>
  <si>
    <t>四方科技</t>
  </si>
  <si>
    <t>www.lixinger.com/analytics/company/sh/603339/603339/detail</t>
  </si>
  <si>
    <t>金字火腿</t>
  </si>
  <si>
    <t>www.lixinger.com/analytics/company/sz/002515/2515/detail</t>
  </si>
  <si>
    <t>酷特智能</t>
  </si>
  <si>
    <t>www.lixinger.com/analytics/company/sz/300840/300840/detail</t>
  </si>
  <si>
    <t>罗牛山</t>
  </si>
  <si>
    <t>www.lixinger.com/analytics/company/sz/000735/735/detail</t>
  </si>
  <si>
    <t>宇顺电子</t>
  </si>
  <si>
    <t>www.lixinger.com/analytics/company/sz/002289/2289/detail</t>
  </si>
  <si>
    <t>双象股份</t>
  </si>
  <si>
    <t>www.lixinger.com/analytics/company/sz/002395/2395/detail</t>
  </si>
  <si>
    <t>海德股份</t>
  </si>
  <si>
    <t>www.lixinger.com/analytics/company/sz/000567/567/detail</t>
  </si>
  <si>
    <t>华天酒店</t>
  </si>
  <si>
    <t>www.lixinger.com/analytics/company/sz/000428/428/detail</t>
  </si>
  <si>
    <t>众兴菌业</t>
  </si>
  <si>
    <t>www.lixinger.com/analytics/company/sz/002772/2772/detail</t>
  </si>
  <si>
    <t>同花顺</t>
  </si>
  <si>
    <t>www.lixinger.com/analytics/company/sz/300033/300033/detail</t>
  </si>
  <si>
    <t>南京化纤</t>
  </si>
  <si>
    <t>www.lixinger.com/analytics/company/sh/600889/600889/detail</t>
  </si>
  <si>
    <t>路畅科技</t>
  </si>
  <si>
    <t>www.lixinger.com/analytics/company/sz/002813/2813/detail</t>
  </si>
  <si>
    <t>威帝股份</t>
  </si>
  <si>
    <t>www.lixinger.com/analytics/company/sh/603023/603023/detail</t>
  </si>
  <si>
    <t>ST文化</t>
  </si>
  <si>
    <t>www.lixinger.com/analytics/company/sz/300089/300089/detail</t>
  </si>
  <si>
    <t>绿康生化</t>
  </si>
  <si>
    <t>www.lixinger.com/analytics/company/sz/002868/2868/detail</t>
  </si>
  <si>
    <t>文峰股份</t>
  </si>
  <si>
    <t>www.lixinger.com/analytics/company/sh/601010/601010/detail</t>
  </si>
  <si>
    <t>亚振家居</t>
  </si>
  <si>
    <t>www.lixinger.com/analytics/company/sh/603389/603389/detail</t>
  </si>
  <si>
    <t>广聚能源</t>
  </si>
  <si>
    <t>www.lixinger.com/analytics/company/sz/000096/96/detail</t>
  </si>
  <si>
    <t>碳元科技</t>
  </si>
  <si>
    <t>www.lixinger.com/analytics/company/sh/603133/603133/detail</t>
  </si>
  <si>
    <t>安奈儿</t>
  </si>
  <si>
    <t>www.lixinger.com/analytics/company/sz/002875/2875/detail</t>
  </si>
  <si>
    <t>阿拉丁</t>
  </si>
  <si>
    <t>www.lixinger.com/analytics/company/sh/688179/688179/detail</t>
  </si>
  <si>
    <t>威龙股份</t>
  </si>
  <si>
    <t>www.lixinger.com/analytics/company/sh/603779/603779/detail</t>
  </si>
  <si>
    <t>开勒股份</t>
  </si>
  <si>
    <t>www.lixinger.com/analytics/company/sz/301070/301070/detail</t>
  </si>
  <si>
    <t>科美诊断</t>
  </si>
  <si>
    <t>www.lixinger.com/analytics/company/sh/688468/688468/detail</t>
  </si>
  <si>
    <t>东莞控股</t>
  </si>
  <si>
    <t>www.lixinger.com/analytics/company/sz/000828/828/detail</t>
  </si>
  <si>
    <t>张小泉</t>
  </si>
  <si>
    <t>www.lixinger.com/analytics/company/sz/301055/301055/detail</t>
  </si>
  <si>
    <t>美迪凯</t>
  </si>
  <si>
    <t>www.lixinger.com/analytics/company/sh/688079/688079/detail</t>
  </si>
  <si>
    <t>艾为电子</t>
  </si>
  <si>
    <t>www.lixinger.com/analytics/company/sh/688798/688798/detail</t>
  </si>
  <si>
    <t>上海物贸</t>
  </si>
  <si>
    <t>www.lixinger.com/analytics/company/sh/600822/600822/detail</t>
  </si>
  <si>
    <t>华鲁恒升</t>
  </si>
  <si>
    <t>www.lixinger.com/analytics/company/sh/600426/600426/detail</t>
  </si>
  <si>
    <t>翔宇医疗</t>
  </si>
  <si>
    <t>www.lixinger.com/analytics/company/sh/688626/688626/detail</t>
  </si>
  <si>
    <t>华融化学</t>
  </si>
  <si>
    <t>www.lixinger.com/analytics/company/sz/301256/301256/detail</t>
  </si>
  <si>
    <t>日播时尚</t>
  </si>
  <si>
    <t>www.lixinger.com/analytics/company/sh/603196/603196/detail</t>
  </si>
  <si>
    <t>龙津药业</t>
  </si>
  <si>
    <t>www.lixinger.com/analytics/company/sz/002750/2750/detail</t>
  </si>
  <si>
    <t>浩欧博</t>
  </si>
  <si>
    <t>www.lixinger.com/analytics/company/sh/688656/688656/detail</t>
  </si>
  <si>
    <t>银泰黄金</t>
  </si>
  <si>
    <t>www.lixinger.com/analytics/company/sz/000975/975/detail</t>
  </si>
  <si>
    <t>兆日科技</t>
  </si>
  <si>
    <t>www.lixinger.com/analytics/company/sz/300333/300333/detail</t>
  </si>
  <si>
    <t>均瑶健康</t>
  </si>
  <si>
    <t>www.lixinger.com/analytics/company/sh/605388/605388/detail</t>
  </si>
  <si>
    <t>中路股份</t>
  </si>
  <si>
    <t>www.lixinger.com/analytics/company/sh/600818/600818/detail</t>
  </si>
  <si>
    <t>ST沪科</t>
  </si>
  <si>
    <t>www.lixinger.com/analytics/company/sh/600608/600608/detail</t>
  </si>
  <si>
    <t>*ST运盛</t>
  </si>
  <si>
    <t>www.lixinger.com/analytics/company/sh/600767/600767/detail</t>
  </si>
  <si>
    <t>梦天家居</t>
  </si>
  <si>
    <t>www.lixinger.com/analytics/company/sh/603216/603216/detail</t>
  </si>
  <si>
    <t>东鹏饮料</t>
  </si>
  <si>
    <t>www.lixinger.com/analytics/company/sh/605499/605499/detail</t>
  </si>
  <si>
    <t>茂业商业</t>
  </si>
  <si>
    <t>www.lixinger.com/analytics/company/sh/600828/600828/detail</t>
  </si>
  <si>
    <t>中金辐照</t>
  </si>
  <si>
    <t>www.lixinger.com/analytics/company/sz/300962/300962/detail</t>
  </si>
  <si>
    <t>泽宇智能</t>
  </si>
  <si>
    <t>www.lixinger.com/analytics/company/sz/301179/301179/detail</t>
  </si>
  <si>
    <t>西点药业</t>
  </si>
  <si>
    <t>www.lixinger.com/analytics/company/sz/301130/301130/detail</t>
  </si>
  <si>
    <t>丹化科技</t>
  </si>
  <si>
    <t>www.lixinger.com/analytics/company/sh/600844/600844/detail</t>
  </si>
  <si>
    <t>柏楚电子</t>
  </si>
  <si>
    <t>www.lixinger.com/analytics/company/sh/688188/688188/detail</t>
  </si>
  <si>
    <t>华绿生物</t>
  </si>
  <si>
    <t>www.lixinger.com/analytics/company/sz/300970/300970/detail</t>
  </si>
  <si>
    <t>何氏眼科</t>
  </si>
  <si>
    <t>www.lixinger.com/analytics/company/sz/301103/301103/detail</t>
  </si>
  <si>
    <t>远方信息</t>
  </si>
  <si>
    <t>www.lixinger.com/analytics/company/sz/300306/300306/detail</t>
  </si>
  <si>
    <t>香江控股</t>
  </si>
  <si>
    <t>www.lixinger.com/analytics/company/sh/600162/600162/detail</t>
  </si>
  <si>
    <t>*ST深南</t>
  </si>
  <si>
    <t>www.lixinger.com/analytics/company/sz/002417/2417/detail</t>
  </si>
  <si>
    <t>岳阳兴长</t>
  </si>
  <si>
    <t>www.lixinger.com/analytics/company/sz/000819/819/detail</t>
  </si>
  <si>
    <t>学大教育</t>
  </si>
  <si>
    <t>www.lixinger.com/analytics/company/sz/000526/526/detail</t>
  </si>
  <si>
    <t>中毅达</t>
  </si>
  <si>
    <t>www.lixinger.com/analytics/company/sh/600610/600610/detail</t>
  </si>
  <si>
    <t>廊坊发展</t>
  </si>
  <si>
    <t>www.lixinger.com/analytics/company/sh/600149/600149/detail</t>
  </si>
  <si>
    <t>赛科希德</t>
  </si>
  <si>
    <t>www.lixinger.com/analytics/company/sh/688338/688338/detail</t>
  </si>
  <si>
    <t>同益中</t>
  </si>
  <si>
    <t>www.lixinger.com/analytics/company/sh/688722/688722/detail</t>
  </si>
  <si>
    <t>戴维医疗</t>
  </si>
  <si>
    <t>www.lixinger.com/analytics/company/sz/300314/300314/detail</t>
  </si>
  <si>
    <t>百合股份</t>
  </si>
  <si>
    <t>www.lixinger.com/analytics/company/sh/603102/603102/detail</t>
  </si>
  <si>
    <t>中视传媒</t>
  </si>
  <si>
    <t>www.lixinger.com/analytics/company/sh/600088/600088/detail</t>
  </si>
  <si>
    <t>长航凤凰</t>
  </si>
  <si>
    <t>www.lixinger.com/analytics/company/sz/000520/520/detail</t>
  </si>
  <si>
    <t>ST浩源</t>
  </si>
  <si>
    <t>www.lixinger.com/analytics/company/sz/002700/2700/detail</t>
  </si>
  <si>
    <t>红塔证券</t>
  </si>
  <si>
    <t>www.lixinger.com/analytics/company/sh/601236/601236/detail</t>
  </si>
  <si>
    <t>浙江东日</t>
  </si>
  <si>
    <t>www.lixinger.com/analytics/company/sh/600113/600113/detail</t>
  </si>
  <si>
    <t>中水渔业</t>
  </si>
  <si>
    <t>www.lixinger.com/analytics/company/sz/000798/798/detail</t>
  </si>
  <si>
    <t>海融科技</t>
  </si>
  <si>
    <t>www.lixinger.com/analytics/company/sz/300915/300915/detail</t>
  </si>
  <si>
    <t>财富趋势</t>
  </si>
  <si>
    <t>www.lixinger.com/analytics/company/sh/688318/688318/detail</t>
  </si>
  <si>
    <t>御银股份</t>
  </si>
  <si>
    <t>www.lixinger.com/analytics/company/sz/002177/2177/detail</t>
  </si>
  <si>
    <t>珠江啤酒</t>
  </si>
  <si>
    <t>www.lixinger.com/analytics/company/sz/002461/2461/detail</t>
  </si>
  <si>
    <t>绿岛风</t>
  </si>
  <si>
    <t>www.lixinger.com/analytics/company/sz/301043/301043/detail</t>
  </si>
  <si>
    <t>顺鑫农业</t>
  </si>
  <si>
    <t>www.lixinger.com/analytics/company/sz/000860/860/detail</t>
  </si>
  <si>
    <t>创业黑马</t>
  </si>
  <si>
    <t>www.lixinger.com/analytics/company/sz/300688/300688/detail</t>
  </si>
  <si>
    <t>新赛股份</t>
  </si>
  <si>
    <t>www.lixinger.com/analytics/company/sh/600540/600540/detail</t>
  </si>
  <si>
    <t>*ST雪莱</t>
  </si>
  <si>
    <t>www.lixinger.com/analytics/company/sz/002076/2076/detail</t>
  </si>
  <si>
    <t>宁波富邦</t>
  </si>
  <si>
    <t>www.lixinger.com/analytics/company/sh/600768/600768/detail</t>
  </si>
  <si>
    <t>大晟文化</t>
  </si>
  <si>
    <t>www.lixinger.com/analytics/company/sh/600892/600892/detail</t>
  </si>
  <si>
    <t>洪通燃气</t>
  </si>
  <si>
    <t>www.lixinger.com/analytics/company/sh/605169/605169/detail</t>
  </si>
  <si>
    <t>*ST中葡</t>
  </si>
  <si>
    <t>www.lixinger.com/analytics/company/sh/600084/600084/detail</t>
  </si>
  <si>
    <t>藏格矿业</t>
  </si>
  <si>
    <t>www.lixinger.com/analytics/company/sz/000408/408/detail</t>
  </si>
  <si>
    <t>赛伦生物</t>
  </si>
  <si>
    <t>www.lixinger.com/analytics/company/sh/688163/688163/detail</t>
  </si>
  <si>
    <t>中炬高新</t>
  </si>
  <si>
    <t>www.lixinger.com/analytics/company/sh/600872/600872/detail</t>
  </si>
  <si>
    <t>塔牌集团</t>
  </si>
  <si>
    <t>www.lixinger.com/analytics/company/sz/002233/2233/detail</t>
  </si>
  <si>
    <t>盛达资源</t>
  </si>
  <si>
    <t>www.lixinger.com/analytics/company/sz/000603/603/detail</t>
  </si>
  <si>
    <t>金时科技</t>
  </si>
  <si>
    <t>www.lixinger.com/analytics/company/sz/002951/2951/detail</t>
  </si>
  <si>
    <t>新日恒力</t>
  </si>
  <si>
    <t>www.lixinger.com/analytics/company/sh/600165/600165/detail</t>
  </si>
  <si>
    <t>保税科技</t>
  </si>
  <si>
    <t>www.lixinger.com/analytics/company/sh/600794/600794/detail</t>
  </si>
  <si>
    <t>*ST中房</t>
  </si>
  <si>
    <t>www.lixinger.com/analytics/company/sh/600890/600890/detail</t>
  </si>
  <si>
    <t>新力金融</t>
  </si>
  <si>
    <t>www.lixinger.com/analytics/company/sh/600318/600318/detail</t>
  </si>
  <si>
    <t>*ST海医</t>
  </si>
  <si>
    <t>www.lixinger.com/analytics/company/sh/600896/600896/detail</t>
  </si>
  <si>
    <t>嘉凯城</t>
  </si>
  <si>
    <t>www.lixinger.com/analytics/company/sz/000918/918/detail</t>
  </si>
  <si>
    <t>金运激光</t>
  </si>
  <si>
    <t>www.lixinger.com/analytics/company/sz/300220/300220/detail</t>
  </si>
  <si>
    <t>卧龙地产</t>
  </si>
  <si>
    <t>www.lixinger.com/analytics/company/sh/600173/600173/detail</t>
  </si>
  <si>
    <t>海川智能</t>
  </si>
  <si>
    <t>www.lixinger.com/analytics/company/sz/300720/300720/detail</t>
  </si>
  <si>
    <t>三江购物</t>
  </si>
  <si>
    <t>www.lixinger.com/analytics/company/sh/601116/601116/detail</t>
  </si>
  <si>
    <t>河化股份</t>
  </si>
  <si>
    <t>www.lixinger.com/analytics/company/sz/000953/953/detail</t>
  </si>
  <si>
    <t>荣昌生物</t>
  </si>
  <si>
    <t>www.lixinger.com/analytics/company/sh/688331/688331/detail</t>
  </si>
  <si>
    <t>*ST凯瑞</t>
  </si>
  <si>
    <t>www.lixinger.com/analytics/company/sz/002072/2072/detail</t>
  </si>
  <si>
    <t>*ST百花</t>
  </si>
  <si>
    <t>www.lixinger.com/analytics/company/sh/600721/600721/detail</t>
  </si>
  <si>
    <t>老白干酒</t>
  </si>
  <si>
    <t>www.lixinger.com/analytics/company/sh/600559/600559/detail</t>
  </si>
  <si>
    <t>五矿资本</t>
  </si>
  <si>
    <t>www.lixinger.com/analytics/company/sh/600390/600390/detail</t>
  </si>
  <si>
    <t>敏芯股份</t>
  </si>
  <si>
    <t>www.lixinger.com/analytics/company/sh/688286/688286/detail</t>
  </si>
  <si>
    <t>北鼎股份</t>
  </si>
  <si>
    <t>www.lixinger.com/analytics/company/sz/300824/300824/detail</t>
  </si>
  <si>
    <t>*ST南化</t>
  </si>
  <si>
    <t>www.lixinger.com/analytics/company/sh/600301/600301/detail</t>
  </si>
  <si>
    <t>帅丰电器</t>
  </si>
  <si>
    <t>www.lixinger.com/analytics/company/sh/605336/605336/detail</t>
  </si>
  <si>
    <t>宇新股份</t>
  </si>
  <si>
    <t>www.lixinger.com/analytics/company/sz/002986/2986/detail</t>
  </si>
  <si>
    <t>北京城乡</t>
  </si>
  <si>
    <t>www.lixinger.com/analytics/company/sh/600861/600861/detail</t>
  </si>
  <si>
    <t>*ST广珠</t>
  </si>
  <si>
    <t>www.lixinger.com/analytics/company/sh/600382/600382/detail</t>
  </si>
  <si>
    <t>北纬科技</t>
  </si>
  <si>
    <t>www.lixinger.com/analytics/company/sz/002148/2148/detail</t>
  </si>
  <si>
    <t>鲁信创投</t>
  </si>
  <si>
    <t>www.lixinger.com/analytics/company/sh/600783/600783/detail</t>
  </si>
  <si>
    <t>赛诺医疗</t>
  </si>
  <si>
    <t>www.lixinger.com/analytics/company/sh/688108/688108/detail</t>
  </si>
  <si>
    <t>富森美</t>
  </si>
  <si>
    <t>www.lixinger.com/analytics/company/sz/002818/2818/detail</t>
  </si>
  <si>
    <t>深振业Ａ</t>
  </si>
  <si>
    <t>www.lixinger.com/analytics/company/sz/000006/6/detail</t>
  </si>
  <si>
    <t>天坛生物</t>
  </si>
  <si>
    <t>www.lixinger.com/analytics/company/sh/600161/600161/detail</t>
  </si>
  <si>
    <t>伟思医疗</t>
  </si>
  <si>
    <t>www.lixinger.com/analytics/company/sh/688580/688580/detail</t>
  </si>
  <si>
    <t>江南高纤</t>
  </si>
  <si>
    <t>www.lixinger.com/analytics/company/sh/600527/600527/detail</t>
  </si>
  <si>
    <t>善水科技</t>
  </si>
  <si>
    <t>www.lixinger.com/analytics/company/sz/301190/301190/detail</t>
  </si>
  <si>
    <t>融捷健康</t>
  </si>
  <si>
    <t>www.lixinger.com/analytics/company/sz/300247/300247/detail</t>
  </si>
  <si>
    <t>三钢闽光</t>
  </si>
  <si>
    <t>www.lixinger.com/analytics/company/sz/002110/2110/detail</t>
  </si>
  <si>
    <t>双成药业</t>
  </si>
  <si>
    <t>www.lixinger.com/analytics/company/sz/002693/2693/detail</t>
  </si>
  <si>
    <t>森霸传感</t>
  </si>
  <si>
    <t>www.lixinger.com/analytics/company/sz/300701/300701/detail</t>
  </si>
  <si>
    <t>*ST亚星</t>
  </si>
  <si>
    <t>www.lixinger.com/analytics/company/sh/600319/600319/detail</t>
  </si>
  <si>
    <t>汇通能源</t>
  </si>
  <si>
    <t>www.lixinger.com/analytics/company/sh/600605/600605/detail</t>
  </si>
  <si>
    <t>银座股份</t>
  </si>
  <si>
    <t>www.lixinger.com/analytics/company/sh/600858/600858/detail</t>
  </si>
  <si>
    <t>好当家</t>
  </si>
  <si>
    <t>www.lixinger.com/analytics/company/sh/600467/600467/detail</t>
  </si>
  <si>
    <t>海联讯</t>
  </si>
  <si>
    <t>www.lixinger.com/analytics/company/sz/300277/300277/detail</t>
  </si>
  <si>
    <t>三峡旅游</t>
  </si>
  <si>
    <t>www.lixinger.com/analytics/company/sz/002627/2627/detail</t>
  </si>
  <si>
    <t>宝丰能源</t>
  </si>
  <si>
    <t>www.lixinger.com/analytics/company/sh/600989/600989/detail</t>
  </si>
  <si>
    <t>赛微微电</t>
  </si>
  <si>
    <t>www.lixinger.com/analytics/company/sh/688325/688325/detail</t>
  </si>
  <si>
    <t>海航科技</t>
  </si>
  <si>
    <t>www.lixinger.com/analytics/company/sh/600751/600751/detail</t>
  </si>
  <si>
    <t>上海谊众</t>
  </si>
  <si>
    <t>www.lixinger.com/analytics/company/sh/688091/688091/detail</t>
  </si>
  <si>
    <t>申通地铁</t>
  </si>
  <si>
    <t>www.lixinger.com/analytics/company/sh/600834/600834/detail</t>
  </si>
  <si>
    <t>新宏泽</t>
  </si>
  <si>
    <t>www.lixinger.com/analytics/company/sz/002836/2836/detail</t>
  </si>
  <si>
    <t>人人乐</t>
  </si>
  <si>
    <t>www.lixinger.com/analytics/company/sz/002336/2336/detail</t>
  </si>
  <si>
    <t>汇隆新材</t>
  </si>
  <si>
    <t>www.lixinger.com/analytics/company/sz/301057/301057/detail</t>
  </si>
  <si>
    <t>ST顺利</t>
  </si>
  <si>
    <t>www.lixinger.com/analytics/company/sz/000606/606/detail</t>
  </si>
  <si>
    <t>奥精医疗</t>
  </si>
  <si>
    <t>www.lixinger.com/analytics/company/sh/688613/688613/detail</t>
  </si>
  <si>
    <t>熊猫乳品</t>
  </si>
  <si>
    <t>www.lixinger.com/analytics/company/sz/300898/300898/detail</t>
  </si>
  <si>
    <t>永安林业</t>
  </si>
  <si>
    <t>www.lixinger.com/analytics/company/sz/000663/663/detail</t>
  </si>
  <si>
    <t>东方时尚</t>
  </si>
  <si>
    <t>www.lixinger.com/analytics/company/sh/603377/603377/detail</t>
  </si>
  <si>
    <t>天味食品</t>
  </si>
  <si>
    <t>www.lixinger.com/analytics/company/sh/603317/603317/detail</t>
  </si>
  <si>
    <t>*ST宝德</t>
  </si>
  <si>
    <t>www.lixinger.com/analytics/company/sz/300023/300023/detail</t>
  </si>
  <si>
    <t>*ST罗顿</t>
  </si>
  <si>
    <t>www.lixinger.com/analytics/company/sh/600209/600209/detail</t>
  </si>
  <si>
    <t>友好集团</t>
  </si>
  <si>
    <t>www.lixinger.com/analytics/company/sh/600778/600778/detail</t>
  </si>
  <si>
    <t>天佑德酒</t>
  </si>
  <si>
    <t>www.lixinger.com/analytics/company/sz/002646/2646/detail</t>
  </si>
  <si>
    <t>新农开发</t>
  </si>
  <si>
    <t>www.lixinger.com/analytics/company/sh/600359/600359/detail</t>
  </si>
  <si>
    <t>金明精机</t>
  </si>
  <si>
    <t>www.lixinger.com/analytics/company/sz/300281/300281/detail</t>
  </si>
  <si>
    <t>岩石股份</t>
  </si>
  <si>
    <t>www.lixinger.com/analytics/company/sh/600696/600696/detail</t>
  </si>
  <si>
    <t>前沿生物</t>
  </si>
  <si>
    <t>www.lixinger.com/analytics/company/sh/688221/688221/detail</t>
  </si>
  <si>
    <t>香飘飘</t>
  </si>
  <si>
    <t>www.lixinger.com/analytics/company/sh/603711/603711/detail</t>
  </si>
  <si>
    <t>百邦科技</t>
  </si>
  <si>
    <t>www.lixinger.com/analytics/company/sz/300736/300736/detail</t>
  </si>
  <si>
    <t>莎普爱思</t>
  </si>
  <si>
    <t>www.lixinger.com/analytics/company/sh/603168/603168/detail</t>
  </si>
  <si>
    <t>粤桂股份</t>
  </si>
  <si>
    <t>www.lixinger.com/analytics/company/sz/000833/833/detail</t>
  </si>
  <si>
    <t>开普检测</t>
  </si>
  <si>
    <t>www.lixinger.com/analytics/company/sz/003008/3008/detail</t>
  </si>
  <si>
    <t>ST新城</t>
  </si>
  <si>
    <t>www.lixinger.com/analytics/company/sz/000809/809/detail</t>
  </si>
  <si>
    <t>天智航</t>
  </si>
  <si>
    <t>www.lixinger.com/analytics/company/sh/688277/688277/detail</t>
  </si>
  <si>
    <t>水井坊</t>
  </si>
  <si>
    <t>www.lixinger.com/analytics/company/sh/600779/600779/detail</t>
  </si>
  <si>
    <t>安记食品</t>
  </si>
  <si>
    <t>www.lixinger.com/analytics/company/sh/603696/603696/detail</t>
  </si>
  <si>
    <t>德必集团</t>
  </si>
  <si>
    <t>www.lixinger.com/analytics/company/sz/300947/300947/detail</t>
  </si>
  <si>
    <t>晓鸣股份</t>
  </si>
  <si>
    <t>www.lixinger.com/analytics/company/sz/300967/300967/detail</t>
  </si>
  <si>
    <t>迅游科技</t>
  </si>
  <si>
    <t>www.lixinger.com/analytics/company/sz/300467/300467/detail</t>
  </si>
  <si>
    <t>华林证券</t>
  </si>
  <si>
    <t>www.lixinger.com/analytics/company/sz/002945/2945/detail</t>
  </si>
  <si>
    <t>金发拉比</t>
  </si>
  <si>
    <t>www.lixinger.com/analytics/company/sz/002762/2762/detail</t>
  </si>
  <si>
    <t>*ST全新</t>
  </si>
  <si>
    <t>www.lixinger.com/analytics/company/sz/000007/7/detail</t>
  </si>
  <si>
    <t>*ST厦华</t>
  </si>
  <si>
    <t>www.lixinger.com/analytics/company/sh/600870/600870/detail</t>
  </si>
  <si>
    <t>同庆楼</t>
  </si>
  <si>
    <t>www.lixinger.com/analytics/company/sh/605108/605108/detail</t>
  </si>
  <si>
    <t>史丹利</t>
  </si>
  <si>
    <t>www.lixinger.com/analytics/company/sz/002588/2588/detail</t>
  </si>
  <si>
    <t>甘源食品</t>
  </si>
  <si>
    <t>www.lixinger.com/analytics/company/sz/002991/2991/detail</t>
  </si>
  <si>
    <t>汇宇制药</t>
  </si>
  <si>
    <t>www.lixinger.com/analytics/company/sh/688553/688553/detail</t>
  </si>
  <si>
    <t>桂发祥</t>
  </si>
  <si>
    <t>www.lixinger.com/analytics/company/sz/002820/2820/detail</t>
  </si>
  <si>
    <t>西藏城投</t>
  </si>
  <si>
    <t>www.lixinger.com/analytics/company/sh/600773/600773/detail</t>
  </si>
  <si>
    <t>*ST绿庭</t>
  </si>
  <si>
    <t>www.lixinger.com/analytics/company/sh/600695/600695/detail</t>
  </si>
  <si>
    <t>百大集团</t>
  </si>
  <si>
    <t>www.lixinger.com/analytics/company/sh/600865/600865/detail</t>
  </si>
  <si>
    <t>惠威科技</t>
  </si>
  <si>
    <t>www.lixinger.com/analytics/company/sz/002888/2888/detail</t>
  </si>
  <si>
    <t>传智教育</t>
  </si>
  <si>
    <t>www.lixinger.com/analytics/company/sz/003032/3032/detail</t>
  </si>
  <si>
    <t>和顺石油</t>
  </si>
  <si>
    <t>www.lixinger.com/analytics/company/sh/603353/603353/detail</t>
  </si>
  <si>
    <t>精伦电子</t>
  </si>
  <si>
    <t>www.lixinger.com/analytics/company/sh/600355/600355/detail</t>
  </si>
  <si>
    <t>金徽酒</t>
  </si>
  <si>
    <t>www.lixinger.com/analytics/company/sh/603919/603919/detail</t>
  </si>
  <si>
    <t>栖霞建设</t>
  </si>
  <si>
    <t>www.lixinger.com/analytics/company/sh/600533/600533/detail</t>
  </si>
  <si>
    <t>莱茵体育</t>
  </si>
  <si>
    <t>www.lixinger.com/analytics/company/sz/000558/558/detail</t>
  </si>
  <si>
    <t>昂立教育</t>
  </si>
  <si>
    <t>www.lixinger.com/analytics/company/sh/600661/600661/detail</t>
  </si>
  <si>
    <t>湖南投资</t>
  </si>
  <si>
    <t>www.lixinger.com/analytics/company/sz/000548/548/detail</t>
  </si>
  <si>
    <t>焦作万方</t>
  </si>
  <si>
    <t>www.lixinger.com/analytics/company/sz/000612/612/detail</t>
  </si>
  <si>
    <t>三特索道</t>
  </si>
  <si>
    <t>www.lixinger.com/analytics/company/sz/002159/2159/detail</t>
  </si>
  <si>
    <t>*ST群兴</t>
  </si>
  <si>
    <t>www.lixinger.com/analytics/company/sz/002575/2575/detail</t>
  </si>
  <si>
    <t>中润资源</t>
  </si>
  <si>
    <t>www.lixinger.com/analytics/company/sz/000506/506/detail</t>
  </si>
  <si>
    <t>通程控股</t>
  </si>
  <si>
    <t>www.lixinger.com/analytics/company/sz/000419/419/detail</t>
  </si>
  <si>
    <t>新光药业</t>
  </si>
  <si>
    <t>www.lixinger.com/analytics/company/sz/300519/300519/detail</t>
  </si>
  <si>
    <t>青岛食品</t>
  </si>
  <si>
    <t>www.lixinger.com/analytics/company/sz/001219/1219/detail</t>
  </si>
  <si>
    <t>*ST昌鱼</t>
  </si>
  <si>
    <t>www.lixinger.com/analytics/company/sh/600275/600275/detail</t>
  </si>
  <si>
    <t>天保基建</t>
  </si>
  <si>
    <t>www.lixinger.com/analytics/company/sz/000965/965/detail</t>
  </si>
  <si>
    <t>黄山旅游</t>
  </si>
  <si>
    <t>www.lixinger.com/analytics/company/sh/600054/600054/detail</t>
  </si>
  <si>
    <t>四川双马</t>
  </si>
  <si>
    <t>www.lixinger.com/analytics/company/sz/000935/935/detail</t>
  </si>
  <si>
    <t>*ST科迪</t>
  </si>
  <si>
    <t>www.lixinger.com/analytics/company/sz/002770/2770/detail</t>
  </si>
  <si>
    <t>兰州黄河</t>
  </si>
  <si>
    <t>www.lixinger.com/analytics/company/sz/000929/929/detail</t>
  </si>
  <si>
    <t>阳光股份</t>
  </si>
  <si>
    <t>www.lixinger.com/analytics/company/sz/000608/608/detail</t>
  </si>
  <si>
    <t>泽璟制药</t>
  </si>
  <si>
    <t>www.lixinger.com/analytics/company/sh/688266/688266/detail</t>
  </si>
  <si>
    <t>ST大洲</t>
  </si>
  <si>
    <t>www.lixinger.com/analytics/company/sz/000571/571/detail</t>
  </si>
  <si>
    <t>徐家汇</t>
  </si>
  <si>
    <t>www.lixinger.com/analytics/company/sz/002561/2561/detail</t>
  </si>
  <si>
    <t>丽江股份</t>
  </si>
  <si>
    <t>www.lixinger.com/analytics/company/sz/002033/2033/detail</t>
  </si>
  <si>
    <t>春兰股份</t>
  </si>
  <si>
    <t>www.lixinger.com/analytics/company/sh/600854/600854/detail</t>
  </si>
  <si>
    <t>锦旅Ｂ股</t>
  </si>
  <si>
    <t>www.lixinger.com/analytics/company/sh/900929/900929/detail</t>
  </si>
  <si>
    <t>上海九百</t>
  </si>
  <si>
    <t>www.lixinger.com/analytics/company/sh/600838/600838/detail</t>
  </si>
  <si>
    <t>指南针</t>
  </si>
  <si>
    <t>www.lixinger.com/analytics/company/sz/300803/300803/detail</t>
  </si>
  <si>
    <t>爱威科技</t>
  </si>
  <si>
    <t>www.lixinger.com/analytics/company/sh/688067/688067/detail</t>
  </si>
  <si>
    <t>南京证券</t>
  </si>
  <si>
    <t>www.lixinger.com/analytics/company/sh/601990/601990/detail</t>
  </si>
  <si>
    <t>东瑞股份</t>
  </si>
  <si>
    <t>www.lixinger.com/analytics/company/sz/001201/1201/detail</t>
  </si>
  <si>
    <t>中科云网</t>
  </si>
  <si>
    <t>www.lixinger.com/analytics/company/sz/002306/2306/detail</t>
  </si>
  <si>
    <t>*ST天首</t>
  </si>
  <si>
    <t>www.lixinger.com/analytics/company/sz/000611/611/detail</t>
  </si>
  <si>
    <t>祥龙电业</t>
  </si>
  <si>
    <t>www.lixinger.com/analytics/company/sh/600769/600769/detail</t>
  </si>
  <si>
    <t>国芳集团</t>
  </si>
  <si>
    <t>www.lixinger.com/analytics/company/sh/601086/601086/detail</t>
  </si>
  <si>
    <t>华东数控</t>
  </si>
  <si>
    <t>www.lixinger.com/analytics/company/sz/002248/2248/detail</t>
  </si>
  <si>
    <t>大理药业</t>
  </si>
  <si>
    <t>www.lixinger.com/analytics/company/sh/603963/603963/detail</t>
  </si>
  <si>
    <t>天目湖</t>
  </si>
  <si>
    <t>www.lixinger.com/analytics/company/sh/603136/603136/detail</t>
  </si>
  <si>
    <t>民生控股</t>
  </si>
  <si>
    <t>www.lixinger.com/analytics/company/sz/000416/416/detail</t>
  </si>
  <si>
    <t>柳化股份</t>
  </si>
  <si>
    <t>www.lixinger.com/analytics/company/sh/600423/600423/detail</t>
  </si>
  <si>
    <t>立华股份</t>
  </si>
  <si>
    <t>www.lixinger.com/analytics/company/sz/300761/300761/detail</t>
  </si>
  <si>
    <t>劲仔食品</t>
  </si>
  <si>
    <t>www.lixinger.com/analytics/company/sz/003000/3000/detail</t>
  </si>
  <si>
    <t>双环科技</t>
  </si>
  <si>
    <t>www.lixinger.com/analytics/company/sz/000707/707/detail</t>
  </si>
  <si>
    <t>峰岹科技</t>
  </si>
  <si>
    <t>www.lixinger.com/analytics/company/sh/688279/688279/detail</t>
  </si>
  <si>
    <t>天臣医疗</t>
  </si>
  <si>
    <t>www.lixinger.com/analytics/company/sh/688013/688013/detail</t>
  </si>
  <si>
    <t>香溢融通</t>
  </si>
  <si>
    <t>www.lixinger.com/analytics/company/sh/600830/600830/detail</t>
  </si>
  <si>
    <t>安宁股份</t>
  </si>
  <si>
    <t>www.lixinger.com/analytics/company/sz/002978/2978/detail</t>
  </si>
  <si>
    <t>南宁百货</t>
  </si>
  <si>
    <t>www.lixinger.com/analytics/company/sh/600712/600712/detail</t>
  </si>
  <si>
    <t>龙江交通</t>
  </si>
  <si>
    <t>www.lixinger.com/analytics/company/sh/601188/601188/detail</t>
  </si>
  <si>
    <t>华联控股</t>
  </si>
  <si>
    <t>www.lixinger.com/analytics/company/sz/000036/36/detail</t>
  </si>
  <si>
    <t>康拓医疗</t>
  </si>
  <si>
    <t>www.lixinger.com/analytics/company/sh/688314/688314/detail</t>
  </si>
  <si>
    <t>万辰生物</t>
  </si>
  <si>
    <t>www.lixinger.com/analytics/company/sz/300972/300972/detail</t>
  </si>
  <si>
    <t>*ST园城</t>
  </si>
  <si>
    <t>www.lixinger.com/analytics/company/sh/600766/600766/detail</t>
  </si>
  <si>
    <t>ST天山</t>
  </si>
  <si>
    <t>www.lixinger.com/analytics/company/sz/300313/300313/detail</t>
  </si>
  <si>
    <t>ST升达</t>
  </si>
  <si>
    <t>www.lixinger.com/analytics/company/sz/002259/2259/detail</t>
  </si>
  <si>
    <t>生意宝</t>
  </si>
  <si>
    <t>www.lixinger.com/analytics/company/sz/002095/2095/detail</t>
  </si>
  <si>
    <t>国城矿业</t>
  </si>
  <si>
    <t>www.lixinger.com/analytics/company/sz/000688/688/detail</t>
  </si>
  <si>
    <t>ST三五</t>
  </si>
  <si>
    <t>www.lixinger.com/analytics/company/sz/300051/300051/detail</t>
  </si>
  <si>
    <t>宏达新材</t>
  </si>
  <si>
    <t>www.lixinger.com/analytics/company/sz/002211/2211/detail</t>
  </si>
  <si>
    <t>迈普医学</t>
  </si>
  <si>
    <t>www.lixinger.com/analytics/company/sz/301033/301033/detail</t>
  </si>
  <si>
    <t>罗平锌电</t>
  </si>
  <si>
    <t>www.lixinger.com/analytics/company/sz/002114/2114/detail</t>
  </si>
  <si>
    <t>中国高科</t>
  </si>
  <si>
    <t>www.lixinger.com/analytics/company/sh/600730/600730/detail</t>
  </si>
  <si>
    <t>泸州老窖</t>
  </si>
  <si>
    <t>www.lixinger.com/analytics/company/sz/000568/568/detail</t>
  </si>
  <si>
    <t>*ST皇台</t>
  </si>
  <si>
    <t>www.lixinger.com/analytics/company/sz/000995/995/detail</t>
  </si>
  <si>
    <t>米奥会展</t>
  </si>
  <si>
    <t>www.lixinger.com/analytics/company/sz/300795/300795/detail</t>
  </si>
  <si>
    <t>*ST中潜</t>
  </si>
  <si>
    <t>www.lixinger.com/analytics/company/sz/300526/300526/detail</t>
  </si>
  <si>
    <t>三联虹普</t>
  </si>
  <si>
    <t>www.lixinger.com/analytics/company/sz/300384/300384/detail</t>
  </si>
  <si>
    <t>华丽家族</t>
  </si>
  <si>
    <t>www.lixinger.com/analytics/company/sh/600503/600503/detail</t>
  </si>
  <si>
    <t>*ST游久</t>
  </si>
  <si>
    <t>www.lixinger.com/analytics/company/sh/600652/600652/detail</t>
  </si>
  <si>
    <t>*ST圣亚</t>
  </si>
  <si>
    <t>www.lixinger.com/analytics/company/sh/600593/600593/detail</t>
  </si>
  <si>
    <t>天宸股份</t>
  </si>
  <si>
    <t>www.lixinger.com/analytics/company/sh/600620/600620/detail</t>
  </si>
  <si>
    <t>轻纺城</t>
  </si>
  <si>
    <t>www.lixinger.com/analytics/company/sh/600790/600790/detail</t>
  </si>
  <si>
    <t>泰山石油</t>
  </si>
  <si>
    <t>www.lixinger.com/analytics/company/sz/000554/554/detail</t>
  </si>
  <si>
    <t>ST荣华</t>
  </si>
  <si>
    <t>www.lixinger.com/analytics/company/sh/600311/600311/detail</t>
  </si>
  <si>
    <t>四川金顶</t>
  </si>
  <si>
    <t>www.lixinger.com/analytics/company/sh/600678/600678/detail</t>
  </si>
  <si>
    <t>九华旅游</t>
  </si>
  <si>
    <t>www.lixinger.com/analytics/company/sh/603199/603199/detail</t>
  </si>
  <si>
    <t>正虹科技</t>
  </si>
  <si>
    <t>www.lixinger.com/analytics/company/sz/000702/702/detail</t>
  </si>
  <si>
    <t>兴业矿业</t>
  </si>
  <si>
    <t>www.lixinger.com/analytics/company/sz/000426/426/detail</t>
  </si>
  <si>
    <t>博通股份</t>
  </si>
  <si>
    <t>www.lixinger.com/analytics/company/sh/600455/600455/detail</t>
  </si>
  <si>
    <t>名雕股份</t>
  </si>
  <si>
    <t>www.lixinger.com/analytics/company/sz/002830/2830/detail</t>
  </si>
  <si>
    <t>凤凰股份</t>
  </si>
  <si>
    <t>www.lixinger.com/analytics/company/sh/600716/600716/detail</t>
  </si>
  <si>
    <t>西部黄金</t>
  </si>
  <si>
    <t>www.lixinger.com/analytics/company/sh/601069/601069/detail</t>
  </si>
  <si>
    <t>瑞达期货</t>
  </si>
  <si>
    <t>期货</t>
  </si>
  <si>
    <t>www.lixinger.com/analytics/company/sz/002961/2961/detail</t>
  </si>
  <si>
    <t>宋城演艺</t>
  </si>
  <si>
    <t>www.lixinger.com/analytics/company/sz/300144/300144/detail</t>
  </si>
  <si>
    <t>ST商城</t>
  </si>
  <si>
    <t>www.lixinger.com/analytics/company/sh/600306/600306/detail</t>
  </si>
  <si>
    <t>宁波中百</t>
  </si>
  <si>
    <t>www.lixinger.com/analytics/company/sh/600857/600857/detail</t>
  </si>
  <si>
    <t>*ST华资</t>
  </si>
  <si>
    <t>www.lixinger.com/analytics/company/sh/600191/600191/detail</t>
  </si>
  <si>
    <t>口子窖</t>
  </si>
  <si>
    <t>www.lixinger.com/analytics/company/sh/603589/603589/detail</t>
  </si>
  <si>
    <t>英力特</t>
  </si>
  <si>
    <t>www.lixinger.com/analytics/company/sz/000635/635/detail</t>
  </si>
  <si>
    <t>中复神鹰</t>
  </si>
  <si>
    <t>www.lixinger.com/analytics/company/sh/688295/688295/detail</t>
  </si>
  <si>
    <t>沙河股份</t>
  </si>
  <si>
    <t>www.lixinger.com/analytics/company/sz/000014/14/detail</t>
  </si>
  <si>
    <t>李子园</t>
  </si>
  <si>
    <t>www.lixinger.com/analytics/company/sh/605337/605337/detail</t>
  </si>
  <si>
    <t>苏州龙杰</t>
  </si>
  <si>
    <t>www.lixinger.com/analytics/company/sh/603332/603332/detail</t>
  </si>
  <si>
    <t>金贵银业</t>
  </si>
  <si>
    <t>www.lixinger.com/analytics/company/sz/002716/2716/detail</t>
  </si>
  <si>
    <t>味知香</t>
  </si>
  <si>
    <t>www.lixinger.com/analytics/company/sh/605089/605089/detail</t>
  </si>
  <si>
    <t>ST西源</t>
  </si>
  <si>
    <t>www.lixinger.com/analytics/company/sh/600139/600139/detail</t>
  </si>
  <si>
    <t>启迪药业</t>
  </si>
  <si>
    <t>www.lixinger.com/analytics/company/sz/000590/590/detail</t>
  </si>
  <si>
    <t>*ST明科</t>
  </si>
  <si>
    <t>www.lixinger.com/analytics/company/sh/600091/600091/detail</t>
  </si>
  <si>
    <t>中兴商业</t>
  </si>
  <si>
    <t>www.lixinger.com/analytics/company/sz/000715/715/detail</t>
  </si>
  <si>
    <t>承德露露</t>
  </si>
  <si>
    <t>www.lixinger.com/analytics/company/sz/000848/848/detail</t>
  </si>
  <si>
    <t>洋河股份</t>
  </si>
  <si>
    <t>www.lixinger.com/analytics/company/sz/002304/2304/detail</t>
  </si>
  <si>
    <t>博汇股份</t>
  </si>
  <si>
    <t>www.lixinger.com/analytics/company/sz/300839/300839/detail</t>
  </si>
  <si>
    <t>*ST西域</t>
  </si>
  <si>
    <t>www.lixinger.com/analytics/company/sz/300859/300859/detail</t>
  </si>
  <si>
    <t>ST华钰</t>
  </si>
  <si>
    <t>www.lixinger.com/analytics/company/sh/601020/601020/detail</t>
  </si>
  <si>
    <t>*ST东海B</t>
  </si>
  <si>
    <t>www.lixinger.com/analytics/company/sz/200613/200613/detail</t>
  </si>
  <si>
    <t>沧州大化</t>
  </si>
  <si>
    <t>www.lixinger.com/analytics/company/sh/600230/600230/detail</t>
  </si>
  <si>
    <t>*ST东海A</t>
  </si>
  <si>
    <t>www.lixinger.com/analytics/company/sz/000613/613/detail</t>
  </si>
  <si>
    <t>山西汾酒</t>
  </si>
  <si>
    <t>www.lixinger.com/analytics/company/sh/600809/600809/detail</t>
  </si>
  <si>
    <t>西藏矿业</t>
  </si>
  <si>
    <t>www.lixinger.com/analytics/company/sz/000762/762/detail</t>
  </si>
  <si>
    <t>张家界</t>
  </si>
  <si>
    <t>www.lixinger.com/analytics/company/sz/000430/430/detail</t>
  </si>
  <si>
    <t>金牛化工</t>
  </si>
  <si>
    <t>www.lixinger.com/analytics/company/sh/600722/600722/detail</t>
  </si>
  <si>
    <t>ST海投</t>
  </si>
  <si>
    <t>www.lixinger.com/analytics/company/sz/000616/616/detail</t>
  </si>
  <si>
    <t>天房发展</t>
  </si>
  <si>
    <t>www.lixinger.com/analytics/company/sh/600322/600322/detail</t>
  </si>
  <si>
    <t>福建水泥</t>
  </si>
  <si>
    <t>www.lixinger.com/analytics/company/sh/600802/600802/detail</t>
  </si>
  <si>
    <t>汇丽B</t>
  </si>
  <si>
    <t>www.lixinger.com/analytics/company/sh/900939/900939/detail</t>
  </si>
  <si>
    <t>有友食品</t>
  </si>
  <si>
    <t>www.lixinger.com/analytics/company/sh/603697/603697/detail</t>
  </si>
  <si>
    <t>北大荒</t>
  </si>
  <si>
    <t>www.lixinger.com/analytics/company/sh/600598/600598/detail</t>
  </si>
  <si>
    <t>北方铜业</t>
  </si>
  <si>
    <t>www.lixinger.com/analytics/company/sz/000737/737/detail</t>
  </si>
  <si>
    <t>迈威生物</t>
  </si>
  <si>
    <t>www.lixinger.com/analytics/company/sh/688062/688062/detail</t>
  </si>
  <si>
    <t>凯文教育</t>
  </si>
  <si>
    <t>www.lixinger.com/analytics/company/sz/002659/2659/detail</t>
  </si>
  <si>
    <t>酒鬼酒</t>
  </si>
  <si>
    <t>www.lixinger.com/analytics/company/sz/000799/799/detail</t>
  </si>
  <si>
    <t>*ST海创</t>
  </si>
  <si>
    <t>www.lixinger.com/analytics/company/sh/600555/600555/detail</t>
  </si>
  <si>
    <t>大连友谊</t>
  </si>
  <si>
    <t>www.lixinger.com/analytics/company/sz/000679/679/detail</t>
  </si>
  <si>
    <t>同达创业</t>
  </si>
  <si>
    <t>www.lixinger.com/analytics/company/sh/600647/600647/detail</t>
  </si>
  <si>
    <t>亚虹医药</t>
  </si>
  <si>
    <t>www.lixinger.com/analytics/company/sh/688176/688176/detail</t>
  </si>
  <si>
    <t>博闻科技</t>
  </si>
  <si>
    <t>www.lixinger.com/analytics/company/sh/600883/600883/detail</t>
  </si>
  <si>
    <t>中国中期</t>
  </si>
  <si>
    <t>www.lixinger.com/analytics/company/sz/000996/996/detail</t>
  </si>
  <si>
    <t>行动教育</t>
  </si>
  <si>
    <t>www.lixinger.com/analytics/company/sh/605098/605098/detail</t>
  </si>
  <si>
    <t>长动退</t>
  </si>
  <si>
    <t>www.lixinger.com/analytics/company/sz/000835/835/detail</t>
  </si>
  <si>
    <t>重庆路桥</t>
  </si>
  <si>
    <t>www.lixinger.com/analytics/company/sh/600106/600106/detail</t>
  </si>
  <si>
    <t>皖通高速</t>
  </si>
  <si>
    <t>www.lixinger.com/analytics/company/sh/600012/600012/detail</t>
  </si>
  <si>
    <t>华创阳安</t>
  </si>
  <si>
    <t>www.lixinger.com/analytics/company/sh/600155/600155/detail</t>
  </si>
  <si>
    <t>*ST西水</t>
  </si>
  <si>
    <t>www.lixinger.com/analytics/company/sh/600291/600291/detail</t>
  </si>
  <si>
    <t>万向德农</t>
  </si>
  <si>
    <t>www.lixinger.com/analytics/company/sh/600371/600371/detail</t>
  </si>
  <si>
    <t>*ST金泰</t>
  </si>
  <si>
    <t>www.lixinger.com/analytics/company/sh/600385/600385/detail</t>
  </si>
  <si>
    <t>贵州茅台</t>
  </si>
  <si>
    <t>www.lixinger.com/analytics/company/sh/600519/600519/detail</t>
  </si>
  <si>
    <t>惠泉啤酒</t>
  </si>
  <si>
    <t>www.lixinger.com/analytics/company/sh/600573/600573/detail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</si>
  <si>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</si>
  <si>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</si>
  <si>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</si>
  <si>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</si>
  <si>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永安期货</t>
  </si>
  <si>
    <t>www.lixinger.com/analytics/company/sh/600927/600927/detail</t>
  </si>
  <si>
    <t>维远股份</t>
  </si>
  <si>
    <t>www.lixinger.com/analytics/company/sh/600955/600955/detail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</si>
  <si>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</si>
  <si>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</si>
  <si>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</si>
  <si>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</si>
  <si>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新华保险</t>
  </si>
  <si>
    <t>www.lixinger.com/analytics/company/sh/601336/601336/detail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</si>
  <si>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</si>
  <si>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</si>
  <si>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</si>
  <si>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</si>
  <si>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南华期货</t>
  </si>
  <si>
    <t>www.lixinger.com/analytics/company/sh/603093/603093/detail</t>
  </si>
  <si>
    <t>金徽股份</t>
  </si>
  <si>
    <t>www.lixinger.com/analytics/company/sh/603132/603132/detail</t>
  </si>
  <si>
    <t>龙高股份</t>
  </si>
  <si>
    <t>www.lixinger.com/analytics/company/sh/605086/605086/detail</t>
  </si>
  <si>
    <t>迪哲医药</t>
  </si>
  <si>
    <t>www.lixinger.com/analytics/company/sh/688192/688192/detail</t>
  </si>
  <si>
    <t>首药控股</t>
  </si>
  <si>
    <t>www.lixinger.com/analytics/company/sh/688197/688197/detail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</si>
  <si>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</si>
  <si>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</si>
  <si>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</si>
  <si>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</si>
  <si>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*ST金洲</t>
  </si>
  <si>
    <t>www.lixinger.com/analytics/company/sz/000587/587/detail</t>
  </si>
  <si>
    <t>*ST中迪</t>
  </si>
  <si>
    <t>www.lixinger.com/analytics/company/sz/000609/609/detail</t>
  </si>
  <si>
    <t>大庆华科</t>
  </si>
  <si>
    <t>www.lixinger.com/analytics/company/sz/000985/985/detail</t>
  </si>
  <si>
    <t>兰州银行</t>
  </si>
  <si>
    <t>城商行</t>
  </si>
  <si>
    <t>www.lixinger.com/analytics/company/sz/001227/1227/detail</t>
  </si>
  <si>
    <t>中天精装</t>
  </si>
  <si>
    <t>www.lixinger.com/analytics/company/sz/002989/2989/detail</t>
  </si>
  <si>
    <t>星辉环材</t>
  </si>
  <si>
    <t>www.lixinger.com/analytics/company/sz/300834/300834/detail</t>
  </si>
  <si>
    <t>戎美股份</t>
  </si>
  <si>
    <t>www.lixinger.com/analytics/company/sz/301088/301088/detail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</si>
  <si>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</si>
  <si>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</si>
  <si>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</si>
  <si>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</si>
  <si>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</si>
  <si>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</si>
  <si>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</si>
  <si>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</si>
  <si>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</si>
  <si>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</si>
  <si>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</si>
  <si>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</si>
  <si>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</si>
  <si>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</si>
  <si>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</si>
  <si>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</si>
  <si>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</si>
  <si>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</si>
  <si>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</si>
  <si>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</si>
  <si>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</si>
  <si>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</si>
  <si>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</si>
  <si>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</si>
  <si>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</si>
  <si>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</si>
  <si>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</si>
  <si>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</si>
  <si>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</si>
  <si>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</si>
  <si>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</si>
  <si>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</si>
  <si>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</si>
  <si>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</si>
  <si>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</si>
  <si>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</si>
  <si>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</si>
  <si>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</si>
  <si>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</si>
  <si>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</si>
  <si>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</si>
  <si>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</si>
  <si>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</si>
  <si>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</si>
  <si>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</si>
  <si>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</si>
  <si>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</si>
  <si>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</si>
  <si>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</si>
  <si>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</si>
  <si>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</si>
  <si>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</si>
  <si>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</si>
  <si>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</si>
  <si>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</si>
  <si>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</si>
  <si>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</si>
  <si>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</si>
  <si>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</si>
  <si>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</si>
  <si>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</si>
  <si>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</si>
  <si>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</si>
  <si>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</si>
  <si>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</si>
  <si>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</si>
  <si>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</si>
  <si>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</si>
  <si>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</si>
  <si>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</si>
  <si>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</si>
  <si>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</si>
  <si>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</si>
  <si>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</si>
  <si>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</si>
  <si>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</si>
  <si>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</si>
  <si>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</si>
  <si>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</si>
  <si>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</si>
  <si>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</si>
  <si>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</si>
  <si>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</si>
  <si>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</si>
  <si>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</si>
  <si>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</si>
  <si>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</si>
  <si>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</si>
  <si>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</si>
  <si>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</si>
  <si>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</si>
  <si>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</si>
  <si>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</si>
  <si>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</si>
  <si>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</si>
  <si>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</si>
  <si>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</si>
  <si>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</si>
  <si>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</si>
  <si>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</si>
  <si>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</si>
  <si>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</si>
  <si>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</si>
  <si>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</si>
  <si>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</si>
  <si>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</si>
  <si>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</si>
  <si>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</si>
  <si>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</si>
  <si>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</si>
  <si>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</si>
  <si>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</si>
  <si>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</si>
  <si>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</si>
  <si>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</si>
  <si>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*ST宜生</t>
  </si>
  <si>
    <t>www.lixinger.com/analytics/company/sh/600978/600978/detail</t>
  </si>
  <si>
    <t>南京银行</t>
  </si>
  <si>
    <t>www.lixinger.com/analytics/company/sh/601009/601009/detail</t>
  </si>
  <si>
    <t>渝农商行</t>
  </si>
  <si>
    <t>www.lixinger.com/analytics/company/sh/601077/601077/detail</t>
  </si>
  <si>
    <t>常熟银行</t>
  </si>
  <si>
    <t>www.lixinger.com/analytics/company/sh/601128/601128/detail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</si>
  <si>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</si>
  <si>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</si>
  <si>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</si>
  <si>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</si>
  <si>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</si>
  <si>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</si>
  <si>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上海银行</t>
  </si>
  <si>
    <t>www.lixinger.com/analytics/company/sh/601229/601229/detail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</si>
  <si>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</si>
  <si>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</si>
  <si>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</si>
  <si>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</si>
  <si>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</si>
  <si>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</si>
  <si>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</si>
  <si>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</si>
  <si>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</si>
  <si>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交通银行</t>
  </si>
  <si>
    <t>www.lixinger.com/analytics/company/sh/601328/601328/detail</t>
  </si>
  <si>
    <t>工商银行</t>
  </si>
  <si>
    <t>www.lixinger.com/analytics/company/sh/601398/601398/detail</t>
  </si>
  <si>
    <t>瑞丰银行</t>
  </si>
  <si>
    <t>www.lixinger.com/analytics/company/sh/601528/601528/detail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</si>
  <si>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</si>
  <si>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</si>
  <si>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</si>
  <si>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</si>
  <si>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</si>
  <si>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</si>
  <si>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</si>
  <si>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</si>
  <si>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</si>
  <si>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</si>
  <si>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</si>
  <si>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</si>
  <si>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</si>
  <si>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</si>
  <si>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</si>
  <si>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</si>
  <si>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</si>
  <si>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</si>
  <si>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</si>
  <si>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</si>
  <si>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</si>
  <si>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</si>
  <si>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</si>
  <si>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</si>
  <si>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</si>
  <si>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</si>
  <si>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</si>
  <si>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</si>
  <si>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</si>
  <si>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</si>
  <si>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</si>
  <si>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</si>
  <si>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</si>
  <si>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</si>
  <si>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</si>
  <si>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</si>
  <si>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</si>
  <si>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</si>
  <si>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</si>
  <si>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</si>
  <si>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</si>
  <si>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</si>
  <si>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</si>
  <si>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</si>
  <si>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</si>
  <si>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</si>
  <si>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</si>
  <si>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</si>
  <si>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</si>
  <si>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</si>
  <si>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</si>
  <si>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</si>
  <si>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</si>
  <si>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</si>
  <si>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</si>
  <si>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</si>
  <si>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</si>
  <si>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</si>
  <si>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</si>
  <si>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</si>
  <si>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</si>
  <si>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</si>
  <si>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</si>
  <si>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</si>
  <si>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</si>
  <si>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</si>
  <si>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</si>
  <si>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</si>
  <si>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</si>
  <si>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</si>
  <si>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</si>
  <si>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</si>
  <si>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</si>
  <si>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</si>
  <si>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</si>
  <si>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</si>
  <si>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</si>
  <si>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</si>
  <si>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</si>
  <si>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</si>
  <si>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</si>
  <si>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</si>
  <si>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</si>
  <si>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</si>
  <si>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</si>
  <si>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</si>
  <si>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</si>
  <si>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</si>
  <si>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</si>
  <si>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</si>
  <si>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</si>
  <si>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</si>
  <si>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</si>
  <si>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</si>
  <si>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</si>
  <si>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</si>
  <si>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</si>
  <si>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</si>
  <si>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</si>
  <si>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</si>
  <si>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</si>
  <si>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</si>
  <si>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</si>
  <si>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</si>
  <si>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</si>
  <si>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</si>
  <si>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</si>
  <si>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</si>
  <si>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</si>
  <si>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</si>
  <si>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</si>
  <si>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</si>
  <si>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</si>
  <si>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</si>
  <si>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</si>
  <si>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</si>
  <si>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</si>
  <si>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</si>
  <si>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</si>
  <si>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</si>
  <si>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</si>
  <si>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</si>
  <si>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</si>
  <si>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</si>
  <si>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</si>
  <si>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</si>
  <si>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</si>
  <si>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</si>
  <si>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</si>
  <si>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</si>
  <si>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</si>
  <si>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</si>
  <si>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</si>
  <si>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</si>
  <si>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</si>
  <si>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</si>
  <si>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</si>
  <si>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</si>
  <si>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</si>
  <si>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</si>
  <si>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</si>
  <si>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</si>
  <si>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</si>
  <si>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</si>
  <si>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</si>
  <si>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</si>
  <si>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</si>
  <si>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</si>
  <si>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</si>
  <si>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</si>
  <si>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</si>
  <si>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</si>
  <si>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</si>
  <si>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</si>
  <si>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</si>
  <si>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</si>
  <si>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</si>
  <si>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</si>
  <si>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</si>
  <si>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</si>
  <si>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</si>
  <si>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</si>
  <si>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</si>
  <si>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</si>
  <si>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</si>
  <si>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</si>
  <si>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</si>
  <si>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</si>
  <si>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</si>
  <si>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</si>
  <si>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</si>
  <si>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</si>
  <si>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</si>
  <si>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</si>
  <si>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</si>
  <si>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</si>
  <si>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</si>
  <si>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</si>
  <si>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</si>
  <si>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</si>
  <si>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</si>
  <si>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</si>
  <si>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</si>
  <si>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</si>
  <si>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</si>
  <si>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</si>
  <si>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</si>
  <si>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</si>
  <si>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</si>
  <si>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</si>
  <si>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</si>
  <si>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</si>
  <si>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</si>
  <si>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</si>
  <si>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</si>
  <si>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</si>
  <si>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</si>
  <si>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</si>
  <si>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</si>
  <si>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</si>
  <si>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</si>
  <si>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</si>
  <si>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</si>
  <si>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</si>
  <si>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</si>
  <si>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</si>
  <si>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</si>
  <si>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</si>
  <si>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</si>
  <si>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</si>
  <si>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</si>
  <si>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</si>
  <si>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</si>
  <si>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</si>
  <si>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</si>
  <si>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</si>
  <si>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</si>
  <si>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</si>
  <si>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</si>
  <si>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</si>
  <si>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</si>
  <si>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</si>
  <si>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</si>
  <si>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</si>
  <si>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</si>
  <si>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</si>
  <si>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</si>
  <si>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</si>
  <si>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</si>
  <si>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</si>
  <si>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</si>
  <si>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</si>
  <si>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</si>
  <si>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</si>
  <si>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</si>
  <si>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</si>
  <si>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</si>
  <si>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</si>
  <si>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</si>
  <si>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</si>
  <si>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</si>
  <si>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</si>
  <si>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</si>
  <si>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</si>
  <si>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</si>
  <si>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</si>
  <si>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</si>
  <si>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</si>
  <si>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</si>
  <si>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</si>
  <si>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</si>
  <si>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</si>
  <si>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江阴银行</t>
  </si>
  <si>
    <t>www.lixinger.com/analytics/company/sz/002807/2807/detail</t>
  </si>
  <si>
    <t>张家港行</t>
  </si>
  <si>
    <t>www.lixinger.com/analytics/company/sz/002839/2839/detail</t>
  </si>
  <si>
    <t>郑州银行</t>
  </si>
  <si>
    <t>www.lixinger.com/analytics/company/sz/002936/2936/detail</t>
  </si>
  <si>
    <t>青岛银行</t>
  </si>
  <si>
    <t>www.lixinger.com/analytics/company/sz/002948/2948/detail</t>
  </si>
  <si>
    <t>青农商行</t>
  </si>
  <si>
    <t>www.lixinger.com/analytics/company/sz/002958/2958/detail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</si>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</sst>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"601668"</f>
        <v>601668</v>
      </c>
      <c r="C2" t="s">
        <v>18</v>
      </c>
      <c r="D2" t="s">
        <v>19</v>
      </c>
      <c r="E2">
        <v>204032418000</v>
      </c>
      <c r="F2">
        <v>168747775000</v>
      </c>
      <c r="G2">
        <v>159368116000</v>
      </c>
      <c r="H2">
        <v>150638768000</v>
      </c>
      <c r="I2">
        <v>137286532000</v>
      </c>
      <c r="J2">
        <v>133752638000</v>
      </c>
      <c r="K2">
        <v>133170653000</v>
      </c>
      <c r="L2">
        <v>121311618000</v>
      </c>
      <c r="M2">
        <v>88587063000</v>
      </c>
      <c r="N2">
        <v>82084779000</v>
      </c>
      <c r="O2">
        <v>70460423000</v>
      </c>
      <c r="P2">
        <v>10290</v>
      </c>
      <c r="Q2" t="s">
        <v>20</v>
      </c>
    </row>
    <row r="3" spans="1:17" x14ac:dyDescent="0.3">
      <c r="A3" t="s">
        <v>17</v>
      </c>
      <c r="B3" t="str">
        <f>"601186"</f>
        <v>601186</v>
      </c>
      <c r="C3" t="s">
        <v>21</v>
      </c>
      <c r="D3" t="s">
        <v>22</v>
      </c>
      <c r="E3">
        <v>178166422000</v>
      </c>
      <c r="F3">
        <v>139746895000</v>
      </c>
      <c r="G3">
        <v>112043027000</v>
      </c>
      <c r="H3">
        <v>96513463000</v>
      </c>
      <c r="I3">
        <v>147105070000</v>
      </c>
      <c r="J3">
        <v>128188704000</v>
      </c>
      <c r="K3">
        <v>123209932000</v>
      </c>
      <c r="L3">
        <v>103267365000</v>
      </c>
      <c r="M3">
        <v>81595042000</v>
      </c>
      <c r="N3">
        <v>68215535000</v>
      </c>
      <c r="O3">
        <v>54677203000</v>
      </c>
      <c r="P3">
        <v>1361</v>
      </c>
      <c r="Q3" t="s">
        <v>23</v>
      </c>
    </row>
    <row r="4" spans="1:17" x14ac:dyDescent="0.3">
      <c r="A4" t="s">
        <v>17</v>
      </c>
      <c r="B4" t="str">
        <f>"601390"</f>
        <v>601390</v>
      </c>
      <c r="C4" t="s">
        <v>24</v>
      </c>
      <c r="D4" t="s">
        <v>22</v>
      </c>
      <c r="E4">
        <v>140832745000</v>
      </c>
      <c r="F4">
        <v>120648587000</v>
      </c>
      <c r="G4">
        <v>109737595000</v>
      </c>
      <c r="H4">
        <v>117666621000</v>
      </c>
      <c r="I4">
        <v>112930879000</v>
      </c>
      <c r="J4">
        <v>151152492000</v>
      </c>
      <c r="K4">
        <v>135830289000</v>
      </c>
      <c r="L4">
        <v>141067950000</v>
      </c>
      <c r="M4">
        <v>122399927000</v>
      </c>
      <c r="N4">
        <v>98538163000</v>
      </c>
      <c r="O4">
        <v>89824384000</v>
      </c>
      <c r="P4">
        <v>1323</v>
      </c>
      <c r="Q4" t="s">
        <v>25</v>
      </c>
    </row>
    <row r="5" spans="1:17" x14ac:dyDescent="0.3">
      <c r="A5" t="s">
        <v>17</v>
      </c>
      <c r="B5" t="str">
        <f>"600606"</f>
        <v>600606</v>
      </c>
      <c r="C5" t="s">
        <v>26</v>
      </c>
      <c r="D5" t="s">
        <v>27</v>
      </c>
      <c r="E5">
        <v>118769769622</v>
      </c>
      <c r="F5">
        <v>95542947158</v>
      </c>
      <c r="G5">
        <v>70509954120</v>
      </c>
      <c r="H5">
        <v>71202566455</v>
      </c>
      <c r="I5">
        <v>46193578094</v>
      </c>
      <c r="J5">
        <v>31270199277</v>
      </c>
      <c r="K5">
        <v>15945983588</v>
      </c>
      <c r="L5">
        <v>11704704</v>
      </c>
      <c r="M5">
        <v>16224869</v>
      </c>
      <c r="N5">
        <v>44239842</v>
      </c>
      <c r="O5">
        <v>96127585</v>
      </c>
      <c r="P5">
        <v>1970</v>
      </c>
      <c r="Q5" t="s">
        <v>28</v>
      </c>
    </row>
    <row r="6" spans="1:17" x14ac:dyDescent="0.3">
      <c r="A6" t="s">
        <v>17</v>
      </c>
      <c r="B6" t="str">
        <f>"600248"</f>
        <v>600248</v>
      </c>
      <c r="C6" t="s">
        <v>29</v>
      </c>
      <c r="D6" t="s">
        <v>19</v>
      </c>
      <c r="E6">
        <v>114213258993</v>
      </c>
      <c r="F6">
        <v>87831871138</v>
      </c>
      <c r="G6">
        <v>3428013863</v>
      </c>
      <c r="H6">
        <v>2633852155</v>
      </c>
      <c r="I6">
        <v>1881570588</v>
      </c>
      <c r="J6">
        <v>1858524784</v>
      </c>
      <c r="K6">
        <v>2191320230</v>
      </c>
      <c r="L6">
        <v>1955362084</v>
      </c>
      <c r="M6">
        <v>1607533528</v>
      </c>
      <c r="N6">
        <v>1447293768</v>
      </c>
      <c r="O6">
        <v>1275332592</v>
      </c>
      <c r="P6">
        <v>143</v>
      </c>
      <c r="Q6" t="s">
        <v>30</v>
      </c>
    </row>
    <row r="7" spans="1:17" x14ac:dyDescent="0.3">
      <c r="A7" t="s">
        <v>17</v>
      </c>
      <c r="B7" t="str">
        <f>"601669"</f>
        <v>601669</v>
      </c>
      <c r="C7" t="s">
        <v>31</v>
      </c>
      <c r="D7" t="s">
        <v>22</v>
      </c>
      <c r="E7">
        <v>113099470264</v>
      </c>
      <c r="F7">
        <v>65816676930</v>
      </c>
      <c r="G7">
        <v>59145284620</v>
      </c>
      <c r="H7">
        <v>48120607470</v>
      </c>
      <c r="I7">
        <v>49097238362</v>
      </c>
      <c r="J7">
        <v>42256794737</v>
      </c>
      <c r="K7">
        <v>33265395096</v>
      </c>
      <c r="L7">
        <v>25934710400</v>
      </c>
      <c r="M7">
        <v>23087703158</v>
      </c>
      <c r="N7">
        <v>19134623826</v>
      </c>
      <c r="O7">
        <v>17057065368</v>
      </c>
      <c r="P7">
        <v>752</v>
      </c>
      <c r="Q7" t="s">
        <v>32</v>
      </c>
    </row>
    <row r="8" spans="1:17" x14ac:dyDescent="0.3">
      <c r="A8" t="s">
        <v>17</v>
      </c>
      <c r="B8" t="str">
        <f>"601800"</f>
        <v>601800</v>
      </c>
      <c r="C8" t="s">
        <v>33</v>
      </c>
      <c r="D8" t="s">
        <v>22</v>
      </c>
      <c r="E8">
        <v>97227148408</v>
      </c>
      <c r="F8">
        <v>102177716132</v>
      </c>
      <c r="G8">
        <v>88206733193</v>
      </c>
      <c r="H8">
        <v>90391031601</v>
      </c>
      <c r="I8">
        <v>71799966116</v>
      </c>
      <c r="J8">
        <v>82694280244</v>
      </c>
      <c r="K8">
        <v>75506308776</v>
      </c>
      <c r="L8">
        <v>57824763334</v>
      </c>
      <c r="M8">
        <v>59363633209</v>
      </c>
      <c r="N8">
        <v>50251813871</v>
      </c>
      <c r="O8">
        <v>51056502600</v>
      </c>
      <c r="P8">
        <v>899</v>
      </c>
      <c r="Q8" t="s">
        <v>34</v>
      </c>
    </row>
    <row r="9" spans="1:17" x14ac:dyDescent="0.3">
      <c r="A9" t="s">
        <v>17</v>
      </c>
      <c r="B9" t="str">
        <f>"601857"</f>
        <v>601857</v>
      </c>
      <c r="C9" t="s">
        <v>35</v>
      </c>
      <c r="D9" t="s">
        <v>36</v>
      </c>
      <c r="E9">
        <v>95100000000</v>
      </c>
      <c r="F9">
        <v>80752000000</v>
      </c>
      <c r="G9">
        <v>80089000000</v>
      </c>
      <c r="H9">
        <v>0</v>
      </c>
      <c r="I9">
        <v>73286000000</v>
      </c>
      <c r="J9">
        <v>62465000000</v>
      </c>
      <c r="K9">
        <v>57807000000</v>
      </c>
      <c r="L9">
        <v>60393000000</v>
      </c>
      <c r="M9">
        <v>78029000000</v>
      </c>
      <c r="N9">
        <v>75344000000</v>
      </c>
      <c r="O9">
        <v>73330000000</v>
      </c>
      <c r="P9">
        <v>1280</v>
      </c>
      <c r="Q9" t="s">
        <v>37</v>
      </c>
    </row>
    <row r="10" spans="1:17" x14ac:dyDescent="0.3">
      <c r="A10" t="s">
        <v>17</v>
      </c>
      <c r="B10" t="str">
        <f>"601618"</f>
        <v>601618</v>
      </c>
      <c r="C10" t="s">
        <v>38</v>
      </c>
      <c r="D10" t="s">
        <v>39</v>
      </c>
      <c r="E10">
        <v>91256066000</v>
      </c>
      <c r="F10">
        <v>75290333000</v>
      </c>
      <c r="G10">
        <v>68696852000</v>
      </c>
      <c r="H10">
        <v>69543928000</v>
      </c>
      <c r="I10">
        <v>72298044000</v>
      </c>
      <c r="J10">
        <v>70584191000</v>
      </c>
      <c r="K10">
        <v>63494054000</v>
      </c>
      <c r="L10">
        <v>56090945000</v>
      </c>
      <c r="M10">
        <v>53352272000</v>
      </c>
      <c r="N10">
        <v>46250568000</v>
      </c>
      <c r="O10">
        <v>47435728000</v>
      </c>
      <c r="P10">
        <v>584</v>
      </c>
      <c r="Q10" t="s">
        <v>40</v>
      </c>
    </row>
    <row r="11" spans="1:17" x14ac:dyDescent="0.3">
      <c r="A11" t="s">
        <v>17</v>
      </c>
      <c r="B11" t="str">
        <f>"601138"</f>
        <v>601138</v>
      </c>
      <c r="C11" t="s">
        <v>41</v>
      </c>
      <c r="D11" t="s">
        <v>42</v>
      </c>
      <c r="E11">
        <v>76638640000</v>
      </c>
      <c r="F11">
        <v>66127701000</v>
      </c>
      <c r="G11">
        <v>65588296000</v>
      </c>
      <c r="H11">
        <v>0</v>
      </c>
      <c r="I11">
        <v>51068786000</v>
      </c>
      <c r="P11">
        <v>1318</v>
      </c>
      <c r="Q11" t="s">
        <v>43</v>
      </c>
    </row>
    <row r="12" spans="1:17" x14ac:dyDescent="0.3">
      <c r="A12" t="s">
        <v>17</v>
      </c>
      <c r="B12" t="str">
        <f>"600028"</f>
        <v>600028</v>
      </c>
      <c r="C12" t="s">
        <v>44</v>
      </c>
      <c r="D12" t="s">
        <v>36</v>
      </c>
      <c r="E12">
        <v>76417000000</v>
      </c>
      <c r="F12">
        <v>47144000000</v>
      </c>
      <c r="G12">
        <v>54246000000</v>
      </c>
      <c r="H12">
        <v>0</v>
      </c>
      <c r="I12">
        <v>58973000000</v>
      </c>
      <c r="J12">
        <v>56265000000</v>
      </c>
      <c r="K12">
        <v>39959000000</v>
      </c>
      <c r="L12">
        <v>63491000000</v>
      </c>
      <c r="M12">
        <v>81144000000</v>
      </c>
      <c r="N12">
        <v>102121000000</v>
      </c>
      <c r="O12">
        <v>90015000000</v>
      </c>
      <c r="P12">
        <v>2315</v>
      </c>
      <c r="Q12" t="s">
        <v>45</v>
      </c>
    </row>
    <row r="13" spans="1:17" x14ac:dyDescent="0.3">
      <c r="A13" t="s">
        <v>17</v>
      </c>
      <c r="B13" t="str">
        <f>"601766"</f>
        <v>601766</v>
      </c>
      <c r="C13" t="s">
        <v>46</v>
      </c>
      <c r="D13" t="s">
        <v>47</v>
      </c>
      <c r="E13">
        <v>72303974000</v>
      </c>
      <c r="F13">
        <v>82193985000</v>
      </c>
      <c r="G13">
        <v>67657568000</v>
      </c>
      <c r="H13">
        <v>0</v>
      </c>
      <c r="I13">
        <v>84754986000</v>
      </c>
      <c r="J13">
        <v>78666420000</v>
      </c>
      <c r="K13">
        <v>74913249000</v>
      </c>
      <c r="L13">
        <v>32473293243</v>
      </c>
      <c r="M13">
        <v>29674242000</v>
      </c>
      <c r="N13">
        <v>27114517000</v>
      </c>
      <c r="O13">
        <v>20884326000</v>
      </c>
      <c r="P13">
        <v>1205</v>
      </c>
      <c r="Q13" t="s">
        <v>48</v>
      </c>
    </row>
    <row r="14" spans="1:17" x14ac:dyDescent="0.3">
      <c r="A14" t="s">
        <v>17</v>
      </c>
      <c r="B14" t="str">
        <f>"601607"</f>
        <v>601607</v>
      </c>
      <c r="C14" t="s">
        <v>49</v>
      </c>
      <c r="D14" t="s">
        <v>50</v>
      </c>
      <c r="E14">
        <v>63467507693</v>
      </c>
      <c r="F14">
        <v>55274836790</v>
      </c>
      <c r="G14">
        <v>45861437076</v>
      </c>
      <c r="H14">
        <v>46589973548</v>
      </c>
      <c r="I14">
        <v>37865452464</v>
      </c>
      <c r="J14">
        <v>30916697322</v>
      </c>
      <c r="K14">
        <v>27447839799</v>
      </c>
      <c r="L14">
        <v>22802376869</v>
      </c>
      <c r="M14">
        <v>17682358638</v>
      </c>
      <c r="N14">
        <v>16069025666</v>
      </c>
      <c r="O14">
        <v>13149596468</v>
      </c>
      <c r="P14">
        <v>1369</v>
      </c>
      <c r="Q14" t="s">
        <v>51</v>
      </c>
    </row>
    <row r="15" spans="1:17" x14ac:dyDescent="0.3">
      <c r="A15" t="s">
        <v>17</v>
      </c>
      <c r="B15" t="str">
        <f>"600030"</f>
        <v>600030</v>
      </c>
      <c r="C15" t="s">
        <v>52</v>
      </c>
      <c r="D15" t="s">
        <v>53</v>
      </c>
      <c r="E15">
        <v>60985060188</v>
      </c>
      <c r="F15">
        <v>61467933712</v>
      </c>
      <c r="G15">
        <v>0</v>
      </c>
      <c r="H15">
        <v>44373007417</v>
      </c>
      <c r="I15">
        <v>41171741479</v>
      </c>
      <c r="J15">
        <v>33046190574</v>
      </c>
      <c r="K15">
        <v>0</v>
      </c>
      <c r="L15">
        <v>0</v>
      </c>
      <c r="M15">
        <v>0</v>
      </c>
      <c r="N15">
        <v>0</v>
      </c>
      <c r="O15">
        <v>0</v>
      </c>
      <c r="P15">
        <v>5754</v>
      </c>
      <c r="Q15" t="s">
        <v>54</v>
      </c>
    </row>
    <row r="16" spans="1:17" x14ac:dyDescent="0.3">
      <c r="A16" t="s">
        <v>17</v>
      </c>
      <c r="B16" t="str">
        <f>"601868"</f>
        <v>601868</v>
      </c>
      <c r="C16" t="s">
        <v>55</v>
      </c>
      <c r="D16" t="s">
        <v>22</v>
      </c>
      <c r="E16">
        <v>60048366000</v>
      </c>
      <c r="P16">
        <v>152</v>
      </c>
      <c r="Q16" t="s">
        <v>56</v>
      </c>
    </row>
    <row r="17" spans="1:17" x14ac:dyDescent="0.3">
      <c r="A17" t="s">
        <v>17</v>
      </c>
      <c r="B17" t="str">
        <f>"600104"</f>
        <v>600104</v>
      </c>
      <c r="C17" t="s">
        <v>57</v>
      </c>
      <c r="D17" t="s">
        <v>58</v>
      </c>
      <c r="E17">
        <v>57168416344</v>
      </c>
      <c r="F17">
        <v>47208781949</v>
      </c>
      <c r="G17">
        <v>37742000820</v>
      </c>
      <c r="H17">
        <v>48199725530</v>
      </c>
      <c r="I17">
        <v>44200151132</v>
      </c>
      <c r="J17">
        <v>39007363691</v>
      </c>
      <c r="K17">
        <v>36079809120</v>
      </c>
      <c r="L17">
        <v>25063301532</v>
      </c>
      <c r="M17">
        <v>25564887345</v>
      </c>
      <c r="N17">
        <v>20793570212</v>
      </c>
      <c r="O17">
        <v>15402352384</v>
      </c>
      <c r="P17">
        <v>11366</v>
      </c>
      <c r="Q17" t="s">
        <v>59</v>
      </c>
    </row>
    <row r="18" spans="1:17" x14ac:dyDescent="0.3">
      <c r="A18" t="s">
        <v>17</v>
      </c>
      <c r="B18" t="str">
        <f>"600340"</f>
        <v>600340</v>
      </c>
      <c r="C18" t="s">
        <v>60</v>
      </c>
      <c r="D18" t="s">
        <v>61</v>
      </c>
      <c r="E18">
        <v>54706620262</v>
      </c>
      <c r="F18">
        <v>59310500677</v>
      </c>
      <c r="G18">
        <v>48613400916</v>
      </c>
      <c r="H18">
        <v>38478979993</v>
      </c>
      <c r="I18">
        <v>24318286959</v>
      </c>
      <c r="J18">
        <v>13246948405</v>
      </c>
      <c r="K18">
        <v>10326786556</v>
      </c>
      <c r="L18">
        <v>6636245246</v>
      </c>
      <c r="M18">
        <v>2071976626</v>
      </c>
      <c r="N18">
        <v>1788751778</v>
      </c>
      <c r="O18">
        <v>802414601</v>
      </c>
      <c r="P18">
        <v>22451</v>
      </c>
      <c r="Q18" t="s">
        <v>62</v>
      </c>
    </row>
    <row r="19" spans="1:17" x14ac:dyDescent="0.3">
      <c r="A19" t="s">
        <v>17</v>
      </c>
      <c r="B19" t="str">
        <f>"600941"</f>
        <v>600941</v>
      </c>
      <c r="C19" t="s">
        <v>63</v>
      </c>
      <c r="D19" t="s">
        <v>64</v>
      </c>
      <c r="E19">
        <v>49272000000</v>
      </c>
      <c r="P19">
        <v>114</v>
      </c>
      <c r="Q19" t="s">
        <v>65</v>
      </c>
    </row>
    <row r="20" spans="1:17" x14ac:dyDescent="0.3">
      <c r="A20" t="s">
        <v>17</v>
      </c>
      <c r="B20" t="str">
        <f>"601995"</f>
        <v>601995</v>
      </c>
      <c r="C20" t="s">
        <v>66</v>
      </c>
      <c r="D20" t="s">
        <v>53</v>
      </c>
      <c r="E20">
        <v>45746667902</v>
      </c>
      <c r="F20">
        <v>50159010544</v>
      </c>
      <c r="G20">
        <v>23899075646</v>
      </c>
      <c r="H20">
        <v>20483602158</v>
      </c>
      <c r="I20">
        <v>12005235639</v>
      </c>
      <c r="P20">
        <v>986</v>
      </c>
      <c r="Q20" t="s">
        <v>67</v>
      </c>
    </row>
    <row r="21" spans="1:17" x14ac:dyDescent="0.3">
      <c r="A21" t="s">
        <v>17</v>
      </c>
      <c r="B21" t="str">
        <f>"600170"</f>
        <v>600170</v>
      </c>
      <c r="C21" t="s">
        <v>68</v>
      </c>
      <c r="D21" t="s">
        <v>19</v>
      </c>
      <c r="E21">
        <v>44323129087</v>
      </c>
      <c r="F21">
        <v>35881092733</v>
      </c>
      <c r="G21">
        <v>25964161636</v>
      </c>
      <c r="H21">
        <v>20294990235</v>
      </c>
      <c r="I21">
        <v>15305362155</v>
      </c>
      <c r="J21">
        <v>13348137903</v>
      </c>
      <c r="K21">
        <v>11540845403</v>
      </c>
      <c r="L21">
        <v>9813589044</v>
      </c>
      <c r="M21">
        <v>8767647717</v>
      </c>
      <c r="N21">
        <v>6894352859</v>
      </c>
      <c r="O21">
        <v>6788727717</v>
      </c>
      <c r="P21">
        <v>698</v>
      </c>
      <c r="Q21" t="s">
        <v>69</v>
      </c>
    </row>
    <row r="22" spans="1:17" x14ac:dyDescent="0.3">
      <c r="A22" t="s">
        <v>17</v>
      </c>
      <c r="B22" t="str">
        <f>"600011"</f>
        <v>600011</v>
      </c>
      <c r="C22" t="s">
        <v>70</v>
      </c>
      <c r="D22" t="s">
        <v>71</v>
      </c>
      <c r="E22">
        <v>43533169917</v>
      </c>
      <c r="F22">
        <v>30638609715</v>
      </c>
      <c r="G22">
        <v>24422713984</v>
      </c>
      <c r="H22">
        <v>25138765571</v>
      </c>
      <c r="I22">
        <v>21373097307</v>
      </c>
      <c r="J22">
        <v>17401696670</v>
      </c>
      <c r="K22">
        <v>12255625737</v>
      </c>
      <c r="L22">
        <v>14118133856</v>
      </c>
      <c r="M22">
        <v>14038854605</v>
      </c>
      <c r="N22">
        <v>13911857271</v>
      </c>
      <c r="O22">
        <v>14687715275</v>
      </c>
      <c r="P22">
        <v>751</v>
      </c>
      <c r="Q22" t="s">
        <v>72</v>
      </c>
    </row>
    <row r="23" spans="1:17" x14ac:dyDescent="0.3">
      <c r="A23" t="s">
        <v>73</v>
      </c>
      <c r="B23" t="str">
        <f>"000157"</f>
        <v>000157</v>
      </c>
      <c r="C23" t="s">
        <v>74</v>
      </c>
      <c r="D23" t="s">
        <v>75</v>
      </c>
      <c r="E23">
        <v>41764775525</v>
      </c>
      <c r="F23">
        <v>38370858127</v>
      </c>
      <c r="G23">
        <v>25805663338</v>
      </c>
      <c r="H23">
        <v>23590839931</v>
      </c>
      <c r="I23">
        <v>22687429014</v>
      </c>
      <c r="J23">
        <v>31461825420</v>
      </c>
      <c r="K23">
        <v>29714297001</v>
      </c>
      <c r="L23">
        <v>31638208965</v>
      </c>
      <c r="M23">
        <v>30931345737</v>
      </c>
      <c r="N23">
        <v>20907568815</v>
      </c>
      <c r="O23">
        <v>14193604805</v>
      </c>
      <c r="P23">
        <v>1683</v>
      </c>
      <c r="Q23" t="s">
        <v>76</v>
      </c>
    </row>
    <row r="24" spans="1:17" x14ac:dyDescent="0.3">
      <c r="A24" t="s">
        <v>17</v>
      </c>
      <c r="B24" t="str">
        <f>"600938"</f>
        <v>600938</v>
      </c>
      <c r="C24" t="s">
        <v>77</v>
      </c>
      <c r="E24">
        <v>41147000000</v>
      </c>
      <c r="P24">
        <v>26</v>
      </c>
      <c r="Q24" t="s">
        <v>78</v>
      </c>
    </row>
    <row r="25" spans="1:17" x14ac:dyDescent="0.3">
      <c r="A25" t="s">
        <v>73</v>
      </c>
      <c r="B25" t="str">
        <f>"200725"</f>
        <v>200725</v>
      </c>
      <c r="C25" t="s">
        <v>79</v>
      </c>
      <c r="E25">
        <v>40278830000.166</v>
      </c>
      <c r="F25">
        <v>35737959228.026001</v>
      </c>
      <c r="G25">
        <v>18648971517.073502</v>
      </c>
      <c r="H25">
        <v>21092405064.7761</v>
      </c>
      <c r="I25">
        <v>17593286872.198502</v>
      </c>
      <c r="J25">
        <v>17205996986.259602</v>
      </c>
      <c r="K25">
        <v>9161212477.1846008</v>
      </c>
      <c r="L25">
        <v>9495455608.75</v>
      </c>
      <c r="M25">
        <v>5689308614.1639996</v>
      </c>
      <c r="N25">
        <v>7086970880.7035999</v>
      </c>
      <c r="O25">
        <v>3510122549.7600002</v>
      </c>
      <c r="P25">
        <v>85</v>
      </c>
      <c r="Q25" t="s">
        <v>80</v>
      </c>
    </row>
    <row r="26" spans="1:17" x14ac:dyDescent="0.3">
      <c r="A26" t="s">
        <v>17</v>
      </c>
      <c r="B26" t="str">
        <f>"601727"</f>
        <v>601727</v>
      </c>
      <c r="C26" t="s">
        <v>81</v>
      </c>
      <c r="D26" t="s">
        <v>82</v>
      </c>
      <c r="E26">
        <v>35849829000</v>
      </c>
      <c r="F26">
        <v>32671274000</v>
      </c>
      <c r="G26">
        <v>32929050000</v>
      </c>
      <c r="H26">
        <v>27581119000</v>
      </c>
      <c r="I26">
        <v>29988332000</v>
      </c>
      <c r="J26">
        <v>27163620000</v>
      </c>
      <c r="K26">
        <v>26859523000</v>
      </c>
      <c r="L26">
        <v>29185574000</v>
      </c>
      <c r="M26">
        <v>25104700000</v>
      </c>
      <c r="N26">
        <v>22484342000</v>
      </c>
      <c r="O26">
        <v>21186173000</v>
      </c>
      <c r="P26">
        <v>551</v>
      </c>
      <c r="Q26" t="s">
        <v>83</v>
      </c>
    </row>
    <row r="27" spans="1:17" x14ac:dyDescent="0.3">
      <c r="A27" t="s">
        <v>17</v>
      </c>
      <c r="B27" t="str">
        <f>"600998"</f>
        <v>600998</v>
      </c>
      <c r="C27" t="s">
        <v>84</v>
      </c>
      <c r="D27" t="s">
        <v>50</v>
      </c>
      <c r="E27">
        <v>35068604825</v>
      </c>
      <c r="F27">
        <v>29947852492</v>
      </c>
      <c r="G27">
        <v>24297589600</v>
      </c>
      <c r="H27">
        <v>22805545074</v>
      </c>
      <c r="I27">
        <v>20606568349</v>
      </c>
      <c r="J27">
        <v>14492949925</v>
      </c>
      <c r="K27">
        <v>12360649247</v>
      </c>
      <c r="L27">
        <v>8680241860</v>
      </c>
      <c r="M27">
        <v>5939753902</v>
      </c>
      <c r="N27">
        <v>4218821332</v>
      </c>
      <c r="O27">
        <v>3303102220</v>
      </c>
      <c r="P27">
        <v>612</v>
      </c>
      <c r="Q27" t="s">
        <v>85</v>
      </c>
    </row>
    <row r="28" spans="1:17" x14ac:dyDescent="0.3">
      <c r="A28" t="s">
        <v>73</v>
      </c>
      <c r="B28" t="str">
        <f>"002594"</f>
        <v>002594</v>
      </c>
      <c r="C28" t="s">
        <v>86</v>
      </c>
      <c r="D28" t="s">
        <v>87</v>
      </c>
      <c r="E28">
        <v>34994831000</v>
      </c>
      <c r="F28">
        <v>36994803000</v>
      </c>
      <c r="G28">
        <v>39541976000</v>
      </c>
      <c r="H28">
        <v>45471373000</v>
      </c>
      <c r="I28">
        <v>52295046000</v>
      </c>
      <c r="J28">
        <v>41272389000</v>
      </c>
      <c r="K28">
        <v>22671297000</v>
      </c>
      <c r="L28">
        <v>13808531000</v>
      </c>
      <c r="M28">
        <v>8885682000</v>
      </c>
      <c r="N28">
        <v>5749780000</v>
      </c>
      <c r="O28">
        <v>4619459000</v>
      </c>
      <c r="P28">
        <v>5218</v>
      </c>
      <c r="Q28" t="s">
        <v>88</v>
      </c>
    </row>
    <row r="29" spans="1:17" x14ac:dyDescent="0.3">
      <c r="A29" t="s">
        <v>73</v>
      </c>
      <c r="B29" t="str">
        <f>"000877"</f>
        <v>000877</v>
      </c>
      <c r="C29" t="s">
        <v>89</v>
      </c>
      <c r="D29" t="s">
        <v>90</v>
      </c>
      <c r="E29">
        <v>34684585283</v>
      </c>
      <c r="F29">
        <v>485925015</v>
      </c>
      <c r="G29">
        <v>424501595</v>
      </c>
      <c r="H29">
        <v>468376898</v>
      </c>
      <c r="I29">
        <v>496070760</v>
      </c>
      <c r="J29">
        <v>604232363</v>
      </c>
      <c r="K29">
        <v>830013785</v>
      </c>
      <c r="L29">
        <v>920516445</v>
      </c>
      <c r="M29">
        <v>756033654</v>
      </c>
      <c r="N29">
        <v>732606837</v>
      </c>
      <c r="O29">
        <v>494547430</v>
      </c>
      <c r="P29">
        <v>742</v>
      </c>
      <c r="Q29" t="s">
        <v>91</v>
      </c>
    </row>
    <row r="30" spans="1:17" x14ac:dyDescent="0.3">
      <c r="A30" t="s">
        <v>17</v>
      </c>
      <c r="B30" t="str">
        <f>"601728"</f>
        <v>601728</v>
      </c>
      <c r="C30" t="s">
        <v>92</v>
      </c>
      <c r="D30" t="s">
        <v>64</v>
      </c>
      <c r="E30">
        <v>34224531125</v>
      </c>
      <c r="F30">
        <v>30955000000</v>
      </c>
      <c r="P30">
        <v>144</v>
      </c>
      <c r="Q30" t="s">
        <v>93</v>
      </c>
    </row>
    <row r="31" spans="1:17" x14ac:dyDescent="0.3">
      <c r="A31" t="s">
        <v>17</v>
      </c>
      <c r="B31" t="str">
        <f>"601611"</f>
        <v>601611</v>
      </c>
      <c r="C31" t="s">
        <v>94</v>
      </c>
      <c r="D31" t="s">
        <v>22</v>
      </c>
      <c r="E31">
        <v>32989838744</v>
      </c>
      <c r="F31">
        <v>27675848470</v>
      </c>
      <c r="G31">
        <v>22765884130</v>
      </c>
      <c r="H31">
        <v>21181249966</v>
      </c>
      <c r="I31">
        <v>16268449158</v>
      </c>
      <c r="J31">
        <v>14937787357</v>
      </c>
      <c r="K31">
        <v>0</v>
      </c>
      <c r="L31">
        <v>0</v>
      </c>
      <c r="P31">
        <v>345</v>
      </c>
      <c r="Q31" t="s">
        <v>95</v>
      </c>
    </row>
    <row r="32" spans="1:17" x14ac:dyDescent="0.3">
      <c r="A32" t="s">
        <v>73</v>
      </c>
      <c r="B32" t="str">
        <f>"000725"</f>
        <v>000725</v>
      </c>
      <c r="C32" t="s">
        <v>96</v>
      </c>
      <c r="D32" t="s">
        <v>97</v>
      </c>
      <c r="E32">
        <v>32640867099</v>
      </c>
      <c r="F32">
        <v>30171345908</v>
      </c>
      <c r="G32">
        <v>17063749215</v>
      </c>
      <c r="H32">
        <v>18041574771</v>
      </c>
      <c r="I32">
        <v>14069001897</v>
      </c>
      <c r="J32">
        <v>15250839378</v>
      </c>
      <c r="K32">
        <v>7626082142</v>
      </c>
      <c r="L32">
        <v>7596364487</v>
      </c>
      <c r="M32">
        <v>4557280210</v>
      </c>
      <c r="N32">
        <v>5670483982</v>
      </c>
      <c r="O32">
        <v>2846814720</v>
      </c>
      <c r="P32">
        <v>4544</v>
      </c>
      <c r="Q32" t="s">
        <v>98</v>
      </c>
    </row>
    <row r="33" spans="1:17" x14ac:dyDescent="0.3">
      <c r="A33" t="s">
        <v>17</v>
      </c>
      <c r="B33" t="str">
        <f>"600050"</f>
        <v>600050</v>
      </c>
      <c r="C33" t="s">
        <v>99</v>
      </c>
      <c r="D33" t="s">
        <v>64</v>
      </c>
      <c r="E33">
        <v>32340501443</v>
      </c>
      <c r="F33">
        <v>26472250791</v>
      </c>
      <c r="G33">
        <v>27889472762</v>
      </c>
      <c r="H33">
        <v>0</v>
      </c>
      <c r="I33">
        <v>23694773294</v>
      </c>
      <c r="J33">
        <v>20491659474</v>
      </c>
      <c r="K33">
        <v>21465165797</v>
      </c>
      <c r="L33">
        <v>19877299692</v>
      </c>
      <c r="M33">
        <v>17287413114</v>
      </c>
      <c r="N33">
        <v>15502102381</v>
      </c>
      <c r="O33">
        <v>13546834093</v>
      </c>
      <c r="P33">
        <v>1304</v>
      </c>
      <c r="Q33" t="s">
        <v>100</v>
      </c>
    </row>
    <row r="34" spans="1:17" x14ac:dyDescent="0.3">
      <c r="A34" t="s">
        <v>73</v>
      </c>
      <c r="B34" t="str">
        <f>"000425"</f>
        <v>000425</v>
      </c>
      <c r="C34" t="s">
        <v>101</v>
      </c>
      <c r="D34" t="s">
        <v>75</v>
      </c>
      <c r="E34">
        <v>31718386291</v>
      </c>
      <c r="F34">
        <v>30704927019</v>
      </c>
      <c r="G34">
        <v>28776236481</v>
      </c>
      <c r="H34">
        <v>22064487883</v>
      </c>
      <c r="I34">
        <v>16241216851</v>
      </c>
      <c r="J34">
        <v>15796915476</v>
      </c>
      <c r="K34">
        <v>18227368108</v>
      </c>
      <c r="L34">
        <v>22115149230</v>
      </c>
      <c r="M34">
        <v>21963742128</v>
      </c>
      <c r="N34">
        <v>20385110333</v>
      </c>
      <c r="O34">
        <v>13228961639</v>
      </c>
      <c r="P34">
        <v>961</v>
      </c>
      <c r="Q34" t="s">
        <v>102</v>
      </c>
    </row>
    <row r="35" spans="1:17" x14ac:dyDescent="0.3">
      <c r="A35" t="s">
        <v>73</v>
      </c>
      <c r="B35" t="str">
        <f>"002761"</f>
        <v>002761</v>
      </c>
      <c r="C35" t="s">
        <v>103</v>
      </c>
      <c r="D35" t="s">
        <v>19</v>
      </c>
      <c r="E35">
        <v>30783271007</v>
      </c>
      <c r="F35">
        <v>25196667790</v>
      </c>
      <c r="G35">
        <v>23319817721</v>
      </c>
      <c r="H35">
        <v>42619813</v>
      </c>
      <c r="I35">
        <v>38417852</v>
      </c>
      <c r="J35">
        <v>36072340</v>
      </c>
      <c r="K35">
        <v>45766718</v>
      </c>
      <c r="L35">
        <v>0</v>
      </c>
      <c r="M35">
        <v>0</v>
      </c>
      <c r="P35">
        <v>195</v>
      </c>
      <c r="Q35" t="s">
        <v>104</v>
      </c>
    </row>
    <row r="36" spans="1:17" x14ac:dyDescent="0.3">
      <c r="A36" t="s">
        <v>17</v>
      </c>
      <c r="B36" t="str">
        <f>"600741"</f>
        <v>600741</v>
      </c>
      <c r="C36" t="s">
        <v>105</v>
      </c>
      <c r="D36" t="s">
        <v>106</v>
      </c>
      <c r="E36">
        <v>30183186843</v>
      </c>
      <c r="F36">
        <v>24406560540</v>
      </c>
      <c r="G36">
        <v>18633576431</v>
      </c>
      <c r="H36">
        <v>26269122442</v>
      </c>
      <c r="I36">
        <v>27891326416</v>
      </c>
      <c r="J36">
        <v>22849008350</v>
      </c>
      <c r="K36">
        <v>23905271690</v>
      </c>
      <c r="L36">
        <v>13664114663</v>
      </c>
      <c r="M36">
        <v>13888142136</v>
      </c>
      <c r="N36">
        <v>11501516176</v>
      </c>
      <c r="O36">
        <v>9585239514</v>
      </c>
      <c r="P36">
        <v>6373</v>
      </c>
      <c r="Q36" t="s">
        <v>107</v>
      </c>
    </row>
    <row r="37" spans="1:17" x14ac:dyDescent="0.3">
      <c r="A37" t="s">
        <v>73</v>
      </c>
      <c r="B37" t="str">
        <f>"000333"</f>
        <v>000333</v>
      </c>
      <c r="C37" t="s">
        <v>108</v>
      </c>
      <c r="D37" t="s">
        <v>109</v>
      </c>
      <c r="E37">
        <v>29667624000</v>
      </c>
      <c r="F37">
        <v>26388315000</v>
      </c>
      <c r="G37">
        <v>20652085000</v>
      </c>
      <c r="H37">
        <v>0</v>
      </c>
      <c r="I37">
        <v>19752160000</v>
      </c>
      <c r="J37">
        <v>18026613000</v>
      </c>
      <c r="K37">
        <v>12033730000</v>
      </c>
      <c r="L37">
        <v>13487865880</v>
      </c>
      <c r="M37">
        <v>15500655940</v>
      </c>
      <c r="N37">
        <v>0</v>
      </c>
      <c r="P37">
        <v>25066</v>
      </c>
      <c r="Q37" t="s">
        <v>110</v>
      </c>
    </row>
    <row r="38" spans="1:17" x14ac:dyDescent="0.3">
      <c r="A38" t="s">
        <v>73</v>
      </c>
      <c r="B38" t="str">
        <f>"000950"</f>
        <v>000950</v>
      </c>
      <c r="C38" t="s">
        <v>111</v>
      </c>
      <c r="D38" t="s">
        <v>50</v>
      </c>
      <c r="E38">
        <v>28979729993</v>
      </c>
      <c r="F38">
        <v>24772065514</v>
      </c>
      <c r="G38">
        <v>13798488751</v>
      </c>
      <c r="H38">
        <v>12435240193</v>
      </c>
      <c r="I38">
        <v>9322478348</v>
      </c>
      <c r="J38">
        <v>69496624</v>
      </c>
      <c r="K38">
        <v>39516941</v>
      </c>
      <c r="L38">
        <v>30234186</v>
      </c>
      <c r="M38">
        <v>1421242</v>
      </c>
      <c r="N38">
        <v>2143087</v>
      </c>
      <c r="O38">
        <v>5556263</v>
      </c>
      <c r="P38">
        <v>145</v>
      </c>
      <c r="Q38" t="s">
        <v>112</v>
      </c>
    </row>
    <row r="39" spans="1:17" x14ac:dyDescent="0.3">
      <c r="A39" t="s">
        <v>73</v>
      </c>
      <c r="B39" t="str">
        <f>"002352"</f>
        <v>002352</v>
      </c>
      <c r="C39" t="s">
        <v>113</v>
      </c>
      <c r="D39" t="s">
        <v>114</v>
      </c>
      <c r="E39">
        <v>26918035000</v>
      </c>
      <c r="F39">
        <v>15873969350</v>
      </c>
      <c r="G39">
        <v>12346075556</v>
      </c>
      <c r="H39">
        <v>7665298159</v>
      </c>
      <c r="I39">
        <v>5405619859</v>
      </c>
      <c r="J39">
        <v>4088805004</v>
      </c>
      <c r="K39">
        <v>203138584</v>
      </c>
      <c r="L39">
        <v>187060544</v>
      </c>
      <c r="M39">
        <v>178979116</v>
      </c>
      <c r="N39">
        <v>198839502</v>
      </c>
      <c r="O39">
        <v>200938133</v>
      </c>
      <c r="P39">
        <v>3728</v>
      </c>
      <c r="Q39" t="s">
        <v>115</v>
      </c>
    </row>
    <row r="40" spans="1:17" x14ac:dyDescent="0.3">
      <c r="A40" t="s">
        <v>17</v>
      </c>
      <c r="B40" t="str">
        <f>"600502"</f>
        <v>600502</v>
      </c>
      <c r="C40" t="s">
        <v>116</v>
      </c>
      <c r="D40" t="s">
        <v>19</v>
      </c>
      <c r="E40">
        <v>26273335707</v>
      </c>
      <c r="F40">
        <v>18159088523</v>
      </c>
      <c r="G40">
        <v>13602424859</v>
      </c>
      <c r="H40">
        <v>15696890901</v>
      </c>
      <c r="I40">
        <v>13600395104</v>
      </c>
      <c r="J40">
        <v>4871730040</v>
      </c>
      <c r="K40">
        <v>3600899050</v>
      </c>
      <c r="L40">
        <v>2914545469</v>
      </c>
      <c r="M40">
        <v>2692967084</v>
      </c>
      <c r="N40">
        <v>2206061814</v>
      </c>
      <c r="O40">
        <v>1983038745</v>
      </c>
      <c r="P40">
        <v>410</v>
      </c>
      <c r="Q40" t="s">
        <v>117</v>
      </c>
    </row>
    <row r="41" spans="1:17" x14ac:dyDescent="0.3">
      <c r="A41" t="s">
        <v>73</v>
      </c>
      <c r="B41" t="str">
        <f>"002415"</f>
        <v>002415</v>
      </c>
      <c r="C41" t="s">
        <v>118</v>
      </c>
      <c r="D41" t="s">
        <v>119</v>
      </c>
      <c r="E41">
        <v>25789666608</v>
      </c>
      <c r="F41">
        <v>20973667434</v>
      </c>
      <c r="G41">
        <v>19745451604</v>
      </c>
      <c r="H41">
        <v>16764976485</v>
      </c>
      <c r="I41">
        <v>15970671829</v>
      </c>
      <c r="J41">
        <v>12046663765</v>
      </c>
      <c r="K41">
        <v>8855016848</v>
      </c>
      <c r="L41">
        <v>5417911023</v>
      </c>
      <c r="M41">
        <v>3537342359</v>
      </c>
      <c r="N41">
        <v>1892895993</v>
      </c>
      <c r="O41">
        <v>1246952134</v>
      </c>
      <c r="P41">
        <v>63223</v>
      </c>
      <c r="Q41" t="s">
        <v>120</v>
      </c>
    </row>
    <row r="42" spans="1:17" x14ac:dyDescent="0.3">
      <c r="A42" t="s">
        <v>73</v>
      </c>
      <c r="B42" t="str">
        <f>"000338"</f>
        <v>000338</v>
      </c>
      <c r="C42" t="s">
        <v>121</v>
      </c>
      <c r="D42" t="s">
        <v>122</v>
      </c>
      <c r="E42">
        <v>25429346408</v>
      </c>
      <c r="F42">
        <v>24168370046</v>
      </c>
      <c r="G42">
        <v>21048536622</v>
      </c>
      <c r="H42">
        <v>21068856021</v>
      </c>
      <c r="I42">
        <v>21596749620</v>
      </c>
      <c r="J42">
        <v>17335158324</v>
      </c>
      <c r="K42">
        <v>12132195279</v>
      </c>
      <c r="L42">
        <v>12838265686</v>
      </c>
      <c r="M42">
        <v>9399790220</v>
      </c>
      <c r="N42">
        <v>8339346369</v>
      </c>
      <c r="O42">
        <v>7205560913</v>
      </c>
      <c r="P42">
        <v>3423</v>
      </c>
      <c r="Q42" t="s">
        <v>123</v>
      </c>
    </row>
    <row r="43" spans="1:17" x14ac:dyDescent="0.3">
      <c r="A43" t="s">
        <v>73</v>
      </c>
      <c r="B43" t="str">
        <f>"300750"</f>
        <v>300750</v>
      </c>
      <c r="C43" t="s">
        <v>124</v>
      </c>
      <c r="D43" t="s">
        <v>125</v>
      </c>
      <c r="E43">
        <v>24877828400</v>
      </c>
      <c r="F43">
        <v>12260857993</v>
      </c>
      <c r="G43">
        <v>7844668161</v>
      </c>
      <c r="H43">
        <v>7933064764</v>
      </c>
      <c r="I43">
        <v>6715688989</v>
      </c>
      <c r="P43">
        <v>4825</v>
      </c>
      <c r="Q43" t="s">
        <v>126</v>
      </c>
    </row>
    <row r="44" spans="1:17" x14ac:dyDescent="0.3">
      <c r="A44" t="s">
        <v>17</v>
      </c>
      <c r="B44" t="str">
        <f>"601066"</f>
        <v>601066</v>
      </c>
      <c r="C44" t="s">
        <v>127</v>
      </c>
      <c r="D44" t="s">
        <v>53</v>
      </c>
      <c r="E44">
        <v>24769868478</v>
      </c>
      <c r="F44">
        <v>10060543774</v>
      </c>
      <c r="G44">
        <v>3721726293</v>
      </c>
      <c r="H44">
        <v>1775684310</v>
      </c>
      <c r="I44">
        <v>1700261086</v>
      </c>
      <c r="J44">
        <v>0</v>
      </c>
      <c r="L44">
        <v>122659600</v>
      </c>
      <c r="M44">
        <v>0</v>
      </c>
      <c r="P44">
        <v>1825</v>
      </c>
      <c r="Q44" t="s">
        <v>128</v>
      </c>
    </row>
    <row r="45" spans="1:17" x14ac:dyDescent="0.3">
      <c r="A45" t="s">
        <v>73</v>
      </c>
      <c r="B45" t="str">
        <f>"000768"</f>
        <v>000768</v>
      </c>
      <c r="C45" t="s">
        <v>129</v>
      </c>
      <c r="D45" t="s">
        <v>130</v>
      </c>
      <c r="E45">
        <v>23660241190</v>
      </c>
      <c r="F45">
        <v>8776196977</v>
      </c>
      <c r="G45">
        <v>11296722161</v>
      </c>
      <c r="H45">
        <v>15410769068</v>
      </c>
      <c r="I45">
        <v>11052284142</v>
      </c>
      <c r="J45">
        <v>4741886332</v>
      </c>
      <c r="K45">
        <v>7069947434</v>
      </c>
      <c r="L45">
        <v>7309897002</v>
      </c>
      <c r="M45">
        <v>4575660517</v>
      </c>
      <c r="N45">
        <v>8023548330</v>
      </c>
      <c r="O45">
        <v>5639354108</v>
      </c>
      <c r="P45">
        <v>662</v>
      </c>
      <c r="Q45" t="s">
        <v>131</v>
      </c>
    </row>
    <row r="46" spans="1:17" x14ac:dyDescent="0.3">
      <c r="A46" t="s">
        <v>17</v>
      </c>
      <c r="B46" t="str">
        <f>"600905"</f>
        <v>600905</v>
      </c>
      <c r="C46" t="s">
        <v>132</v>
      </c>
      <c r="D46" t="s">
        <v>133</v>
      </c>
      <c r="E46">
        <v>23484844664</v>
      </c>
      <c r="F46">
        <v>13921767919</v>
      </c>
      <c r="G46">
        <v>11107668253</v>
      </c>
      <c r="P46">
        <v>657</v>
      </c>
      <c r="Q46" t="s">
        <v>134</v>
      </c>
    </row>
    <row r="47" spans="1:17" x14ac:dyDescent="0.3">
      <c r="A47" t="s">
        <v>73</v>
      </c>
      <c r="B47" t="str">
        <f>"002202"</f>
        <v>002202</v>
      </c>
      <c r="C47" t="s">
        <v>135</v>
      </c>
      <c r="D47" t="s">
        <v>136</v>
      </c>
      <c r="E47">
        <v>23456950755</v>
      </c>
      <c r="F47">
        <v>22108991965</v>
      </c>
      <c r="G47">
        <v>16124863371</v>
      </c>
      <c r="H47">
        <v>16468728870</v>
      </c>
      <c r="I47">
        <v>16036961467</v>
      </c>
      <c r="J47">
        <v>15501278817</v>
      </c>
      <c r="K47">
        <v>14643950205</v>
      </c>
      <c r="L47">
        <v>10720001612</v>
      </c>
      <c r="M47">
        <v>8215094231</v>
      </c>
      <c r="N47">
        <v>9107209150</v>
      </c>
      <c r="O47">
        <v>11647250213</v>
      </c>
      <c r="P47">
        <v>1283</v>
      </c>
      <c r="Q47" t="s">
        <v>137</v>
      </c>
    </row>
    <row r="48" spans="1:17" x14ac:dyDescent="0.3">
      <c r="A48" t="s">
        <v>73</v>
      </c>
      <c r="B48" t="str">
        <f>"200028"</f>
        <v>200028</v>
      </c>
      <c r="C48" t="s">
        <v>138</v>
      </c>
      <c r="E48">
        <v>22761451348.408001</v>
      </c>
      <c r="F48">
        <v>19876893717.773998</v>
      </c>
      <c r="G48">
        <v>13990158814.5648</v>
      </c>
      <c r="H48">
        <v>13552355823.006599</v>
      </c>
      <c r="I48">
        <v>12336788676.123501</v>
      </c>
      <c r="J48">
        <v>10490570095.1686</v>
      </c>
      <c r="K48">
        <v>9029757571.0128994</v>
      </c>
      <c r="L48">
        <v>9464070108.75</v>
      </c>
      <c r="M48">
        <v>7033562987.0676003</v>
      </c>
      <c r="N48">
        <v>6045185328.066</v>
      </c>
      <c r="O48">
        <v>5042790456.7049999</v>
      </c>
      <c r="P48">
        <v>209</v>
      </c>
      <c r="Q48" t="s">
        <v>139</v>
      </c>
    </row>
    <row r="49" spans="1:17" x14ac:dyDescent="0.3">
      <c r="A49" t="s">
        <v>17</v>
      </c>
      <c r="B49" t="str">
        <f>"601117"</f>
        <v>601117</v>
      </c>
      <c r="C49" t="s">
        <v>140</v>
      </c>
      <c r="D49" t="s">
        <v>141</v>
      </c>
      <c r="E49">
        <v>22619889151</v>
      </c>
      <c r="F49">
        <v>18510324831</v>
      </c>
      <c r="G49">
        <v>19724482388</v>
      </c>
      <c r="H49">
        <v>17156209866</v>
      </c>
      <c r="I49">
        <v>15146787238</v>
      </c>
      <c r="J49">
        <v>13415173240</v>
      </c>
      <c r="K49">
        <v>11094799911</v>
      </c>
      <c r="L49">
        <v>8142789933</v>
      </c>
      <c r="M49">
        <v>6387805001</v>
      </c>
      <c r="N49">
        <v>4786232622</v>
      </c>
      <c r="O49">
        <v>4160516265</v>
      </c>
      <c r="P49">
        <v>717</v>
      </c>
      <c r="Q49" t="s">
        <v>142</v>
      </c>
    </row>
    <row r="50" spans="1:17" x14ac:dyDescent="0.3">
      <c r="A50" t="s">
        <v>17</v>
      </c>
      <c r="B50" t="str">
        <f>"600031"</f>
        <v>600031</v>
      </c>
      <c r="C50" t="s">
        <v>143</v>
      </c>
      <c r="D50" t="s">
        <v>75</v>
      </c>
      <c r="E50">
        <v>22454876000</v>
      </c>
      <c r="F50">
        <v>27629812000</v>
      </c>
      <c r="G50">
        <v>26262676000</v>
      </c>
      <c r="H50">
        <v>25382854000</v>
      </c>
      <c r="I50">
        <v>20052255000</v>
      </c>
      <c r="J50">
        <v>18454978000</v>
      </c>
      <c r="K50">
        <v>21781433000</v>
      </c>
      <c r="L50">
        <v>22241201000</v>
      </c>
      <c r="M50">
        <v>21899623000</v>
      </c>
      <c r="N50">
        <v>22503943000</v>
      </c>
      <c r="O50">
        <v>20122847024</v>
      </c>
      <c r="P50">
        <v>6538</v>
      </c>
      <c r="Q50" t="s">
        <v>144</v>
      </c>
    </row>
    <row r="51" spans="1:17" x14ac:dyDescent="0.3">
      <c r="A51" t="s">
        <v>73</v>
      </c>
      <c r="B51" t="str">
        <f>"000039"</f>
        <v>000039</v>
      </c>
      <c r="C51" t="s">
        <v>145</v>
      </c>
      <c r="D51" t="s">
        <v>146</v>
      </c>
      <c r="E51">
        <v>22391207000</v>
      </c>
      <c r="F51">
        <v>19239893000</v>
      </c>
      <c r="G51">
        <v>18972889000</v>
      </c>
      <c r="H51">
        <v>0</v>
      </c>
      <c r="I51">
        <v>17120151000</v>
      </c>
      <c r="J51">
        <v>14154592000</v>
      </c>
      <c r="K51">
        <v>9987936000</v>
      </c>
      <c r="L51">
        <v>13048266000</v>
      </c>
      <c r="M51">
        <v>11413985000</v>
      </c>
      <c r="N51">
        <v>9533327000</v>
      </c>
      <c r="O51">
        <v>6863942000</v>
      </c>
      <c r="P51">
        <v>679</v>
      </c>
      <c r="Q51" t="s">
        <v>147</v>
      </c>
    </row>
    <row r="52" spans="1:17" x14ac:dyDescent="0.3">
      <c r="A52" t="s">
        <v>17</v>
      </c>
      <c r="B52" t="str">
        <f>"600795"</f>
        <v>600795</v>
      </c>
      <c r="C52" t="s">
        <v>148</v>
      </c>
      <c r="D52" t="s">
        <v>71</v>
      </c>
      <c r="E52">
        <v>21320687798</v>
      </c>
      <c r="F52">
        <v>18084031868</v>
      </c>
      <c r="G52">
        <v>15110373195</v>
      </c>
      <c r="H52">
        <v>13395182696</v>
      </c>
      <c r="I52">
        <v>9230273704</v>
      </c>
      <c r="J52">
        <v>6364031677</v>
      </c>
      <c r="K52">
        <v>6810333835</v>
      </c>
      <c r="L52">
        <v>6794993193</v>
      </c>
      <c r="M52">
        <v>7945575805</v>
      </c>
      <c r="N52">
        <v>7354929519</v>
      </c>
      <c r="O52">
        <v>6864976618</v>
      </c>
      <c r="P52">
        <v>548</v>
      </c>
      <c r="Q52" t="s">
        <v>149</v>
      </c>
    </row>
    <row r="53" spans="1:17" x14ac:dyDescent="0.3">
      <c r="A53" t="s">
        <v>17</v>
      </c>
      <c r="B53" t="str">
        <f>"600820"</f>
        <v>600820</v>
      </c>
      <c r="C53" t="s">
        <v>150</v>
      </c>
      <c r="D53" t="s">
        <v>22</v>
      </c>
      <c r="E53">
        <v>21234083298</v>
      </c>
      <c r="F53">
        <v>13926473960</v>
      </c>
      <c r="G53">
        <v>15653665687</v>
      </c>
      <c r="H53">
        <v>14848518343</v>
      </c>
      <c r="I53">
        <v>14137907519</v>
      </c>
      <c r="J53">
        <v>11392247740</v>
      </c>
      <c r="K53">
        <v>12504208441</v>
      </c>
      <c r="L53">
        <v>10836665458</v>
      </c>
      <c r="M53">
        <v>9009781594</v>
      </c>
      <c r="N53">
        <v>7082933251</v>
      </c>
      <c r="O53">
        <v>5477754193</v>
      </c>
      <c r="P53">
        <v>685</v>
      </c>
      <c r="Q53" t="s">
        <v>151</v>
      </c>
    </row>
    <row r="54" spans="1:17" x14ac:dyDescent="0.3">
      <c r="A54" t="s">
        <v>73</v>
      </c>
      <c r="B54" t="str">
        <f>"002302"</f>
        <v>002302</v>
      </c>
      <c r="C54" t="s">
        <v>152</v>
      </c>
      <c r="D54" t="s">
        <v>153</v>
      </c>
      <c r="E54">
        <v>21106220338</v>
      </c>
      <c r="F54">
        <v>14329363240</v>
      </c>
      <c r="G54">
        <v>10634351680</v>
      </c>
      <c r="H54">
        <v>10376979737</v>
      </c>
      <c r="I54">
        <v>9388032581</v>
      </c>
      <c r="J54">
        <v>7863946125</v>
      </c>
      <c r="K54">
        <v>5643942068</v>
      </c>
      <c r="L54">
        <v>4373864181</v>
      </c>
      <c r="M54">
        <v>3787283722</v>
      </c>
      <c r="N54">
        <v>2776654039</v>
      </c>
      <c r="O54">
        <v>379134471</v>
      </c>
      <c r="P54">
        <v>201</v>
      </c>
      <c r="Q54" t="s">
        <v>154</v>
      </c>
    </row>
    <row r="55" spans="1:17" x14ac:dyDescent="0.3">
      <c r="A55" t="s">
        <v>17</v>
      </c>
      <c r="B55" t="str">
        <f>"688009"</f>
        <v>688009</v>
      </c>
      <c r="C55" t="s">
        <v>155</v>
      </c>
      <c r="D55" t="s">
        <v>47</v>
      </c>
      <c r="E55">
        <v>21024862064</v>
      </c>
      <c r="F55">
        <v>18997484405</v>
      </c>
      <c r="G55">
        <v>16575617675</v>
      </c>
      <c r="H55">
        <v>15561029731</v>
      </c>
      <c r="P55">
        <v>201</v>
      </c>
      <c r="Q55" t="s">
        <v>156</v>
      </c>
    </row>
    <row r="56" spans="1:17" x14ac:dyDescent="0.3">
      <c r="A56" t="s">
        <v>73</v>
      </c>
      <c r="B56" t="str">
        <f>"000977"</f>
        <v>000977</v>
      </c>
      <c r="C56" t="s">
        <v>157</v>
      </c>
      <c r="D56" t="s">
        <v>158</v>
      </c>
      <c r="E56">
        <v>19971309852</v>
      </c>
      <c r="F56">
        <v>9359240686</v>
      </c>
      <c r="G56">
        <v>9976965834</v>
      </c>
      <c r="H56">
        <v>6837056408</v>
      </c>
      <c r="I56">
        <v>5500723150</v>
      </c>
      <c r="J56">
        <v>1865028430</v>
      </c>
      <c r="K56">
        <v>1830270193</v>
      </c>
      <c r="L56">
        <v>1211621716</v>
      </c>
      <c r="M56">
        <v>808117517</v>
      </c>
      <c r="N56">
        <v>427288448</v>
      </c>
      <c r="O56">
        <v>200492773</v>
      </c>
      <c r="P56">
        <v>4425</v>
      </c>
      <c r="Q56" t="s">
        <v>159</v>
      </c>
    </row>
    <row r="57" spans="1:17" x14ac:dyDescent="0.3">
      <c r="A57" t="s">
        <v>17</v>
      </c>
      <c r="B57" t="str">
        <f>"600406"</f>
        <v>600406</v>
      </c>
      <c r="C57" t="s">
        <v>160</v>
      </c>
      <c r="D57" t="s">
        <v>161</v>
      </c>
      <c r="E57">
        <v>19643196939</v>
      </c>
      <c r="F57">
        <v>17757426612</v>
      </c>
      <c r="G57">
        <v>17021237194</v>
      </c>
      <c r="H57">
        <v>16418430016</v>
      </c>
      <c r="I57">
        <v>15110267115</v>
      </c>
      <c r="J57">
        <v>6501057709</v>
      </c>
      <c r="K57">
        <v>6850140774</v>
      </c>
      <c r="L57">
        <v>6475243824</v>
      </c>
      <c r="M57">
        <v>6109318137</v>
      </c>
      <c r="N57">
        <v>3570574806</v>
      </c>
      <c r="O57">
        <v>2409259452</v>
      </c>
      <c r="P57">
        <v>2124</v>
      </c>
      <c r="Q57" t="s">
        <v>162</v>
      </c>
    </row>
    <row r="58" spans="1:17" x14ac:dyDescent="0.3">
      <c r="A58" t="s">
        <v>17</v>
      </c>
      <c r="B58" t="str">
        <f>"601991"</f>
        <v>601991</v>
      </c>
      <c r="C58" t="s">
        <v>163</v>
      </c>
      <c r="D58" t="s">
        <v>71</v>
      </c>
      <c r="E58">
        <v>18899348000</v>
      </c>
      <c r="F58">
        <v>16075062000</v>
      </c>
      <c r="G58">
        <v>14267502000</v>
      </c>
      <c r="H58">
        <v>13012105000</v>
      </c>
      <c r="I58">
        <v>8850912000</v>
      </c>
      <c r="J58">
        <v>8911420000</v>
      </c>
      <c r="K58">
        <v>7309320000</v>
      </c>
      <c r="L58">
        <v>7768045000</v>
      </c>
      <c r="M58">
        <v>10657978000</v>
      </c>
      <c r="N58">
        <v>10219454000</v>
      </c>
      <c r="O58">
        <v>9751348000</v>
      </c>
      <c r="P58">
        <v>283</v>
      </c>
      <c r="Q58" t="s">
        <v>164</v>
      </c>
    </row>
    <row r="59" spans="1:17" x14ac:dyDescent="0.3">
      <c r="A59" t="s">
        <v>73</v>
      </c>
      <c r="B59" t="str">
        <f>"000078"</f>
        <v>000078</v>
      </c>
      <c r="C59" t="s">
        <v>165</v>
      </c>
      <c r="D59" t="s">
        <v>50</v>
      </c>
      <c r="E59">
        <v>18881476308</v>
      </c>
      <c r="F59">
        <v>17321237760</v>
      </c>
      <c r="G59">
        <v>17650171372</v>
      </c>
      <c r="H59">
        <v>19181066376</v>
      </c>
      <c r="I59">
        <v>15113613023</v>
      </c>
      <c r="J59">
        <v>8448973022</v>
      </c>
      <c r="K59">
        <v>5633132643</v>
      </c>
      <c r="L59">
        <v>4811337977</v>
      </c>
      <c r="M59">
        <v>3666721726</v>
      </c>
      <c r="N59">
        <v>2526163975</v>
      </c>
      <c r="O59">
        <v>2132898822</v>
      </c>
      <c r="P59">
        <v>291</v>
      </c>
      <c r="Q59" t="s">
        <v>166</v>
      </c>
    </row>
    <row r="60" spans="1:17" x14ac:dyDescent="0.3">
      <c r="A60" t="s">
        <v>73</v>
      </c>
      <c r="B60" t="str">
        <f>"000100"</f>
        <v>000100</v>
      </c>
      <c r="C60" t="s">
        <v>167</v>
      </c>
      <c r="D60" t="s">
        <v>97</v>
      </c>
      <c r="E60">
        <v>18500042137</v>
      </c>
      <c r="F60">
        <v>15672609886</v>
      </c>
      <c r="G60">
        <v>8550847668</v>
      </c>
      <c r="H60">
        <v>14889978297</v>
      </c>
      <c r="I60">
        <v>12659396965</v>
      </c>
      <c r="J60">
        <v>12087028051</v>
      </c>
      <c r="K60">
        <v>13540898956</v>
      </c>
      <c r="L60">
        <v>13709996638</v>
      </c>
      <c r="M60">
        <v>10978719673</v>
      </c>
      <c r="N60">
        <v>7633727709</v>
      </c>
      <c r="O60">
        <v>6379437457</v>
      </c>
      <c r="P60">
        <v>2194</v>
      </c>
      <c r="Q60" t="s">
        <v>168</v>
      </c>
    </row>
    <row r="61" spans="1:17" x14ac:dyDescent="0.3">
      <c r="A61" t="s">
        <v>73</v>
      </c>
      <c r="B61" t="str">
        <f>"000028"</f>
        <v>000028</v>
      </c>
      <c r="C61" t="s">
        <v>169</v>
      </c>
      <c r="D61" t="s">
        <v>50</v>
      </c>
      <c r="E61">
        <v>18445260412</v>
      </c>
      <c r="F61">
        <v>16780830492</v>
      </c>
      <c r="G61">
        <v>12800950512</v>
      </c>
      <c r="H61">
        <v>11592127126</v>
      </c>
      <c r="I61">
        <v>9865484747</v>
      </c>
      <c r="J61">
        <v>9298502123</v>
      </c>
      <c r="K61">
        <v>7516654933</v>
      </c>
      <c r="L61">
        <v>7571256087</v>
      </c>
      <c r="M61">
        <v>5634061989</v>
      </c>
      <c r="N61">
        <v>4836922170</v>
      </c>
      <c r="O61">
        <v>4089854385</v>
      </c>
      <c r="P61">
        <v>1098</v>
      </c>
      <c r="Q61" t="s">
        <v>170</v>
      </c>
    </row>
    <row r="62" spans="1:17" x14ac:dyDescent="0.3">
      <c r="A62" t="s">
        <v>73</v>
      </c>
      <c r="B62" t="str">
        <f>"002475"</f>
        <v>002475</v>
      </c>
      <c r="C62" t="s">
        <v>171</v>
      </c>
      <c r="D62" t="s">
        <v>42</v>
      </c>
      <c r="E62">
        <v>18250869534</v>
      </c>
      <c r="F62">
        <v>15892978533</v>
      </c>
      <c r="G62">
        <v>8982621069</v>
      </c>
      <c r="H62">
        <v>8637982054</v>
      </c>
      <c r="I62">
        <v>4596033671</v>
      </c>
      <c r="J62">
        <v>3730082681</v>
      </c>
      <c r="K62">
        <v>2275017309</v>
      </c>
      <c r="L62">
        <v>2088518521</v>
      </c>
      <c r="M62">
        <v>1549923348</v>
      </c>
      <c r="N62">
        <v>1053828628</v>
      </c>
      <c r="O62">
        <v>888348997</v>
      </c>
      <c r="P62">
        <v>5894</v>
      </c>
      <c r="Q62" t="s">
        <v>172</v>
      </c>
    </row>
    <row r="63" spans="1:17" x14ac:dyDescent="0.3">
      <c r="A63" t="s">
        <v>17</v>
      </c>
      <c r="B63" t="str">
        <f>"601598"</f>
        <v>601598</v>
      </c>
      <c r="C63" t="s">
        <v>173</v>
      </c>
      <c r="D63" t="s">
        <v>174</v>
      </c>
      <c r="E63">
        <v>17508413027</v>
      </c>
      <c r="F63">
        <v>14827048044</v>
      </c>
      <c r="G63">
        <v>11929778792</v>
      </c>
      <c r="H63">
        <v>12412585624</v>
      </c>
      <c r="I63">
        <v>0</v>
      </c>
      <c r="P63">
        <v>316</v>
      </c>
      <c r="Q63" t="s">
        <v>175</v>
      </c>
    </row>
    <row r="64" spans="1:17" x14ac:dyDescent="0.3">
      <c r="A64" t="s">
        <v>17</v>
      </c>
      <c r="B64" t="str">
        <f>"601985"</f>
        <v>601985</v>
      </c>
      <c r="C64" t="s">
        <v>176</v>
      </c>
      <c r="D64" t="s">
        <v>177</v>
      </c>
      <c r="E64">
        <v>17144583113</v>
      </c>
      <c r="F64">
        <v>12390529584</v>
      </c>
      <c r="G64">
        <v>6950531833</v>
      </c>
      <c r="H64">
        <v>6101130378</v>
      </c>
      <c r="I64">
        <v>3976454583</v>
      </c>
      <c r="J64">
        <v>3791700420</v>
      </c>
      <c r="K64">
        <v>3139864037</v>
      </c>
      <c r="L64">
        <v>0</v>
      </c>
      <c r="M64">
        <v>0</v>
      </c>
      <c r="P64">
        <v>998</v>
      </c>
      <c r="Q64" t="s">
        <v>178</v>
      </c>
    </row>
    <row r="65" spans="1:17" x14ac:dyDescent="0.3">
      <c r="A65" t="s">
        <v>17</v>
      </c>
      <c r="B65" t="str">
        <f>"600021"</f>
        <v>600021</v>
      </c>
      <c r="C65" t="s">
        <v>179</v>
      </c>
      <c r="D65" t="s">
        <v>71</v>
      </c>
      <c r="E65">
        <v>17038326172</v>
      </c>
      <c r="F65">
        <v>11811977519</v>
      </c>
      <c r="G65">
        <v>8761970575</v>
      </c>
      <c r="H65">
        <v>6000453761</v>
      </c>
      <c r="I65">
        <v>4722744931</v>
      </c>
      <c r="J65">
        <v>3079182019</v>
      </c>
      <c r="K65">
        <v>2593455883</v>
      </c>
      <c r="L65">
        <v>2306265266</v>
      </c>
      <c r="M65">
        <v>1746724520</v>
      </c>
      <c r="N65">
        <v>1610616292</v>
      </c>
      <c r="O65">
        <v>1635146500</v>
      </c>
      <c r="P65">
        <v>336</v>
      </c>
      <c r="Q65" t="s">
        <v>180</v>
      </c>
    </row>
    <row r="66" spans="1:17" x14ac:dyDescent="0.3">
      <c r="A66" t="s">
        <v>73</v>
      </c>
      <c r="B66" t="str">
        <f>"300122"</f>
        <v>300122</v>
      </c>
      <c r="C66" t="s">
        <v>181</v>
      </c>
      <c r="D66" t="s">
        <v>182</v>
      </c>
      <c r="E66">
        <v>16781140654</v>
      </c>
      <c r="F66">
        <v>8061506999</v>
      </c>
      <c r="G66">
        <v>5783288337</v>
      </c>
      <c r="H66">
        <v>3191972310</v>
      </c>
      <c r="I66">
        <v>1166273533</v>
      </c>
      <c r="J66">
        <v>307390762</v>
      </c>
      <c r="K66">
        <v>375977982</v>
      </c>
      <c r="L66">
        <v>420592819</v>
      </c>
      <c r="M66">
        <v>370211704</v>
      </c>
      <c r="N66">
        <v>363077454</v>
      </c>
      <c r="O66">
        <v>329521610</v>
      </c>
      <c r="P66">
        <v>3426</v>
      </c>
      <c r="Q66" t="s">
        <v>183</v>
      </c>
    </row>
    <row r="67" spans="1:17" x14ac:dyDescent="0.3">
      <c r="A67" t="s">
        <v>17</v>
      </c>
      <c r="B67" t="str">
        <f>"600939"</f>
        <v>600939</v>
      </c>
      <c r="C67" t="s">
        <v>184</v>
      </c>
      <c r="D67" t="s">
        <v>19</v>
      </c>
      <c r="E67">
        <v>16629019816</v>
      </c>
      <c r="F67">
        <v>11450066572</v>
      </c>
      <c r="G67">
        <v>12268487629</v>
      </c>
      <c r="H67">
        <v>13619041778</v>
      </c>
      <c r="I67">
        <v>12449837592</v>
      </c>
      <c r="J67">
        <v>11774420019</v>
      </c>
      <c r="K67">
        <v>0</v>
      </c>
      <c r="P67">
        <v>125</v>
      </c>
      <c r="Q67" t="s">
        <v>185</v>
      </c>
    </row>
    <row r="68" spans="1:17" x14ac:dyDescent="0.3">
      <c r="A68" t="s">
        <v>17</v>
      </c>
      <c r="B68" t="str">
        <f>"600893"</f>
        <v>600893</v>
      </c>
      <c r="C68" t="s">
        <v>186</v>
      </c>
      <c r="D68" t="s">
        <v>130</v>
      </c>
      <c r="E68">
        <v>16445339076</v>
      </c>
      <c r="F68">
        <v>10190092371</v>
      </c>
      <c r="G68">
        <v>9994135489</v>
      </c>
      <c r="H68">
        <v>8405999977</v>
      </c>
      <c r="I68">
        <v>7321602526</v>
      </c>
      <c r="J68">
        <v>5865463908</v>
      </c>
      <c r="K68">
        <v>4310813095</v>
      </c>
      <c r="L68">
        <v>6202375902</v>
      </c>
      <c r="M68">
        <v>2111901251</v>
      </c>
      <c r="N68">
        <v>1900909257</v>
      </c>
      <c r="O68">
        <v>1693240037</v>
      </c>
      <c r="P68">
        <v>1086</v>
      </c>
      <c r="Q68" t="s">
        <v>187</v>
      </c>
    </row>
    <row r="69" spans="1:17" x14ac:dyDescent="0.3">
      <c r="A69" t="s">
        <v>73</v>
      </c>
      <c r="B69" t="str">
        <f>"000063"</f>
        <v>000063</v>
      </c>
      <c r="C69" t="s">
        <v>188</v>
      </c>
      <c r="D69" t="s">
        <v>189</v>
      </c>
      <c r="E69">
        <v>16439675000</v>
      </c>
      <c r="F69">
        <v>15213582000</v>
      </c>
      <c r="G69">
        <v>18786651000</v>
      </c>
      <c r="H69">
        <v>0</v>
      </c>
      <c r="I69">
        <v>27218926000</v>
      </c>
      <c r="J69">
        <v>30308637000</v>
      </c>
      <c r="K69">
        <v>27056629000</v>
      </c>
      <c r="L69">
        <v>26501691000</v>
      </c>
      <c r="M69">
        <v>39298337000</v>
      </c>
      <c r="N69">
        <v>24393158000</v>
      </c>
      <c r="O69">
        <v>26172282000</v>
      </c>
      <c r="P69">
        <v>3203</v>
      </c>
      <c r="Q69" t="s">
        <v>190</v>
      </c>
    </row>
    <row r="70" spans="1:17" x14ac:dyDescent="0.3">
      <c r="A70" t="s">
        <v>17</v>
      </c>
      <c r="B70" t="str">
        <f>"600057"</f>
        <v>600057</v>
      </c>
      <c r="C70" t="s">
        <v>191</v>
      </c>
      <c r="D70" t="s">
        <v>192</v>
      </c>
      <c r="E70">
        <v>16393295527</v>
      </c>
      <c r="F70">
        <v>15484990506</v>
      </c>
      <c r="G70">
        <v>7294737871</v>
      </c>
      <c r="H70">
        <v>6227515953</v>
      </c>
      <c r="I70">
        <v>3324276159</v>
      </c>
      <c r="J70">
        <v>3793248803</v>
      </c>
      <c r="K70">
        <v>3120214961</v>
      </c>
      <c r="L70">
        <v>2715942200</v>
      </c>
      <c r="M70">
        <v>1413283228</v>
      </c>
      <c r="N70">
        <v>858914305</v>
      </c>
      <c r="O70">
        <v>634486893</v>
      </c>
      <c r="P70">
        <v>411</v>
      </c>
      <c r="Q70" t="s">
        <v>193</v>
      </c>
    </row>
    <row r="71" spans="1:17" x14ac:dyDescent="0.3">
      <c r="A71" t="s">
        <v>17</v>
      </c>
      <c r="B71" t="str">
        <f>"600690"</f>
        <v>600690</v>
      </c>
      <c r="C71" t="s">
        <v>194</v>
      </c>
      <c r="D71" t="s">
        <v>195</v>
      </c>
      <c r="E71">
        <v>16073565476</v>
      </c>
      <c r="F71">
        <v>20258153249</v>
      </c>
      <c r="G71">
        <v>14252544699</v>
      </c>
      <c r="H71">
        <v>0</v>
      </c>
      <c r="I71">
        <v>15833303930</v>
      </c>
      <c r="J71">
        <v>12585798309</v>
      </c>
      <c r="K71">
        <v>6183388261</v>
      </c>
      <c r="L71">
        <v>6784970145</v>
      </c>
      <c r="M71">
        <v>5177662665</v>
      </c>
      <c r="N71">
        <v>4910853796</v>
      </c>
      <c r="O71">
        <v>3482189206</v>
      </c>
      <c r="P71">
        <v>41083</v>
      </c>
      <c r="Q71" t="s">
        <v>196</v>
      </c>
    </row>
    <row r="72" spans="1:17" x14ac:dyDescent="0.3">
      <c r="A72" t="s">
        <v>17</v>
      </c>
      <c r="B72" t="str">
        <f>"601211"</f>
        <v>601211</v>
      </c>
      <c r="C72" t="s">
        <v>197</v>
      </c>
      <c r="D72" t="s">
        <v>53</v>
      </c>
      <c r="E72">
        <v>15634782707</v>
      </c>
      <c r="F72">
        <v>10683584535</v>
      </c>
      <c r="G72">
        <v>9548765610</v>
      </c>
      <c r="H72">
        <v>5411116803</v>
      </c>
      <c r="I72">
        <v>7744510027</v>
      </c>
      <c r="J72">
        <v>4772162418</v>
      </c>
      <c r="K72">
        <v>0</v>
      </c>
      <c r="L72">
        <v>0</v>
      </c>
      <c r="M72">
        <v>0</v>
      </c>
      <c r="P72">
        <v>3571</v>
      </c>
      <c r="Q72" t="s">
        <v>198</v>
      </c>
    </row>
    <row r="73" spans="1:17" x14ac:dyDescent="0.3">
      <c r="A73" t="s">
        <v>17</v>
      </c>
      <c r="B73" t="str">
        <f>"600039"</f>
        <v>600039</v>
      </c>
      <c r="C73" t="s">
        <v>199</v>
      </c>
      <c r="D73" t="s">
        <v>22</v>
      </c>
      <c r="E73">
        <v>15350275218</v>
      </c>
      <c r="F73">
        <v>10394107675</v>
      </c>
      <c r="G73">
        <v>7156621794</v>
      </c>
      <c r="H73">
        <v>5029230532</v>
      </c>
      <c r="I73">
        <v>3383872669</v>
      </c>
      <c r="J73">
        <v>1523205278</v>
      </c>
      <c r="K73">
        <v>1143150453</v>
      </c>
      <c r="L73">
        <v>948211899</v>
      </c>
      <c r="M73">
        <v>655160548</v>
      </c>
      <c r="N73">
        <v>659688343</v>
      </c>
      <c r="O73">
        <v>234907453</v>
      </c>
      <c r="P73">
        <v>484</v>
      </c>
      <c r="Q73" t="s">
        <v>200</v>
      </c>
    </row>
    <row r="74" spans="1:17" x14ac:dyDescent="0.3">
      <c r="A74" t="s">
        <v>17</v>
      </c>
      <c r="B74" t="str">
        <f>"601068"</f>
        <v>601068</v>
      </c>
      <c r="C74" t="s">
        <v>201</v>
      </c>
      <c r="D74" t="s">
        <v>39</v>
      </c>
      <c r="E74">
        <v>14908227698</v>
      </c>
      <c r="F74">
        <v>15003420001</v>
      </c>
      <c r="G74">
        <v>13560747339</v>
      </c>
      <c r="H74">
        <v>13763302833</v>
      </c>
      <c r="I74">
        <v>0</v>
      </c>
      <c r="J74">
        <v>0</v>
      </c>
      <c r="P74">
        <v>109</v>
      </c>
      <c r="Q74" t="s">
        <v>202</v>
      </c>
    </row>
    <row r="75" spans="1:17" x14ac:dyDescent="0.3">
      <c r="A75" t="s">
        <v>73</v>
      </c>
      <c r="B75" t="str">
        <f>"000651"</f>
        <v>000651</v>
      </c>
      <c r="C75" t="s">
        <v>203</v>
      </c>
      <c r="D75" t="s">
        <v>109</v>
      </c>
      <c r="E75">
        <v>14817031839</v>
      </c>
      <c r="F75">
        <v>11191729899</v>
      </c>
      <c r="G75">
        <v>9566741498</v>
      </c>
      <c r="H75">
        <v>11140497009</v>
      </c>
      <c r="I75">
        <v>8550333342</v>
      </c>
      <c r="J75">
        <v>6105301579</v>
      </c>
      <c r="K75">
        <v>5235150323</v>
      </c>
      <c r="L75">
        <v>3889472839</v>
      </c>
      <c r="M75">
        <v>2793832635</v>
      </c>
      <c r="N75">
        <v>2286997569</v>
      </c>
      <c r="O75">
        <v>1918760221</v>
      </c>
      <c r="P75">
        <v>55062</v>
      </c>
      <c r="Q75" t="s">
        <v>204</v>
      </c>
    </row>
    <row r="76" spans="1:17" x14ac:dyDescent="0.3">
      <c r="A76" t="s">
        <v>17</v>
      </c>
      <c r="B76" t="str">
        <f>"600704"</f>
        <v>600704</v>
      </c>
      <c r="C76" t="s">
        <v>205</v>
      </c>
      <c r="D76" t="s">
        <v>192</v>
      </c>
      <c r="E76">
        <v>14793744965</v>
      </c>
      <c r="F76">
        <v>11339732162</v>
      </c>
      <c r="G76">
        <v>8828944887</v>
      </c>
      <c r="H76">
        <v>7277317195</v>
      </c>
      <c r="I76">
        <v>5804604103</v>
      </c>
      <c r="J76">
        <v>6005552817</v>
      </c>
      <c r="K76">
        <v>4250063682</v>
      </c>
      <c r="L76">
        <v>858289084</v>
      </c>
      <c r="M76">
        <v>855002379</v>
      </c>
      <c r="N76">
        <v>613127517</v>
      </c>
      <c r="O76">
        <v>484069163</v>
      </c>
      <c r="P76">
        <v>749</v>
      </c>
      <c r="Q76" t="s">
        <v>206</v>
      </c>
    </row>
    <row r="77" spans="1:17" x14ac:dyDescent="0.3">
      <c r="A77" t="s">
        <v>17</v>
      </c>
      <c r="B77" t="str">
        <f>"600487"</f>
        <v>600487</v>
      </c>
      <c r="C77" t="s">
        <v>207</v>
      </c>
      <c r="D77" t="s">
        <v>208</v>
      </c>
      <c r="E77">
        <v>14689555342</v>
      </c>
      <c r="F77">
        <v>9912027041</v>
      </c>
      <c r="G77">
        <v>8746927756</v>
      </c>
      <c r="H77">
        <v>9332694994</v>
      </c>
      <c r="I77">
        <v>6180210076</v>
      </c>
      <c r="J77">
        <v>4818454790</v>
      </c>
      <c r="K77">
        <v>4438191513</v>
      </c>
      <c r="L77">
        <v>3009912440</v>
      </c>
      <c r="M77">
        <v>2259721639</v>
      </c>
      <c r="N77">
        <v>2001363765</v>
      </c>
      <c r="O77">
        <v>2259859013</v>
      </c>
      <c r="P77">
        <v>2802</v>
      </c>
      <c r="Q77" t="s">
        <v>209</v>
      </c>
    </row>
    <row r="78" spans="1:17" x14ac:dyDescent="0.3">
      <c r="A78" t="s">
        <v>73</v>
      </c>
      <c r="B78" t="str">
        <f>"002236"</f>
        <v>002236</v>
      </c>
      <c r="C78" t="s">
        <v>210</v>
      </c>
      <c r="D78" t="s">
        <v>119</v>
      </c>
      <c r="E78">
        <v>13954856127</v>
      </c>
      <c r="F78">
        <v>12220193199</v>
      </c>
      <c r="G78">
        <v>11494669265</v>
      </c>
      <c r="H78">
        <v>9901204663</v>
      </c>
      <c r="I78">
        <v>7397480836</v>
      </c>
      <c r="J78">
        <v>5904501601</v>
      </c>
      <c r="K78">
        <v>4587547032</v>
      </c>
      <c r="L78">
        <v>2761096230</v>
      </c>
      <c r="M78">
        <v>2272734399</v>
      </c>
      <c r="N78">
        <v>1044235626</v>
      </c>
      <c r="O78">
        <v>751603761</v>
      </c>
      <c r="P78">
        <v>32899</v>
      </c>
      <c r="Q78" t="s">
        <v>211</v>
      </c>
    </row>
    <row r="79" spans="1:17" x14ac:dyDescent="0.3">
      <c r="A79" t="s">
        <v>17</v>
      </c>
      <c r="B79" t="str">
        <f>"600522"</f>
        <v>600522</v>
      </c>
      <c r="C79" t="s">
        <v>212</v>
      </c>
      <c r="D79" t="s">
        <v>208</v>
      </c>
      <c r="E79">
        <v>13901112927</v>
      </c>
      <c r="F79">
        <v>9013177356</v>
      </c>
      <c r="G79">
        <v>7989131660</v>
      </c>
      <c r="H79">
        <v>7902753829</v>
      </c>
      <c r="I79">
        <v>7181205770</v>
      </c>
      <c r="J79">
        <v>6614220717</v>
      </c>
      <c r="K79">
        <v>4527298592</v>
      </c>
      <c r="L79">
        <v>3484632411</v>
      </c>
      <c r="M79">
        <v>2981299247</v>
      </c>
      <c r="N79">
        <v>2291913961</v>
      </c>
      <c r="O79">
        <v>1839897252</v>
      </c>
      <c r="P79">
        <v>1218</v>
      </c>
      <c r="Q79" t="s">
        <v>213</v>
      </c>
    </row>
    <row r="80" spans="1:17" x14ac:dyDescent="0.3">
      <c r="A80" t="s">
        <v>17</v>
      </c>
      <c r="B80" t="str">
        <f>"600332"</f>
        <v>600332</v>
      </c>
      <c r="C80" t="s">
        <v>214</v>
      </c>
      <c r="D80" t="s">
        <v>215</v>
      </c>
      <c r="E80">
        <v>13869274804</v>
      </c>
      <c r="F80">
        <v>12732746998</v>
      </c>
      <c r="G80">
        <v>12848967293</v>
      </c>
      <c r="H80">
        <v>12667030778</v>
      </c>
      <c r="I80">
        <v>1064751928</v>
      </c>
      <c r="J80">
        <v>1008390761</v>
      </c>
      <c r="K80">
        <v>1147133355</v>
      </c>
      <c r="L80">
        <v>1165124555</v>
      </c>
      <c r="M80">
        <v>1190107772</v>
      </c>
      <c r="N80">
        <v>818694386</v>
      </c>
      <c r="O80">
        <v>665039976</v>
      </c>
      <c r="P80">
        <v>2231</v>
      </c>
      <c r="Q80" t="s">
        <v>216</v>
      </c>
    </row>
    <row r="81" spans="1:17" x14ac:dyDescent="0.3">
      <c r="A81" t="s">
        <v>17</v>
      </c>
      <c r="B81" t="str">
        <f>"601088"</f>
        <v>601088</v>
      </c>
      <c r="C81" t="s">
        <v>217</v>
      </c>
      <c r="D81" t="s">
        <v>218</v>
      </c>
      <c r="E81">
        <v>13798000000</v>
      </c>
      <c r="F81">
        <v>10980000000</v>
      </c>
      <c r="G81">
        <v>9735000000</v>
      </c>
      <c r="H81">
        <v>10582000000</v>
      </c>
      <c r="I81">
        <v>14413000000</v>
      </c>
      <c r="J81">
        <v>16751000000</v>
      </c>
      <c r="K81">
        <v>25703000000</v>
      </c>
      <c r="L81">
        <v>23090000000</v>
      </c>
      <c r="M81">
        <v>27271000000</v>
      </c>
      <c r="N81">
        <v>20737000000</v>
      </c>
      <c r="O81">
        <v>16523000000</v>
      </c>
      <c r="P81">
        <v>3939</v>
      </c>
      <c r="Q81" t="s">
        <v>219</v>
      </c>
    </row>
    <row r="82" spans="1:17" x14ac:dyDescent="0.3">
      <c r="A82" t="s">
        <v>17</v>
      </c>
      <c r="B82" t="str">
        <f>"600019"</f>
        <v>600019</v>
      </c>
      <c r="C82" t="s">
        <v>220</v>
      </c>
      <c r="D82" t="s">
        <v>221</v>
      </c>
      <c r="E82">
        <v>13782415413</v>
      </c>
      <c r="F82">
        <v>11775810783</v>
      </c>
      <c r="G82">
        <v>11626416639</v>
      </c>
      <c r="H82">
        <v>13350073806</v>
      </c>
      <c r="I82">
        <v>15235302859</v>
      </c>
      <c r="J82">
        <v>16806303853</v>
      </c>
      <c r="K82">
        <v>8181798289</v>
      </c>
      <c r="L82">
        <v>10102194868</v>
      </c>
      <c r="M82">
        <v>12146874986</v>
      </c>
      <c r="N82">
        <v>11130256753</v>
      </c>
      <c r="O82">
        <v>7670276911</v>
      </c>
      <c r="P82">
        <v>2292</v>
      </c>
      <c r="Q82" t="s">
        <v>222</v>
      </c>
    </row>
    <row r="83" spans="1:17" x14ac:dyDescent="0.3">
      <c r="A83" t="s">
        <v>17</v>
      </c>
      <c r="B83" t="str">
        <f>"600089"</f>
        <v>600089</v>
      </c>
      <c r="C83" t="s">
        <v>223</v>
      </c>
      <c r="D83" t="s">
        <v>224</v>
      </c>
      <c r="E83">
        <v>13636544472</v>
      </c>
      <c r="F83">
        <v>13587466378</v>
      </c>
      <c r="G83">
        <v>12997246279</v>
      </c>
      <c r="H83">
        <v>11869975230</v>
      </c>
      <c r="I83">
        <v>12863047252</v>
      </c>
      <c r="J83">
        <v>11030971866</v>
      </c>
      <c r="K83">
        <v>10584520989</v>
      </c>
      <c r="L83">
        <v>9767099003</v>
      </c>
      <c r="M83">
        <v>8155856939</v>
      </c>
      <c r="N83">
        <v>5128412147</v>
      </c>
      <c r="O83">
        <v>4039603943</v>
      </c>
      <c r="P83">
        <v>1281</v>
      </c>
      <c r="Q83" t="s">
        <v>225</v>
      </c>
    </row>
    <row r="84" spans="1:17" x14ac:dyDescent="0.3">
      <c r="A84" t="s">
        <v>17</v>
      </c>
      <c r="B84" t="str">
        <f>"601808"</f>
        <v>601808</v>
      </c>
      <c r="C84" t="s">
        <v>226</v>
      </c>
      <c r="D84" t="s">
        <v>227</v>
      </c>
      <c r="E84">
        <v>13566784925</v>
      </c>
      <c r="F84">
        <v>10978692902</v>
      </c>
      <c r="G84">
        <v>10982682473</v>
      </c>
      <c r="H84">
        <v>0</v>
      </c>
      <c r="I84">
        <v>6741098581</v>
      </c>
      <c r="J84">
        <v>5378004909</v>
      </c>
      <c r="K84">
        <v>6327654579</v>
      </c>
      <c r="L84">
        <v>8478020411</v>
      </c>
      <c r="M84">
        <v>7753375631</v>
      </c>
      <c r="N84">
        <v>5893148247</v>
      </c>
      <c r="O84">
        <v>4801611794</v>
      </c>
      <c r="P84">
        <v>411</v>
      </c>
      <c r="Q84" t="s">
        <v>228</v>
      </c>
    </row>
    <row r="85" spans="1:17" x14ac:dyDescent="0.3">
      <c r="A85" t="s">
        <v>17</v>
      </c>
      <c r="B85" t="str">
        <f>"601877"</f>
        <v>601877</v>
      </c>
      <c r="C85" t="s">
        <v>229</v>
      </c>
      <c r="D85" t="s">
        <v>230</v>
      </c>
      <c r="E85">
        <v>13451850946</v>
      </c>
      <c r="F85">
        <v>8957092893</v>
      </c>
      <c r="G85">
        <v>9637481886</v>
      </c>
      <c r="H85">
        <v>8698696716</v>
      </c>
      <c r="I85">
        <v>5271553678</v>
      </c>
      <c r="J85">
        <v>6054285377</v>
      </c>
      <c r="K85">
        <v>2796803449</v>
      </c>
      <c r="L85">
        <v>2355215035</v>
      </c>
      <c r="M85">
        <v>2110932799</v>
      </c>
      <c r="N85">
        <v>1776594835</v>
      </c>
      <c r="O85">
        <v>925520765</v>
      </c>
      <c r="P85">
        <v>34820</v>
      </c>
      <c r="Q85" t="s">
        <v>231</v>
      </c>
    </row>
    <row r="86" spans="1:17" x14ac:dyDescent="0.3">
      <c r="A86" t="s">
        <v>73</v>
      </c>
      <c r="B86" t="str">
        <f>"002183"</f>
        <v>002183</v>
      </c>
      <c r="C86" t="s">
        <v>232</v>
      </c>
      <c r="D86" t="s">
        <v>233</v>
      </c>
      <c r="E86">
        <v>13448258642</v>
      </c>
      <c r="F86">
        <v>12402830780</v>
      </c>
      <c r="G86">
        <v>12262855477</v>
      </c>
      <c r="H86">
        <v>12965520655</v>
      </c>
      <c r="I86">
        <v>12910876708</v>
      </c>
      <c r="J86">
        <v>12872798401</v>
      </c>
      <c r="K86">
        <v>9181679764</v>
      </c>
      <c r="L86">
        <v>5307698524</v>
      </c>
      <c r="M86">
        <v>3649240873</v>
      </c>
      <c r="N86">
        <v>2662741931</v>
      </c>
      <c r="O86">
        <v>2521640523</v>
      </c>
      <c r="P86">
        <v>261</v>
      </c>
      <c r="Q86" t="s">
        <v>234</v>
      </c>
    </row>
    <row r="87" spans="1:17" x14ac:dyDescent="0.3">
      <c r="A87" t="s">
        <v>17</v>
      </c>
      <c r="B87" t="str">
        <f>"600153"</f>
        <v>600153</v>
      </c>
      <c r="C87" t="s">
        <v>235</v>
      </c>
      <c r="D87" t="s">
        <v>192</v>
      </c>
      <c r="E87">
        <v>13348253637</v>
      </c>
      <c r="F87">
        <v>8969698120</v>
      </c>
      <c r="G87">
        <v>9856016448</v>
      </c>
      <c r="H87">
        <v>6904396559</v>
      </c>
      <c r="I87">
        <v>5359639659</v>
      </c>
      <c r="J87">
        <v>3985343282</v>
      </c>
      <c r="K87">
        <v>3085574691</v>
      </c>
      <c r="L87">
        <v>3236920863</v>
      </c>
      <c r="M87">
        <v>4350639521</v>
      </c>
      <c r="N87">
        <v>2632864086</v>
      </c>
      <c r="O87">
        <v>2227740374</v>
      </c>
      <c r="P87">
        <v>2153</v>
      </c>
      <c r="Q87" t="s">
        <v>236</v>
      </c>
    </row>
    <row r="88" spans="1:17" x14ac:dyDescent="0.3">
      <c r="A88" t="s">
        <v>73</v>
      </c>
      <c r="B88" t="str">
        <f>"200553"</f>
        <v>200553</v>
      </c>
      <c r="C88" t="s">
        <v>237</v>
      </c>
      <c r="E88">
        <v>13181342434</v>
      </c>
      <c r="F88">
        <v>11575020468.5</v>
      </c>
      <c r="G88">
        <v>9374659040.7000008</v>
      </c>
      <c r="H88">
        <v>8813338679.7000008</v>
      </c>
      <c r="I88">
        <v>7946930001</v>
      </c>
      <c r="J88">
        <v>408762773.26099998</v>
      </c>
      <c r="K88">
        <v>367324826.19840002</v>
      </c>
      <c r="L88">
        <v>375658000</v>
      </c>
      <c r="M88">
        <v>360991194.06559998</v>
      </c>
      <c r="N88">
        <v>337868577.3768</v>
      </c>
      <c r="O88">
        <v>240873919.641</v>
      </c>
      <c r="P88">
        <v>58</v>
      </c>
      <c r="Q88" t="s">
        <v>238</v>
      </c>
    </row>
    <row r="89" spans="1:17" x14ac:dyDescent="0.3">
      <c r="A89" t="s">
        <v>17</v>
      </c>
      <c r="B89" t="str">
        <f>"600713"</f>
        <v>600713</v>
      </c>
      <c r="C89" t="s">
        <v>239</v>
      </c>
      <c r="D89" t="s">
        <v>50</v>
      </c>
      <c r="E89">
        <v>12575335255</v>
      </c>
      <c r="F89">
        <v>10266152617</v>
      </c>
      <c r="G89">
        <v>8991189591</v>
      </c>
      <c r="H89">
        <v>10433267180</v>
      </c>
      <c r="I89">
        <v>8631469327</v>
      </c>
      <c r="J89">
        <v>7475454647</v>
      </c>
      <c r="K89">
        <v>7082005091</v>
      </c>
      <c r="L89">
        <v>6169929553</v>
      </c>
      <c r="M89">
        <v>5219784375</v>
      </c>
      <c r="N89">
        <v>4207905522</v>
      </c>
      <c r="O89">
        <v>3865191594</v>
      </c>
      <c r="P89">
        <v>188</v>
      </c>
      <c r="Q89" t="s">
        <v>240</v>
      </c>
    </row>
    <row r="90" spans="1:17" x14ac:dyDescent="0.3">
      <c r="A90" t="s">
        <v>17</v>
      </c>
      <c r="B90" t="str">
        <f>"600733"</f>
        <v>600733</v>
      </c>
      <c r="C90" t="s">
        <v>241</v>
      </c>
      <c r="D90" t="s">
        <v>58</v>
      </c>
      <c r="E90">
        <v>12466505907</v>
      </c>
      <c r="F90">
        <v>16141656839</v>
      </c>
      <c r="G90">
        <v>21077321341</v>
      </c>
      <c r="H90">
        <v>20277398583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19525</v>
      </c>
      <c r="P90">
        <v>369</v>
      </c>
      <c r="Q90" t="s">
        <v>242</v>
      </c>
    </row>
    <row r="91" spans="1:17" x14ac:dyDescent="0.3">
      <c r="A91" t="s">
        <v>17</v>
      </c>
      <c r="B91" t="str">
        <f>"600056"</f>
        <v>600056</v>
      </c>
      <c r="C91" t="s">
        <v>243</v>
      </c>
      <c r="D91" t="s">
        <v>50</v>
      </c>
      <c r="E91">
        <v>12376372521</v>
      </c>
      <c r="F91">
        <v>12103319201</v>
      </c>
      <c r="G91">
        <v>11141705534</v>
      </c>
      <c r="H91">
        <v>11006538402</v>
      </c>
      <c r="I91">
        <v>8740334583</v>
      </c>
      <c r="J91">
        <v>7892616740</v>
      </c>
      <c r="K91">
        <v>5862779833</v>
      </c>
      <c r="L91">
        <v>5001806553</v>
      </c>
      <c r="M91">
        <v>4058711038</v>
      </c>
      <c r="N91">
        <v>2640999060</v>
      </c>
      <c r="O91">
        <v>1735442110</v>
      </c>
      <c r="P91">
        <v>890</v>
      </c>
      <c r="Q91" t="s">
        <v>244</v>
      </c>
    </row>
    <row r="92" spans="1:17" x14ac:dyDescent="0.3">
      <c r="A92" t="s">
        <v>17</v>
      </c>
      <c r="B92" t="str">
        <f>"601919"</f>
        <v>601919</v>
      </c>
      <c r="C92" t="s">
        <v>245</v>
      </c>
      <c r="D92" t="s">
        <v>246</v>
      </c>
      <c r="E92">
        <v>12370788739</v>
      </c>
      <c r="F92">
        <v>11140819371</v>
      </c>
      <c r="G92">
        <v>9139041899</v>
      </c>
      <c r="H92">
        <v>0</v>
      </c>
      <c r="I92">
        <v>6435251904</v>
      </c>
      <c r="J92">
        <v>6159893430</v>
      </c>
      <c r="K92">
        <v>5301845823</v>
      </c>
      <c r="L92">
        <v>3711257007</v>
      </c>
      <c r="M92">
        <v>4516007724</v>
      </c>
      <c r="N92">
        <v>9199846548</v>
      </c>
      <c r="O92">
        <v>7657550109</v>
      </c>
      <c r="P92">
        <v>1359</v>
      </c>
      <c r="Q92" t="s">
        <v>247</v>
      </c>
    </row>
    <row r="93" spans="1:17" x14ac:dyDescent="0.3">
      <c r="A93" t="s">
        <v>17</v>
      </c>
      <c r="B93" t="str">
        <f>"601898"</f>
        <v>601898</v>
      </c>
      <c r="C93" t="s">
        <v>248</v>
      </c>
      <c r="D93" t="s">
        <v>218</v>
      </c>
      <c r="E93">
        <v>12330500000</v>
      </c>
      <c r="F93">
        <v>10016570000</v>
      </c>
      <c r="G93">
        <v>7520199000</v>
      </c>
      <c r="H93">
        <v>6614942000</v>
      </c>
      <c r="I93">
        <v>7760277000</v>
      </c>
      <c r="J93">
        <v>8426591000</v>
      </c>
      <c r="K93">
        <v>11221265000</v>
      </c>
      <c r="L93">
        <v>11621627000</v>
      </c>
      <c r="M93">
        <v>11944590000</v>
      </c>
      <c r="N93">
        <v>9569131000</v>
      </c>
      <c r="O93">
        <v>6897034000</v>
      </c>
      <c r="P93">
        <v>446</v>
      </c>
      <c r="Q93" t="s">
        <v>249</v>
      </c>
    </row>
    <row r="94" spans="1:17" x14ac:dyDescent="0.3">
      <c r="A94" t="s">
        <v>17</v>
      </c>
      <c r="B94" t="str">
        <f>"600839"</f>
        <v>600839</v>
      </c>
      <c r="C94" t="s">
        <v>250</v>
      </c>
      <c r="D94" t="s">
        <v>251</v>
      </c>
      <c r="E94">
        <v>12011407419</v>
      </c>
      <c r="F94">
        <v>9987510196</v>
      </c>
      <c r="G94">
        <v>8123213053</v>
      </c>
      <c r="H94">
        <v>9595327198</v>
      </c>
      <c r="I94">
        <v>9159365584</v>
      </c>
      <c r="J94">
        <v>8725679518</v>
      </c>
      <c r="K94">
        <v>8453982545</v>
      </c>
      <c r="L94">
        <v>7780576046</v>
      </c>
      <c r="M94">
        <v>8708084410</v>
      </c>
      <c r="N94">
        <v>6956178553</v>
      </c>
      <c r="O94">
        <v>5998276655</v>
      </c>
      <c r="P94">
        <v>272</v>
      </c>
      <c r="Q94" t="s">
        <v>252</v>
      </c>
    </row>
    <row r="95" spans="1:17" x14ac:dyDescent="0.3">
      <c r="A95" t="s">
        <v>17</v>
      </c>
      <c r="B95" t="str">
        <f>"600837"</f>
        <v>600837</v>
      </c>
      <c r="C95" t="s">
        <v>253</v>
      </c>
      <c r="D95" t="s">
        <v>53</v>
      </c>
      <c r="E95">
        <v>11914196057</v>
      </c>
      <c r="F95">
        <v>11418324932</v>
      </c>
      <c r="G95">
        <v>0</v>
      </c>
      <c r="H95">
        <v>8367663605</v>
      </c>
      <c r="I95">
        <v>10311437268</v>
      </c>
      <c r="J95">
        <v>11021927943</v>
      </c>
      <c r="K95">
        <v>0</v>
      </c>
      <c r="L95">
        <v>0</v>
      </c>
      <c r="M95">
        <v>0</v>
      </c>
      <c r="N95">
        <v>0</v>
      </c>
      <c r="O95">
        <v>0</v>
      </c>
      <c r="P95">
        <v>4976</v>
      </c>
      <c r="Q95" t="s">
        <v>254</v>
      </c>
    </row>
    <row r="96" spans="1:17" x14ac:dyDescent="0.3">
      <c r="A96" t="s">
        <v>73</v>
      </c>
      <c r="B96" t="str">
        <f>"000927"</f>
        <v>000927</v>
      </c>
      <c r="C96" t="s">
        <v>255</v>
      </c>
      <c r="D96" t="s">
        <v>58</v>
      </c>
      <c r="E96">
        <v>11740317651</v>
      </c>
      <c r="F96">
        <v>8383043954</v>
      </c>
      <c r="G96">
        <v>10941359</v>
      </c>
      <c r="H96">
        <v>24978507</v>
      </c>
      <c r="I96">
        <v>11295783</v>
      </c>
      <c r="J96">
        <v>13137050</v>
      </c>
      <c r="K96">
        <v>27713452</v>
      </c>
      <c r="L96">
        <v>53291742</v>
      </c>
      <c r="M96">
        <v>45673385</v>
      </c>
      <c r="N96">
        <v>41688678</v>
      </c>
      <c r="O96">
        <v>39657273</v>
      </c>
      <c r="P96">
        <v>131</v>
      </c>
      <c r="Q96" t="s">
        <v>256</v>
      </c>
    </row>
    <row r="97" spans="1:17" x14ac:dyDescent="0.3">
      <c r="A97" t="s">
        <v>73</v>
      </c>
      <c r="B97" t="str">
        <f>"002081"</f>
        <v>002081</v>
      </c>
      <c r="C97" t="s">
        <v>257</v>
      </c>
      <c r="D97" t="s">
        <v>258</v>
      </c>
      <c r="E97">
        <v>11221516022</v>
      </c>
      <c r="F97">
        <v>12037289256</v>
      </c>
      <c r="G97">
        <v>10833252467</v>
      </c>
      <c r="H97">
        <v>18548576160</v>
      </c>
      <c r="I97">
        <v>16192233561</v>
      </c>
      <c r="J97">
        <v>16327876692</v>
      </c>
      <c r="K97">
        <v>15491368101</v>
      </c>
      <c r="L97">
        <v>14144862915</v>
      </c>
      <c r="M97">
        <v>10478446836</v>
      </c>
      <c r="N97">
        <v>6463071646</v>
      </c>
      <c r="O97">
        <v>3867808242</v>
      </c>
      <c r="P97">
        <v>18140</v>
      </c>
      <c r="Q97" t="s">
        <v>259</v>
      </c>
    </row>
    <row r="98" spans="1:17" x14ac:dyDescent="0.3">
      <c r="A98" t="s">
        <v>17</v>
      </c>
      <c r="B98" t="str">
        <f>"601881"</f>
        <v>601881</v>
      </c>
      <c r="C98" t="s">
        <v>260</v>
      </c>
      <c r="D98" t="s">
        <v>53</v>
      </c>
      <c r="E98">
        <v>11091538059</v>
      </c>
      <c r="F98">
        <v>14484992320</v>
      </c>
      <c r="G98">
        <v>8560585666</v>
      </c>
      <c r="H98">
        <v>1228135353</v>
      </c>
      <c r="I98">
        <v>957907076</v>
      </c>
      <c r="J98">
        <v>876135388</v>
      </c>
      <c r="K98">
        <v>0</v>
      </c>
      <c r="P98">
        <v>1598</v>
      </c>
      <c r="Q98" t="s">
        <v>261</v>
      </c>
    </row>
    <row r="99" spans="1:17" x14ac:dyDescent="0.3">
      <c r="A99" t="s">
        <v>73</v>
      </c>
      <c r="B99" t="str">
        <f>"003816"</f>
        <v>003816</v>
      </c>
      <c r="C99" t="s">
        <v>262</v>
      </c>
      <c r="D99" t="s">
        <v>177</v>
      </c>
      <c r="E99">
        <v>10957102366</v>
      </c>
      <c r="F99">
        <v>8485925421</v>
      </c>
      <c r="G99">
        <v>6822082007</v>
      </c>
      <c r="H99">
        <v>6367099423</v>
      </c>
      <c r="I99">
        <v>0</v>
      </c>
      <c r="J99">
        <v>6767779209</v>
      </c>
      <c r="P99">
        <v>523</v>
      </c>
      <c r="Q99" t="s">
        <v>263</v>
      </c>
    </row>
    <row r="100" spans="1:17" x14ac:dyDescent="0.3">
      <c r="A100" t="s">
        <v>17</v>
      </c>
      <c r="B100" t="str">
        <f>"600528"</f>
        <v>600528</v>
      </c>
      <c r="C100" t="s">
        <v>264</v>
      </c>
      <c r="D100" t="s">
        <v>47</v>
      </c>
      <c r="E100">
        <v>10800967837</v>
      </c>
      <c r="F100">
        <v>8297239616</v>
      </c>
      <c r="G100">
        <v>6187123389</v>
      </c>
      <c r="H100">
        <v>7346344830</v>
      </c>
      <c r="I100">
        <v>7122589415</v>
      </c>
      <c r="J100">
        <v>6165202068</v>
      </c>
      <c r="K100">
        <v>16571126062</v>
      </c>
      <c r="L100">
        <v>16435805471</v>
      </c>
      <c r="M100">
        <v>13787111508</v>
      </c>
      <c r="N100">
        <v>11011644116</v>
      </c>
      <c r="O100">
        <v>10174527138</v>
      </c>
      <c r="P100">
        <v>252</v>
      </c>
      <c r="Q100" t="s">
        <v>265</v>
      </c>
    </row>
    <row r="101" spans="1:17" x14ac:dyDescent="0.3">
      <c r="A101" t="s">
        <v>17</v>
      </c>
      <c r="B101" t="str">
        <f>"600309"</f>
        <v>600309</v>
      </c>
      <c r="C101" t="s">
        <v>266</v>
      </c>
      <c r="D101" t="s">
        <v>267</v>
      </c>
      <c r="E101">
        <v>10800911517</v>
      </c>
      <c r="F101">
        <v>8445024209</v>
      </c>
      <c r="G101">
        <v>5138575614</v>
      </c>
      <c r="H101">
        <v>4412654609</v>
      </c>
      <c r="I101">
        <v>3257748491</v>
      </c>
      <c r="J101">
        <v>2769860214</v>
      </c>
      <c r="K101">
        <v>1714832351</v>
      </c>
      <c r="L101">
        <v>1608880121</v>
      </c>
      <c r="M101">
        <v>1381054449</v>
      </c>
      <c r="N101">
        <v>1214518756</v>
      </c>
      <c r="O101">
        <v>1041627505</v>
      </c>
      <c r="P101">
        <v>7475</v>
      </c>
      <c r="Q101" t="s">
        <v>268</v>
      </c>
    </row>
    <row r="102" spans="1:17" x14ac:dyDescent="0.3">
      <c r="A102" t="s">
        <v>73</v>
      </c>
      <c r="B102" t="str">
        <f>"000027"</f>
        <v>000027</v>
      </c>
      <c r="C102" t="s">
        <v>269</v>
      </c>
      <c r="D102" t="s">
        <v>71</v>
      </c>
      <c r="E102">
        <v>10793793951</v>
      </c>
      <c r="F102">
        <v>8107372468</v>
      </c>
      <c r="G102">
        <v>7349598883</v>
      </c>
      <c r="H102">
        <v>6069202222</v>
      </c>
      <c r="I102">
        <v>5089292973</v>
      </c>
      <c r="J102">
        <v>4004278944</v>
      </c>
      <c r="K102">
        <v>3075973419</v>
      </c>
      <c r="L102">
        <v>2553080197</v>
      </c>
      <c r="M102">
        <v>2204540984</v>
      </c>
      <c r="N102">
        <v>1439316033</v>
      </c>
      <c r="O102">
        <v>1682889636</v>
      </c>
      <c r="P102">
        <v>509</v>
      </c>
      <c r="Q102" t="s">
        <v>270</v>
      </c>
    </row>
    <row r="103" spans="1:17" x14ac:dyDescent="0.3">
      <c r="A103" t="s">
        <v>73</v>
      </c>
      <c r="B103" t="str">
        <f>"000553"</f>
        <v>000553</v>
      </c>
      <c r="C103" t="s">
        <v>271</v>
      </c>
      <c r="D103" t="s">
        <v>272</v>
      </c>
      <c r="E103">
        <v>10681801000</v>
      </c>
      <c r="F103">
        <v>9772073000</v>
      </c>
      <c r="G103">
        <v>8577783000</v>
      </c>
      <c r="H103">
        <v>7538567000</v>
      </c>
      <c r="I103">
        <v>6355002000</v>
      </c>
      <c r="J103">
        <v>362314105</v>
      </c>
      <c r="K103">
        <v>305772768</v>
      </c>
      <c r="L103">
        <v>300526400</v>
      </c>
      <c r="M103">
        <v>289163084</v>
      </c>
      <c r="N103">
        <v>270338116</v>
      </c>
      <c r="O103">
        <v>195355977</v>
      </c>
      <c r="P103">
        <v>227</v>
      </c>
      <c r="Q103" t="s">
        <v>273</v>
      </c>
    </row>
    <row r="104" spans="1:17" x14ac:dyDescent="0.3">
      <c r="A104" t="s">
        <v>17</v>
      </c>
      <c r="B104" t="str">
        <f>"600339"</f>
        <v>600339</v>
      </c>
      <c r="C104" t="s">
        <v>274</v>
      </c>
      <c r="D104" t="s">
        <v>275</v>
      </c>
      <c r="E104">
        <v>10676624316</v>
      </c>
      <c r="F104">
        <v>10791048285</v>
      </c>
      <c r="G104">
        <v>13065019127</v>
      </c>
      <c r="H104">
        <v>14491345416</v>
      </c>
      <c r="I104">
        <v>17755942141</v>
      </c>
      <c r="J104">
        <v>18638650291</v>
      </c>
      <c r="K104">
        <v>12237966</v>
      </c>
      <c r="L104">
        <v>27755493</v>
      </c>
      <c r="M104">
        <v>41025291</v>
      </c>
      <c r="N104">
        <v>105449730</v>
      </c>
      <c r="O104">
        <v>70866174</v>
      </c>
      <c r="P104">
        <v>232</v>
      </c>
      <c r="Q104" t="s">
        <v>276</v>
      </c>
    </row>
    <row r="105" spans="1:17" x14ac:dyDescent="0.3">
      <c r="A105" t="s">
        <v>73</v>
      </c>
      <c r="B105" t="str">
        <f>"000591"</f>
        <v>000591</v>
      </c>
      <c r="C105" t="s">
        <v>277</v>
      </c>
      <c r="D105" t="s">
        <v>278</v>
      </c>
      <c r="E105">
        <v>10658043676</v>
      </c>
      <c r="F105">
        <v>9135968084</v>
      </c>
      <c r="G105">
        <v>7672531567</v>
      </c>
      <c r="H105">
        <v>6510056866</v>
      </c>
      <c r="I105">
        <v>4912428094</v>
      </c>
      <c r="J105">
        <v>3999450574</v>
      </c>
      <c r="K105">
        <v>2858235877</v>
      </c>
      <c r="L105">
        <v>535893795</v>
      </c>
      <c r="M105">
        <v>504061137</v>
      </c>
      <c r="N105">
        <v>428460529</v>
      </c>
      <c r="O105">
        <v>274550096</v>
      </c>
      <c r="P105">
        <v>664</v>
      </c>
      <c r="Q105" t="s">
        <v>279</v>
      </c>
    </row>
    <row r="106" spans="1:17" x14ac:dyDescent="0.3">
      <c r="A106" t="s">
        <v>17</v>
      </c>
      <c r="B106" t="str">
        <f>"600875"</f>
        <v>600875</v>
      </c>
      <c r="C106" t="s">
        <v>280</v>
      </c>
      <c r="D106" t="s">
        <v>82</v>
      </c>
      <c r="E106">
        <v>10518417663</v>
      </c>
      <c r="F106">
        <v>8158341562</v>
      </c>
      <c r="G106">
        <v>6537072812</v>
      </c>
      <c r="H106">
        <v>6441302086</v>
      </c>
      <c r="I106">
        <v>13360992622</v>
      </c>
      <c r="J106">
        <v>15173199666</v>
      </c>
      <c r="K106">
        <v>18013253206</v>
      </c>
      <c r="L106">
        <v>16234133392</v>
      </c>
      <c r="M106">
        <v>17330400986</v>
      </c>
      <c r="N106">
        <v>14915782428</v>
      </c>
      <c r="O106">
        <v>13731857410</v>
      </c>
      <c r="P106">
        <v>482</v>
      </c>
      <c r="Q106" t="s">
        <v>281</v>
      </c>
    </row>
    <row r="107" spans="1:17" x14ac:dyDescent="0.3">
      <c r="A107" t="s">
        <v>17</v>
      </c>
      <c r="B107" t="str">
        <f>"600482"</f>
        <v>600482</v>
      </c>
      <c r="C107" t="s">
        <v>282</v>
      </c>
      <c r="D107" t="s">
        <v>283</v>
      </c>
      <c r="E107">
        <v>10448231855</v>
      </c>
      <c r="F107">
        <v>12274679287</v>
      </c>
      <c r="G107">
        <v>11000231245</v>
      </c>
      <c r="H107">
        <v>15280048394</v>
      </c>
      <c r="I107">
        <v>8387466990</v>
      </c>
      <c r="J107">
        <v>5251760655</v>
      </c>
      <c r="K107">
        <v>543381698</v>
      </c>
      <c r="L107">
        <v>596229781</v>
      </c>
      <c r="M107">
        <v>566949368</v>
      </c>
      <c r="N107">
        <v>532534063</v>
      </c>
      <c r="O107">
        <v>438742901</v>
      </c>
      <c r="P107">
        <v>339</v>
      </c>
      <c r="Q107" t="s">
        <v>284</v>
      </c>
    </row>
    <row r="108" spans="1:17" x14ac:dyDescent="0.3">
      <c r="A108" t="s">
        <v>73</v>
      </c>
      <c r="B108" t="str">
        <f>"002589"</f>
        <v>002589</v>
      </c>
      <c r="C108" t="s">
        <v>285</v>
      </c>
      <c r="D108" t="s">
        <v>50</v>
      </c>
      <c r="E108">
        <v>10353623051</v>
      </c>
      <c r="F108">
        <v>13108899231</v>
      </c>
      <c r="G108">
        <v>14997797864</v>
      </c>
      <c r="H108">
        <v>18246446049</v>
      </c>
      <c r="I108">
        <v>13992914287</v>
      </c>
      <c r="J108">
        <v>9521505533</v>
      </c>
      <c r="K108">
        <v>5952708404</v>
      </c>
      <c r="L108">
        <v>3869002425</v>
      </c>
      <c r="M108">
        <v>2954601981</v>
      </c>
      <c r="N108">
        <v>2066113107</v>
      </c>
      <c r="O108">
        <v>1588647678</v>
      </c>
      <c r="P108">
        <v>460</v>
      </c>
      <c r="Q108" t="s">
        <v>286</v>
      </c>
    </row>
    <row r="109" spans="1:17" x14ac:dyDescent="0.3">
      <c r="A109" t="s">
        <v>17</v>
      </c>
      <c r="B109" t="str">
        <f>"601886"</f>
        <v>601886</v>
      </c>
      <c r="C109" t="s">
        <v>287</v>
      </c>
      <c r="D109" t="s">
        <v>258</v>
      </c>
      <c r="E109">
        <v>10348887820</v>
      </c>
      <c r="F109">
        <v>8743763884</v>
      </c>
      <c r="G109">
        <v>8331107056</v>
      </c>
      <c r="H109">
        <v>10468433157</v>
      </c>
      <c r="I109">
        <v>10450394681</v>
      </c>
      <c r="J109">
        <v>10528239347</v>
      </c>
      <c r="K109">
        <v>10624335181</v>
      </c>
      <c r="L109">
        <v>10253345391</v>
      </c>
      <c r="M109">
        <v>7388020771</v>
      </c>
      <c r="N109">
        <v>4661687399</v>
      </c>
      <c r="O109">
        <v>3134123618</v>
      </c>
      <c r="P109">
        <v>177</v>
      </c>
      <c r="Q109" t="s">
        <v>288</v>
      </c>
    </row>
    <row r="110" spans="1:17" x14ac:dyDescent="0.3">
      <c r="A110" t="s">
        <v>17</v>
      </c>
      <c r="B110" t="str">
        <f>"600886"</f>
        <v>600886</v>
      </c>
      <c r="C110" t="s">
        <v>289</v>
      </c>
      <c r="D110" t="s">
        <v>290</v>
      </c>
      <c r="E110">
        <v>10271746762</v>
      </c>
      <c r="F110">
        <v>7485447295</v>
      </c>
      <c r="G110">
        <v>5743922838</v>
      </c>
      <c r="H110">
        <v>5553485664</v>
      </c>
      <c r="I110">
        <v>4079782251</v>
      </c>
      <c r="J110">
        <v>3613078193</v>
      </c>
      <c r="K110">
        <v>3788902891</v>
      </c>
      <c r="L110">
        <v>3513934715</v>
      </c>
      <c r="M110">
        <v>3617431687</v>
      </c>
      <c r="N110">
        <v>2889352241</v>
      </c>
      <c r="O110">
        <v>2200889200</v>
      </c>
      <c r="P110">
        <v>2023</v>
      </c>
      <c r="Q110" t="s">
        <v>291</v>
      </c>
    </row>
    <row r="111" spans="1:17" x14ac:dyDescent="0.3">
      <c r="A111" t="s">
        <v>73</v>
      </c>
      <c r="B111" t="str">
        <f>"000727"</f>
        <v>000727</v>
      </c>
      <c r="C111" t="s">
        <v>292</v>
      </c>
      <c r="D111" t="s">
        <v>97</v>
      </c>
      <c r="E111">
        <v>10195101545</v>
      </c>
      <c r="F111">
        <v>9527266909</v>
      </c>
      <c r="G111">
        <v>606184948</v>
      </c>
      <c r="H111">
        <v>824242424</v>
      </c>
      <c r="I111">
        <v>588857439</v>
      </c>
      <c r="J111">
        <v>556671177</v>
      </c>
      <c r="K111">
        <v>328813255</v>
      </c>
      <c r="L111">
        <v>196332762</v>
      </c>
      <c r="M111">
        <v>192968585</v>
      </c>
      <c r="N111">
        <v>167968089</v>
      </c>
      <c r="O111">
        <v>162750542</v>
      </c>
      <c r="P111">
        <v>197</v>
      </c>
      <c r="Q111" t="s">
        <v>293</v>
      </c>
    </row>
    <row r="112" spans="1:17" x14ac:dyDescent="0.3">
      <c r="A112" t="s">
        <v>17</v>
      </c>
      <c r="B112" t="str">
        <f>"600745"</f>
        <v>600745</v>
      </c>
      <c r="C112" t="s">
        <v>294</v>
      </c>
      <c r="D112" t="s">
        <v>42</v>
      </c>
      <c r="E112">
        <v>10080238097</v>
      </c>
      <c r="F112">
        <v>6360319884</v>
      </c>
      <c r="G112">
        <v>8436835101</v>
      </c>
      <c r="H112">
        <v>4448429740</v>
      </c>
      <c r="I112">
        <v>1609426933</v>
      </c>
      <c r="J112">
        <v>2775008834</v>
      </c>
      <c r="K112">
        <v>664821043</v>
      </c>
      <c r="L112">
        <v>8482751</v>
      </c>
      <c r="M112">
        <v>62661495</v>
      </c>
      <c r="N112">
        <v>135803453</v>
      </c>
      <c r="O112">
        <v>153109562</v>
      </c>
      <c r="P112">
        <v>1617</v>
      </c>
      <c r="Q112" t="s">
        <v>295</v>
      </c>
    </row>
    <row r="113" spans="1:17" x14ac:dyDescent="0.3">
      <c r="A113" t="s">
        <v>17</v>
      </c>
      <c r="B113" t="str">
        <f>"601688"</f>
        <v>601688</v>
      </c>
      <c r="C113" t="s">
        <v>296</v>
      </c>
      <c r="D113" t="s">
        <v>53</v>
      </c>
      <c r="E113">
        <v>10028854293</v>
      </c>
      <c r="F113">
        <v>15326987528</v>
      </c>
      <c r="G113">
        <v>7596177895</v>
      </c>
      <c r="H113">
        <v>5168529965</v>
      </c>
      <c r="I113">
        <v>3374547532</v>
      </c>
      <c r="J113">
        <v>936698292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6874</v>
      </c>
      <c r="Q113" t="s">
        <v>297</v>
      </c>
    </row>
    <row r="114" spans="1:17" x14ac:dyDescent="0.3">
      <c r="A114" t="s">
        <v>17</v>
      </c>
      <c r="B114" t="str">
        <f>"600710"</f>
        <v>600710</v>
      </c>
      <c r="C114" t="s">
        <v>298</v>
      </c>
      <c r="D114" t="s">
        <v>299</v>
      </c>
      <c r="E114">
        <v>9968896011</v>
      </c>
      <c r="F114">
        <v>8386594588</v>
      </c>
      <c r="G114">
        <v>8027583540</v>
      </c>
      <c r="H114">
        <v>7293633746</v>
      </c>
      <c r="I114">
        <v>7389058283</v>
      </c>
      <c r="J114">
        <v>6994994600</v>
      </c>
      <c r="K114">
        <v>685379159</v>
      </c>
      <c r="L114">
        <v>719645934</v>
      </c>
      <c r="M114">
        <v>661268410</v>
      </c>
      <c r="N114">
        <v>619004107</v>
      </c>
      <c r="O114">
        <v>606107079</v>
      </c>
      <c r="P114">
        <v>166</v>
      </c>
      <c r="Q114" t="s">
        <v>300</v>
      </c>
    </row>
    <row r="115" spans="1:17" x14ac:dyDescent="0.3">
      <c r="A115" t="s">
        <v>73</v>
      </c>
      <c r="B115" t="str">
        <f>"000938"</f>
        <v>000938</v>
      </c>
      <c r="C115" t="s">
        <v>301</v>
      </c>
      <c r="D115" t="s">
        <v>302</v>
      </c>
      <c r="E115">
        <v>9950779422</v>
      </c>
      <c r="F115">
        <v>8633697415</v>
      </c>
      <c r="G115">
        <v>7724421442</v>
      </c>
      <c r="H115">
        <v>7592634642</v>
      </c>
      <c r="I115">
        <v>5305300913</v>
      </c>
      <c r="J115">
        <v>3732771031</v>
      </c>
      <c r="K115">
        <v>1471464981</v>
      </c>
      <c r="L115">
        <v>1250861809</v>
      </c>
      <c r="M115">
        <v>1051000044</v>
      </c>
      <c r="N115">
        <v>666085815</v>
      </c>
      <c r="O115">
        <v>373719300</v>
      </c>
      <c r="P115">
        <v>3894</v>
      </c>
      <c r="Q115" t="s">
        <v>303</v>
      </c>
    </row>
    <row r="116" spans="1:17" x14ac:dyDescent="0.3">
      <c r="A116" t="s">
        <v>17</v>
      </c>
      <c r="B116" t="str">
        <f>"688599"</f>
        <v>688599</v>
      </c>
      <c r="C116" t="s">
        <v>304</v>
      </c>
      <c r="D116" t="s">
        <v>305</v>
      </c>
      <c r="E116">
        <v>9874816057</v>
      </c>
      <c r="F116">
        <v>5254881076</v>
      </c>
      <c r="G116">
        <v>4543720601</v>
      </c>
      <c r="P116">
        <v>371</v>
      </c>
      <c r="Q116" t="s">
        <v>306</v>
      </c>
    </row>
    <row r="117" spans="1:17" x14ac:dyDescent="0.3">
      <c r="A117" t="s">
        <v>73</v>
      </c>
      <c r="B117" t="str">
        <f>"300070"</f>
        <v>300070</v>
      </c>
      <c r="C117" t="s">
        <v>307</v>
      </c>
      <c r="D117" t="s">
        <v>308</v>
      </c>
      <c r="E117">
        <v>9802542401</v>
      </c>
      <c r="F117">
        <v>7621802148</v>
      </c>
      <c r="G117">
        <v>7301368340</v>
      </c>
      <c r="H117">
        <v>5603068328</v>
      </c>
      <c r="I117">
        <v>4545154382</v>
      </c>
      <c r="J117">
        <v>4282936388</v>
      </c>
      <c r="K117">
        <v>2896644363</v>
      </c>
      <c r="L117">
        <v>1599626413</v>
      </c>
      <c r="M117">
        <v>1276361521</v>
      </c>
      <c r="N117">
        <v>645853630</v>
      </c>
      <c r="O117">
        <v>293373522</v>
      </c>
      <c r="P117">
        <v>1163</v>
      </c>
      <c r="Q117" t="s">
        <v>309</v>
      </c>
    </row>
    <row r="118" spans="1:17" x14ac:dyDescent="0.3">
      <c r="A118" t="s">
        <v>17</v>
      </c>
      <c r="B118" t="str">
        <f>"600582"</f>
        <v>600582</v>
      </c>
      <c r="C118" t="s">
        <v>310</v>
      </c>
      <c r="D118" t="s">
        <v>311</v>
      </c>
      <c r="E118">
        <v>9770551397</v>
      </c>
      <c r="F118">
        <v>9694483684</v>
      </c>
      <c r="G118">
        <v>9596120550</v>
      </c>
      <c r="H118">
        <v>11088917528</v>
      </c>
      <c r="I118">
        <v>11179768027</v>
      </c>
      <c r="J118">
        <v>11828595166</v>
      </c>
      <c r="K118">
        <v>11912806953</v>
      </c>
      <c r="L118">
        <v>9515836247</v>
      </c>
      <c r="M118">
        <v>5582736481</v>
      </c>
      <c r="N118">
        <v>4212115480</v>
      </c>
      <c r="O118">
        <v>3223776558</v>
      </c>
      <c r="P118">
        <v>396</v>
      </c>
      <c r="Q118" t="s">
        <v>312</v>
      </c>
    </row>
    <row r="119" spans="1:17" x14ac:dyDescent="0.3">
      <c r="A119" t="s">
        <v>73</v>
      </c>
      <c r="B119" t="str">
        <f>"000875"</f>
        <v>000875</v>
      </c>
      <c r="C119" t="s">
        <v>313</v>
      </c>
      <c r="D119" t="s">
        <v>314</v>
      </c>
      <c r="E119">
        <v>9682063125</v>
      </c>
      <c r="F119">
        <v>7784891599</v>
      </c>
      <c r="G119">
        <v>5162778672</v>
      </c>
      <c r="H119">
        <v>3738090862</v>
      </c>
      <c r="I119">
        <v>2429630402</v>
      </c>
      <c r="J119">
        <v>1623891666</v>
      </c>
      <c r="K119">
        <v>1099699155</v>
      </c>
      <c r="L119">
        <v>943991228</v>
      </c>
      <c r="M119">
        <v>905980465</v>
      </c>
      <c r="N119">
        <v>742500011</v>
      </c>
      <c r="O119">
        <v>677020921</v>
      </c>
      <c r="P119">
        <v>278</v>
      </c>
      <c r="Q119" t="s">
        <v>315</v>
      </c>
    </row>
    <row r="120" spans="1:17" x14ac:dyDescent="0.3">
      <c r="A120" t="s">
        <v>73</v>
      </c>
      <c r="B120" t="str">
        <f>"002271"</f>
        <v>002271</v>
      </c>
      <c r="C120" t="s">
        <v>316</v>
      </c>
      <c r="D120" t="s">
        <v>317</v>
      </c>
      <c r="E120">
        <v>9551085134</v>
      </c>
      <c r="F120">
        <v>7397171570</v>
      </c>
      <c r="G120">
        <v>5554558740</v>
      </c>
      <c r="H120">
        <v>4566803172</v>
      </c>
      <c r="I120">
        <v>3882998738</v>
      </c>
      <c r="J120">
        <v>2635836477</v>
      </c>
      <c r="K120">
        <v>1880259935</v>
      </c>
      <c r="L120">
        <v>1203366871</v>
      </c>
      <c r="M120">
        <v>1199717401</v>
      </c>
      <c r="N120">
        <v>736317055</v>
      </c>
      <c r="O120">
        <v>760490225</v>
      </c>
      <c r="P120">
        <v>22866</v>
      </c>
      <c r="Q120" t="s">
        <v>318</v>
      </c>
    </row>
    <row r="121" spans="1:17" x14ac:dyDescent="0.3">
      <c r="A121" t="s">
        <v>17</v>
      </c>
      <c r="B121" t="str">
        <f>"601179"</f>
        <v>601179</v>
      </c>
      <c r="C121" t="s">
        <v>319</v>
      </c>
      <c r="D121" t="s">
        <v>224</v>
      </c>
      <c r="E121">
        <v>9338214381</v>
      </c>
      <c r="F121">
        <v>8189490277</v>
      </c>
      <c r="G121">
        <v>4130439985</v>
      </c>
      <c r="H121">
        <v>9077188508</v>
      </c>
      <c r="I121">
        <v>8716093524</v>
      </c>
      <c r="J121">
        <v>7550043722</v>
      </c>
      <c r="K121">
        <v>8303761264</v>
      </c>
      <c r="L121">
        <v>7616090310</v>
      </c>
      <c r="M121">
        <v>7475231127</v>
      </c>
      <c r="N121">
        <v>7040655415</v>
      </c>
      <c r="O121">
        <v>6503964580</v>
      </c>
      <c r="P121">
        <v>329</v>
      </c>
      <c r="Q121" t="s">
        <v>320</v>
      </c>
    </row>
    <row r="122" spans="1:17" x14ac:dyDescent="0.3">
      <c r="A122" t="s">
        <v>17</v>
      </c>
      <c r="B122" t="str">
        <f>"600180"</f>
        <v>600180</v>
      </c>
      <c r="C122" t="s">
        <v>321</v>
      </c>
      <c r="D122" t="s">
        <v>192</v>
      </c>
      <c r="E122">
        <v>9313669804</v>
      </c>
      <c r="F122">
        <v>8646425496</v>
      </c>
      <c r="G122">
        <v>4383687397</v>
      </c>
      <c r="H122">
        <v>3762408400</v>
      </c>
      <c r="I122">
        <v>5367585336</v>
      </c>
      <c r="J122">
        <v>2334546280</v>
      </c>
      <c r="K122">
        <v>868018073</v>
      </c>
      <c r="L122">
        <v>637838726</v>
      </c>
      <c r="M122">
        <v>784512264</v>
      </c>
      <c r="N122">
        <v>388726561</v>
      </c>
      <c r="O122">
        <v>0</v>
      </c>
      <c r="P122">
        <v>151</v>
      </c>
      <c r="Q122" t="s">
        <v>322</v>
      </c>
    </row>
    <row r="123" spans="1:17" x14ac:dyDescent="0.3">
      <c r="A123" t="s">
        <v>17</v>
      </c>
      <c r="B123" t="str">
        <f>"601231"</f>
        <v>601231</v>
      </c>
      <c r="C123" t="s">
        <v>323</v>
      </c>
      <c r="D123" t="s">
        <v>42</v>
      </c>
      <c r="E123">
        <v>9301145456</v>
      </c>
      <c r="F123">
        <v>7587147268</v>
      </c>
      <c r="G123">
        <v>5836536435</v>
      </c>
      <c r="H123">
        <v>4916326657</v>
      </c>
      <c r="I123">
        <v>3818533545</v>
      </c>
      <c r="J123">
        <v>4100740566</v>
      </c>
      <c r="K123">
        <v>3193856345</v>
      </c>
      <c r="L123">
        <v>3141688666</v>
      </c>
      <c r="M123">
        <v>2745417359</v>
      </c>
      <c r="N123">
        <v>2633985014</v>
      </c>
      <c r="O123">
        <v>2260477844</v>
      </c>
      <c r="P123">
        <v>735</v>
      </c>
      <c r="Q123" t="s">
        <v>324</v>
      </c>
    </row>
    <row r="124" spans="1:17" x14ac:dyDescent="0.3">
      <c r="A124" t="s">
        <v>73</v>
      </c>
      <c r="B124" t="str">
        <f>"000034"</f>
        <v>000034</v>
      </c>
      <c r="C124" t="s">
        <v>325</v>
      </c>
      <c r="D124" t="s">
        <v>302</v>
      </c>
      <c r="E124">
        <v>9286824786</v>
      </c>
      <c r="F124">
        <v>7318195246</v>
      </c>
      <c r="G124">
        <v>7185380295</v>
      </c>
      <c r="H124">
        <v>7489593582</v>
      </c>
      <c r="I124">
        <v>6398395333</v>
      </c>
      <c r="J124">
        <v>5623673707</v>
      </c>
      <c r="K124">
        <v>4894659627</v>
      </c>
      <c r="L124">
        <v>27295925</v>
      </c>
      <c r="M124">
        <v>25703214</v>
      </c>
      <c r="N124">
        <v>26900712</v>
      </c>
      <c r="O124">
        <v>29342570</v>
      </c>
      <c r="P124">
        <v>412</v>
      </c>
      <c r="Q124" t="s">
        <v>326</v>
      </c>
    </row>
    <row r="125" spans="1:17" x14ac:dyDescent="0.3">
      <c r="A125" t="s">
        <v>17</v>
      </c>
      <c r="B125" t="str">
        <f>"600755"</f>
        <v>600755</v>
      </c>
      <c r="C125" t="s">
        <v>327</v>
      </c>
      <c r="D125" t="s">
        <v>192</v>
      </c>
      <c r="E125">
        <v>9182860993</v>
      </c>
      <c r="F125">
        <v>5635261372</v>
      </c>
      <c r="G125">
        <v>4191462624</v>
      </c>
      <c r="H125">
        <v>4298192136</v>
      </c>
      <c r="I125">
        <v>3427729182</v>
      </c>
      <c r="J125">
        <v>3012565826</v>
      </c>
      <c r="K125">
        <v>2793521160</v>
      </c>
      <c r="L125">
        <v>1810119425</v>
      </c>
      <c r="M125">
        <v>1633371607</v>
      </c>
      <c r="N125">
        <v>1508065272</v>
      </c>
      <c r="O125">
        <v>877632698</v>
      </c>
      <c r="P125">
        <v>742</v>
      </c>
      <c r="Q125" t="s">
        <v>328</v>
      </c>
    </row>
    <row r="126" spans="1:17" x14ac:dyDescent="0.3">
      <c r="A126" t="s">
        <v>73</v>
      </c>
      <c r="B126" t="str">
        <f>"000921"</f>
        <v>000921</v>
      </c>
      <c r="C126" t="s">
        <v>329</v>
      </c>
      <c r="D126" t="s">
        <v>109</v>
      </c>
      <c r="E126">
        <v>9144377342</v>
      </c>
      <c r="F126">
        <v>6932780798</v>
      </c>
      <c r="G126">
        <v>4038204676</v>
      </c>
      <c r="H126">
        <v>4162187033</v>
      </c>
      <c r="I126">
        <v>4153801615</v>
      </c>
      <c r="J126">
        <v>3749563698</v>
      </c>
      <c r="K126">
        <v>2863973999</v>
      </c>
      <c r="L126">
        <v>2781635397</v>
      </c>
      <c r="M126">
        <v>2560252123</v>
      </c>
      <c r="N126">
        <v>1981513568</v>
      </c>
      <c r="O126">
        <v>1726364107</v>
      </c>
      <c r="P126">
        <v>13182</v>
      </c>
      <c r="Q126" t="s">
        <v>330</v>
      </c>
    </row>
    <row r="127" spans="1:17" x14ac:dyDescent="0.3">
      <c r="A127" t="s">
        <v>73</v>
      </c>
      <c r="B127" t="str">
        <f>"000032"</f>
        <v>000032</v>
      </c>
      <c r="C127" t="s">
        <v>331</v>
      </c>
      <c r="D127" t="s">
        <v>332</v>
      </c>
      <c r="E127">
        <v>9106859537</v>
      </c>
      <c r="F127">
        <v>286865629</v>
      </c>
      <c r="G127">
        <v>150907000</v>
      </c>
      <c r="H127">
        <v>233953881</v>
      </c>
      <c r="I127">
        <v>240878177</v>
      </c>
      <c r="J127">
        <v>214544821</v>
      </c>
      <c r="K127">
        <v>233907470</v>
      </c>
      <c r="L127">
        <v>96492847</v>
      </c>
      <c r="M127">
        <v>81198220</v>
      </c>
      <c r="N127">
        <v>86037456</v>
      </c>
      <c r="O127">
        <v>102493520</v>
      </c>
      <c r="P127">
        <v>121</v>
      </c>
      <c r="Q127" t="s">
        <v>333</v>
      </c>
    </row>
    <row r="128" spans="1:17" x14ac:dyDescent="0.3">
      <c r="A128" t="s">
        <v>17</v>
      </c>
      <c r="B128" t="str">
        <f>"600841"</f>
        <v>600841</v>
      </c>
      <c r="C128" t="s">
        <v>334</v>
      </c>
      <c r="D128" t="s">
        <v>122</v>
      </c>
      <c r="E128">
        <v>8805301201</v>
      </c>
      <c r="F128">
        <v>1612816880</v>
      </c>
      <c r="G128">
        <v>1055370329</v>
      </c>
      <c r="H128">
        <v>830363168</v>
      </c>
      <c r="I128">
        <v>951076698</v>
      </c>
      <c r="J128">
        <v>711164432</v>
      </c>
      <c r="K128">
        <v>552970978</v>
      </c>
      <c r="L128">
        <v>526884518</v>
      </c>
      <c r="M128">
        <v>638957005</v>
      </c>
      <c r="N128">
        <v>532335559</v>
      </c>
      <c r="O128">
        <v>660903921</v>
      </c>
      <c r="P128">
        <v>88</v>
      </c>
      <c r="Q128" t="s">
        <v>335</v>
      </c>
    </row>
    <row r="129" spans="1:17" x14ac:dyDescent="0.3">
      <c r="A129" t="s">
        <v>17</v>
      </c>
      <c r="B129" t="str">
        <f>"603368"</f>
        <v>603368</v>
      </c>
      <c r="C129" t="s">
        <v>336</v>
      </c>
      <c r="D129" t="s">
        <v>50</v>
      </c>
      <c r="E129">
        <v>8752085368</v>
      </c>
      <c r="F129">
        <v>8101722529</v>
      </c>
      <c r="G129">
        <v>7097186662</v>
      </c>
      <c r="H129">
        <v>6167118492</v>
      </c>
      <c r="I129">
        <v>4521541610</v>
      </c>
      <c r="J129">
        <v>3709927604</v>
      </c>
      <c r="K129">
        <v>2902924837</v>
      </c>
      <c r="L129">
        <v>2213386114</v>
      </c>
      <c r="M129">
        <v>0</v>
      </c>
      <c r="P129">
        <v>532</v>
      </c>
      <c r="Q129" t="s">
        <v>337</v>
      </c>
    </row>
    <row r="130" spans="1:17" x14ac:dyDescent="0.3">
      <c r="A130" t="s">
        <v>17</v>
      </c>
      <c r="B130" t="str">
        <f>"601989"</f>
        <v>601989</v>
      </c>
      <c r="C130" t="s">
        <v>338</v>
      </c>
      <c r="D130" t="s">
        <v>283</v>
      </c>
      <c r="E130">
        <v>8649993464</v>
      </c>
      <c r="F130">
        <v>7749512057</v>
      </c>
      <c r="G130">
        <v>8770430171</v>
      </c>
      <c r="H130">
        <v>9808382144</v>
      </c>
      <c r="I130">
        <v>9731576726</v>
      </c>
      <c r="J130">
        <v>12168147255</v>
      </c>
      <c r="K130">
        <v>15626368390</v>
      </c>
      <c r="L130">
        <v>19392796400</v>
      </c>
      <c r="M130">
        <v>22113640181</v>
      </c>
      <c r="N130">
        <v>22087270882</v>
      </c>
      <c r="O130">
        <v>26119966710</v>
      </c>
      <c r="P130">
        <v>669</v>
      </c>
      <c r="Q130" t="s">
        <v>339</v>
      </c>
    </row>
    <row r="131" spans="1:17" x14ac:dyDescent="0.3">
      <c r="A131" t="s">
        <v>17</v>
      </c>
      <c r="B131" t="str">
        <f>"600027"</f>
        <v>600027</v>
      </c>
      <c r="C131" t="s">
        <v>340</v>
      </c>
      <c r="D131" t="s">
        <v>71</v>
      </c>
      <c r="E131">
        <v>8496197000</v>
      </c>
      <c r="F131">
        <v>11057890000</v>
      </c>
      <c r="G131">
        <v>7787807000</v>
      </c>
      <c r="H131">
        <v>9320288000</v>
      </c>
      <c r="I131">
        <v>8888774000</v>
      </c>
      <c r="J131">
        <v>6475546000</v>
      </c>
      <c r="K131">
        <v>6768479000</v>
      </c>
      <c r="L131">
        <v>6074140000</v>
      </c>
      <c r="M131">
        <v>7308375000</v>
      </c>
      <c r="N131">
        <v>6833586000</v>
      </c>
      <c r="O131">
        <v>5968429000</v>
      </c>
      <c r="P131">
        <v>987</v>
      </c>
      <c r="Q131" t="s">
        <v>341</v>
      </c>
    </row>
    <row r="132" spans="1:17" x14ac:dyDescent="0.3">
      <c r="A132" t="s">
        <v>17</v>
      </c>
      <c r="B132" t="str">
        <f>"600058"</f>
        <v>600058</v>
      </c>
      <c r="C132" t="s">
        <v>342</v>
      </c>
      <c r="D132" t="s">
        <v>299</v>
      </c>
      <c r="E132">
        <v>8452856104</v>
      </c>
      <c r="F132">
        <v>7769976441</v>
      </c>
      <c r="G132">
        <v>5420006050</v>
      </c>
      <c r="H132">
        <v>5861616738</v>
      </c>
      <c r="I132">
        <v>5095699559</v>
      </c>
      <c r="J132">
        <v>3931169875</v>
      </c>
      <c r="K132">
        <v>5870800474</v>
      </c>
      <c r="L132">
        <v>10251956215</v>
      </c>
      <c r="M132">
        <v>9965924571</v>
      </c>
      <c r="N132">
        <v>4662167280</v>
      </c>
      <c r="O132">
        <v>2185544209</v>
      </c>
      <c r="P132">
        <v>139</v>
      </c>
      <c r="Q132" t="s">
        <v>343</v>
      </c>
    </row>
    <row r="133" spans="1:17" x14ac:dyDescent="0.3">
      <c r="A133" t="s">
        <v>73</v>
      </c>
      <c r="B133" t="str">
        <f>"300244"</f>
        <v>300244</v>
      </c>
      <c r="C133" t="s">
        <v>344</v>
      </c>
      <c r="D133" t="s">
        <v>345</v>
      </c>
      <c r="E133">
        <v>8350098281</v>
      </c>
      <c r="F133">
        <v>5188690131</v>
      </c>
      <c r="G133">
        <v>3468604237</v>
      </c>
      <c r="H133">
        <v>3203427421</v>
      </c>
      <c r="I133">
        <v>1946500248</v>
      </c>
      <c r="J133">
        <v>1500142873</v>
      </c>
      <c r="K133">
        <v>919435624</v>
      </c>
      <c r="L133">
        <v>389274679</v>
      </c>
      <c r="M133">
        <v>276732609</v>
      </c>
      <c r="N133">
        <v>208549027</v>
      </c>
      <c r="O133">
        <v>127947434</v>
      </c>
      <c r="P133">
        <v>1268</v>
      </c>
      <c r="Q133" t="s">
        <v>346</v>
      </c>
    </row>
    <row r="134" spans="1:17" x14ac:dyDescent="0.3">
      <c r="A134" t="s">
        <v>73</v>
      </c>
      <c r="B134" t="str">
        <f>"000963"</f>
        <v>000963</v>
      </c>
      <c r="C134" t="s">
        <v>347</v>
      </c>
      <c r="D134" t="s">
        <v>348</v>
      </c>
      <c r="E134">
        <v>8276463607</v>
      </c>
      <c r="F134">
        <v>7729847991</v>
      </c>
      <c r="G134">
        <v>7096262044</v>
      </c>
      <c r="H134">
        <v>7808992891</v>
      </c>
      <c r="I134">
        <v>6395224418</v>
      </c>
      <c r="J134">
        <v>5949600142</v>
      </c>
      <c r="K134">
        <v>4789210470</v>
      </c>
      <c r="L134">
        <v>4242569255</v>
      </c>
      <c r="M134">
        <v>3520902103</v>
      </c>
      <c r="N134">
        <v>3255966998</v>
      </c>
      <c r="O134">
        <v>3062096220</v>
      </c>
      <c r="P134">
        <v>59262</v>
      </c>
      <c r="Q134" t="s">
        <v>349</v>
      </c>
    </row>
    <row r="135" spans="1:17" x14ac:dyDescent="0.3">
      <c r="A135" t="s">
        <v>73</v>
      </c>
      <c r="B135" t="str">
        <f>"300274"</f>
        <v>300274</v>
      </c>
      <c r="C135" t="s">
        <v>350</v>
      </c>
      <c r="D135" t="s">
        <v>351</v>
      </c>
      <c r="E135">
        <v>8269793291</v>
      </c>
      <c r="F135">
        <v>7541626678</v>
      </c>
      <c r="G135">
        <v>5539583052</v>
      </c>
      <c r="H135">
        <v>6695660771</v>
      </c>
      <c r="I135">
        <v>5090922665</v>
      </c>
      <c r="J135">
        <v>4179009441</v>
      </c>
      <c r="K135">
        <v>3659044524</v>
      </c>
      <c r="L135">
        <v>2144376966</v>
      </c>
      <c r="M135">
        <v>1221648224</v>
      </c>
      <c r="N135">
        <v>762005888</v>
      </c>
      <c r="O135">
        <v>464540736</v>
      </c>
      <c r="P135">
        <v>2195</v>
      </c>
      <c r="Q135" t="s">
        <v>352</v>
      </c>
    </row>
    <row r="136" spans="1:17" x14ac:dyDescent="0.3">
      <c r="A136" t="s">
        <v>17</v>
      </c>
      <c r="B136" t="str">
        <f>"688223"</f>
        <v>688223</v>
      </c>
      <c r="C136" t="s">
        <v>353</v>
      </c>
      <c r="D136" t="s">
        <v>354</v>
      </c>
      <c r="E136">
        <v>8241032787</v>
      </c>
      <c r="P136">
        <v>29</v>
      </c>
      <c r="Q136" t="s">
        <v>355</v>
      </c>
    </row>
    <row r="137" spans="1:17" x14ac:dyDescent="0.3">
      <c r="A137" t="s">
        <v>73</v>
      </c>
      <c r="B137" t="str">
        <f>"000413"</f>
        <v>000413</v>
      </c>
      <c r="C137" t="s">
        <v>356</v>
      </c>
      <c r="D137" t="s">
        <v>97</v>
      </c>
      <c r="E137">
        <v>8195567228</v>
      </c>
      <c r="F137">
        <v>8069478624</v>
      </c>
      <c r="G137">
        <v>11509509617</v>
      </c>
      <c r="H137">
        <v>11759507555</v>
      </c>
      <c r="I137">
        <v>9741127834</v>
      </c>
      <c r="J137">
        <v>1402659640</v>
      </c>
      <c r="K137">
        <v>1345429139</v>
      </c>
      <c r="L137">
        <v>1139750614</v>
      </c>
      <c r="M137">
        <v>1611448869</v>
      </c>
      <c r="N137">
        <v>638832866</v>
      </c>
      <c r="O137">
        <v>170956907</v>
      </c>
      <c r="P137">
        <v>525</v>
      </c>
      <c r="Q137" t="s">
        <v>357</v>
      </c>
    </row>
    <row r="138" spans="1:17" x14ac:dyDescent="0.3">
      <c r="A138" t="s">
        <v>17</v>
      </c>
      <c r="B138" t="str">
        <f>"601992"</f>
        <v>601992</v>
      </c>
      <c r="C138" t="s">
        <v>358</v>
      </c>
      <c r="D138" t="s">
        <v>90</v>
      </c>
      <c r="E138">
        <v>8181948652</v>
      </c>
      <c r="F138">
        <v>8001754171</v>
      </c>
      <c r="G138">
        <v>7717921778</v>
      </c>
      <c r="H138">
        <v>7936685931</v>
      </c>
      <c r="I138">
        <v>7321112635</v>
      </c>
      <c r="J138">
        <v>9103341382</v>
      </c>
      <c r="K138">
        <v>6545517044</v>
      </c>
      <c r="L138">
        <v>5240022021</v>
      </c>
      <c r="M138">
        <v>5213124889</v>
      </c>
      <c r="N138">
        <v>4349597478</v>
      </c>
      <c r="O138">
        <v>3834430550</v>
      </c>
      <c r="P138">
        <v>368</v>
      </c>
      <c r="Q138" t="s">
        <v>359</v>
      </c>
    </row>
    <row r="139" spans="1:17" x14ac:dyDescent="0.3">
      <c r="A139" t="s">
        <v>73</v>
      </c>
      <c r="B139" t="str">
        <f>"002462"</f>
        <v>002462</v>
      </c>
      <c r="C139" t="s">
        <v>360</v>
      </c>
      <c r="D139" t="s">
        <v>50</v>
      </c>
      <c r="E139">
        <v>8128526887</v>
      </c>
      <c r="F139">
        <v>7629281585</v>
      </c>
      <c r="G139">
        <v>6652304526</v>
      </c>
      <c r="H139">
        <v>6525619524</v>
      </c>
      <c r="I139">
        <v>5532780124</v>
      </c>
      <c r="J139">
        <v>4311172706</v>
      </c>
      <c r="K139">
        <v>3552292578</v>
      </c>
      <c r="L139">
        <v>2556652181</v>
      </c>
      <c r="M139">
        <v>1379167380</v>
      </c>
      <c r="N139">
        <v>782207321</v>
      </c>
      <c r="O139">
        <v>488759028</v>
      </c>
      <c r="P139">
        <v>258</v>
      </c>
      <c r="Q139" t="s">
        <v>361</v>
      </c>
    </row>
    <row r="140" spans="1:17" x14ac:dyDescent="0.3">
      <c r="A140" t="s">
        <v>17</v>
      </c>
      <c r="B140" t="str">
        <f>"601238"</f>
        <v>601238</v>
      </c>
      <c r="C140" t="s">
        <v>362</v>
      </c>
      <c r="D140" t="s">
        <v>58</v>
      </c>
      <c r="E140">
        <v>8123101303</v>
      </c>
      <c r="F140">
        <v>4740085323</v>
      </c>
      <c r="G140">
        <v>3723861774</v>
      </c>
      <c r="H140">
        <v>2864012237</v>
      </c>
      <c r="I140">
        <v>1113244371</v>
      </c>
      <c r="J140">
        <v>1204581469</v>
      </c>
      <c r="K140">
        <v>935767740</v>
      </c>
      <c r="L140">
        <v>929335300</v>
      </c>
      <c r="M140">
        <v>888160204</v>
      </c>
      <c r="N140">
        <v>1164353434</v>
      </c>
      <c r="O140">
        <v>659674878</v>
      </c>
      <c r="P140">
        <v>1300</v>
      </c>
      <c r="Q140" t="s">
        <v>363</v>
      </c>
    </row>
    <row r="141" spans="1:17" x14ac:dyDescent="0.3">
      <c r="A141" t="s">
        <v>73</v>
      </c>
      <c r="B141" t="str">
        <f>"000538"</f>
        <v>000538</v>
      </c>
      <c r="C141" t="s">
        <v>364</v>
      </c>
      <c r="D141" t="s">
        <v>215</v>
      </c>
      <c r="E141">
        <v>8075660363</v>
      </c>
      <c r="F141">
        <v>5918580877</v>
      </c>
      <c r="G141">
        <v>2679802563</v>
      </c>
      <c r="H141">
        <v>2583036839</v>
      </c>
      <c r="I141">
        <v>1549253580</v>
      </c>
      <c r="J141">
        <v>1239742819</v>
      </c>
      <c r="K141">
        <v>1463681009</v>
      </c>
      <c r="L141">
        <v>1126268331</v>
      </c>
      <c r="M141">
        <v>689828955</v>
      </c>
      <c r="N141">
        <v>928410196</v>
      </c>
      <c r="O141">
        <v>813358624</v>
      </c>
      <c r="P141">
        <v>30717</v>
      </c>
      <c r="Q141" t="s">
        <v>365</v>
      </c>
    </row>
    <row r="142" spans="1:17" x14ac:dyDescent="0.3">
      <c r="A142" t="s">
        <v>17</v>
      </c>
      <c r="B142" t="str">
        <f>"600871"</f>
        <v>600871</v>
      </c>
      <c r="C142" t="s">
        <v>366</v>
      </c>
      <c r="D142" t="s">
        <v>227</v>
      </c>
      <c r="E142">
        <v>8021323000</v>
      </c>
      <c r="F142">
        <v>7943065000</v>
      </c>
      <c r="G142">
        <v>9925483000</v>
      </c>
      <c r="H142">
        <v>13729798000</v>
      </c>
      <c r="I142">
        <v>13808821000</v>
      </c>
      <c r="J142">
        <v>18633542000</v>
      </c>
      <c r="K142">
        <v>19688748000</v>
      </c>
      <c r="L142">
        <v>18141235000</v>
      </c>
      <c r="M142">
        <v>197966000</v>
      </c>
      <c r="N142">
        <v>258001000</v>
      </c>
      <c r="O142">
        <v>249427000</v>
      </c>
      <c r="P142">
        <v>172</v>
      </c>
      <c r="Q142" t="s">
        <v>367</v>
      </c>
    </row>
    <row r="143" spans="1:17" x14ac:dyDescent="0.3">
      <c r="A143" t="s">
        <v>73</v>
      </c>
      <c r="B143" t="str">
        <f>"300207"</f>
        <v>300207</v>
      </c>
      <c r="C143" t="s">
        <v>368</v>
      </c>
      <c r="D143" t="s">
        <v>125</v>
      </c>
      <c r="E143">
        <v>8015586121</v>
      </c>
      <c r="F143">
        <v>7344897088</v>
      </c>
      <c r="G143">
        <v>4586069907</v>
      </c>
      <c r="H143">
        <v>3829024846</v>
      </c>
      <c r="I143">
        <v>2482166358</v>
      </c>
      <c r="J143">
        <v>1601961096</v>
      </c>
      <c r="K143">
        <v>1016610559</v>
      </c>
      <c r="L143">
        <v>643727359</v>
      </c>
      <c r="M143">
        <v>608062116</v>
      </c>
      <c r="N143">
        <v>388727084</v>
      </c>
      <c r="O143">
        <v>240695310</v>
      </c>
      <c r="P143">
        <v>1012</v>
      </c>
      <c r="Q143" t="s">
        <v>369</v>
      </c>
    </row>
    <row r="144" spans="1:17" x14ac:dyDescent="0.3">
      <c r="A144" t="s">
        <v>17</v>
      </c>
      <c r="B144" t="str">
        <f>"600642"</f>
        <v>600642</v>
      </c>
      <c r="C144" t="s">
        <v>370</v>
      </c>
      <c r="D144" t="s">
        <v>71</v>
      </c>
      <c r="E144">
        <v>8008617592</v>
      </c>
      <c r="F144">
        <v>4865790914</v>
      </c>
      <c r="G144">
        <v>3519418845</v>
      </c>
      <c r="H144">
        <v>3293791483</v>
      </c>
      <c r="I144">
        <v>2697004132</v>
      </c>
      <c r="J144">
        <v>1553686429</v>
      </c>
      <c r="K144">
        <v>1580879408</v>
      </c>
      <c r="L144">
        <v>1390111420</v>
      </c>
      <c r="M144">
        <v>2064978374</v>
      </c>
      <c r="N144">
        <v>1856689396</v>
      </c>
      <c r="O144">
        <v>1407340074</v>
      </c>
      <c r="P144">
        <v>459</v>
      </c>
      <c r="Q144" t="s">
        <v>371</v>
      </c>
    </row>
    <row r="145" spans="1:17" x14ac:dyDescent="0.3">
      <c r="A145" t="s">
        <v>73</v>
      </c>
      <c r="B145" t="str">
        <f>"300999"</f>
        <v>300999</v>
      </c>
      <c r="C145" t="s">
        <v>372</v>
      </c>
      <c r="D145" t="s">
        <v>373</v>
      </c>
      <c r="E145">
        <v>8000626000</v>
      </c>
      <c r="F145">
        <v>6184010000</v>
      </c>
      <c r="G145">
        <v>0</v>
      </c>
      <c r="H145">
        <v>4917420000</v>
      </c>
      <c r="P145">
        <v>1181</v>
      </c>
      <c r="Q145" t="s">
        <v>374</v>
      </c>
    </row>
    <row r="146" spans="1:17" x14ac:dyDescent="0.3">
      <c r="A146" t="s">
        <v>73</v>
      </c>
      <c r="B146" t="str">
        <f>"000498"</f>
        <v>000498</v>
      </c>
      <c r="C146" t="s">
        <v>375</v>
      </c>
      <c r="D146" t="s">
        <v>22</v>
      </c>
      <c r="E146">
        <v>7934974032</v>
      </c>
      <c r="F146">
        <v>7664115668</v>
      </c>
      <c r="G146">
        <v>5292292747</v>
      </c>
      <c r="H146">
        <v>4539890583</v>
      </c>
      <c r="I146">
        <v>4231516369</v>
      </c>
      <c r="J146">
        <v>3345414436</v>
      </c>
      <c r="K146">
        <v>3250679070</v>
      </c>
      <c r="L146">
        <v>2547415415</v>
      </c>
      <c r="M146">
        <v>1870358419</v>
      </c>
      <c r="N146">
        <v>1668003926</v>
      </c>
      <c r="O146">
        <v>0</v>
      </c>
      <c r="P146">
        <v>276</v>
      </c>
      <c r="Q146" t="s">
        <v>376</v>
      </c>
    </row>
    <row r="147" spans="1:17" x14ac:dyDescent="0.3">
      <c r="A147" t="s">
        <v>73</v>
      </c>
      <c r="B147" t="str">
        <f>"300772"</f>
        <v>300772</v>
      </c>
      <c r="C147" t="s">
        <v>377</v>
      </c>
      <c r="D147" t="s">
        <v>136</v>
      </c>
      <c r="E147">
        <v>7889148310</v>
      </c>
      <c r="F147">
        <v>4295249220</v>
      </c>
      <c r="G147">
        <v>2776642617</v>
      </c>
      <c r="H147">
        <v>0</v>
      </c>
      <c r="I147">
        <v>0</v>
      </c>
      <c r="P147">
        <v>177</v>
      </c>
      <c r="Q147" t="s">
        <v>378</v>
      </c>
    </row>
    <row r="148" spans="1:17" x14ac:dyDescent="0.3">
      <c r="A148" t="s">
        <v>73</v>
      </c>
      <c r="B148" t="str">
        <f>"002241"</f>
        <v>002241</v>
      </c>
      <c r="C148" t="s">
        <v>379</v>
      </c>
      <c r="D148" t="s">
        <v>42</v>
      </c>
      <c r="E148">
        <v>7735848214</v>
      </c>
      <c r="F148">
        <v>8226262837</v>
      </c>
      <c r="G148">
        <v>4859968788</v>
      </c>
      <c r="H148">
        <v>5733883048</v>
      </c>
      <c r="I148">
        <v>3469294832</v>
      </c>
      <c r="J148">
        <v>4571649612</v>
      </c>
      <c r="K148">
        <v>3225138638</v>
      </c>
      <c r="L148">
        <v>2886379371</v>
      </c>
      <c r="M148">
        <v>2680848817</v>
      </c>
      <c r="N148">
        <v>1614078487</v>
      </c>
      <c r="O148">
        <v>1032794202</v>
      </c>
      <c r="P148">
        <v>3528</v>
      </c>
      <c r="Q148" t="s">
        <v>380</v>
      </c>
    </row>
    <row r="149" spans="1:17" x14ac:dyDescent="0.3">
      <c r="A149" t="s">
        <v>73</v>
      </c>
      <c r="B149" t="str">
        <f>"002013"</f>
        <v>002013</v>
      </c>
      <c r="C149" t="s">
        <v>381</v>
      </c>
      <c r="D149" t="s">
        <v>130</v>
      </c>
      <c r="E149">
        <v>7701735844</v>
      </c>
      <c r="F149">
        <v>7831813475</v>
      </c>
      <c r="G149">
        <v>7504862014</v>
      </c>
      <c r="H149">
        <v>7396492285</v>
      </c>
      <c r="I149">
        <v>4830336489</v>
      </c>
      <c r="J149">
        <v>4863234691</v>
      </c>
      <c r="K149">
        <v>4888120367</v>
      </c>
      <c r="L149">
        <v>4756868519</v>
      </c>
      <c r="M149">
        <v>4071898578</v>
      </c>
      <c r="N149">
        <v>3231970274</v>
      </c>
      <c r="O149">
        <v>151857840</v>
      </c>
      <c r="P149">
        <v>656</v>
      </c>
      <c r="Q149" t="s">
        <v>382</v>
      </c>
    </row>
    <row r="150" spans="1:17" x14ac:dyDescent="0.3">
      <c r="A150" t="s">
        <v>73</v>
      </c>
      <c r="B150" t="str">
        <f>"002074"</f>
        <v>002074</v>
      </c>
      <c r="C150" t="s">
        <v>383</v>
      </c>
      <c r="D150" t="s">
        <v>125</v>
      </c>
      <c r="E150">
        <v>7683227813</v>
      </c>
      <c r="F150">
        <v>6694514803</v>
      </c>
      <c r="G150">
        <v>6047135236</v>
      </c>
      <c r="H150">
        <v>6289752537</v>
      </c>
      <c r="I150">
        <v>3952659784</v>
      </c>
      <c r="J150">
        <v>3340676946</v>
      </c>
      <c r="K150">
        <v>1867881197</v>
      </c>
      <c r="L150">
        <v>423359266</v>
      </c>
      <c r="M150">
        <v>399071654</v>
      </c>
      <c r="N150">
        <v>381288819</v>
      </c>
      <c r="O150">
        <v>317917044</v>
      </c>
      <c r="P150">
        <v>1003</v>
      </c>
      <c r="Q150" t="s">
        <v>384</v>
      </c>
    </row>
    <row r="151" spans="1:17" x14ac:dyDescent="0.3">
      <c r="A151" t="s">
        <v>17</v>
      </c>
      <c r="B151" t="str">
        <f>"600968"</f>
        <v>600968</v>
      </c>
      <c r="C151" t="s">
        <v>385</v>
      </c>
      <c r="D151" t="s">
        <v>227</v>
      </c>
      <c r="E151">
        <v>7669723548</v>
      </c>
      <c r="F151">
        <v>7013207997</v>
      </c>
      <c r="G151">
        <v>7943665214</v>
      </c>
      <c r="H151">
        <v>0</v>
      </c>
      <c r="I151">
        <v>0</v>
      </c>
      <c r="P151">
        <v>189</v>
      </c>
      <c r="Q151" t="s">
        <v>386</v>
      </c>
    </row>
    <row r="152" spans="1:17" x14ac:dyDescent="0.3">
      <c r="A152" t="s">
        <v>73</v>
      </c>
      <c r="B152" t="str">
        <f>"000528"</f>
        <v>000528</v>
      </c>
      <c r="C152" t="s">
        <v>387</v>
      </c>
      <c r="D152" t="s">
        <v>75</v>
      </c>
      <c r="E152">
        <v>7634568953</v>
      </c>
      <c r="F152">
        <v>6357028551</v>
      </c>
      <c r="G152">
        <v>5136216964</v>
      </c>
      <c r="H152">
        <v>4789307348</v>
      </c>
      <c r="I152">
        <v>3900428537</v>
      </c>
      <c r="J152">
        <v>3069608198</v>
      </c>
      <c r="K152">
        <v>3870821929</v>
      </c>
      <c r="L152">
        <v>3791259178</v>
      </c>
      <c r="M152">
        <v>3943783244</v>
      </c>
      <c r="N152">
        <v>3188094322</v>
      </c>
      <c r="O152">
        <v>2638332118</v>
      </c>
      <c r="P152">
        <v>481</v>
      </c>
      <c r="Q152" t="s">
        <v>388</v>
      </c>
    </row>
    <row r="153" spans="1:17" x14ac:dyDescent="0.3">
      <c r="A153" t="s">
        <v>17</v>
      </c>
      <c r="B153" t="str">
        <f>"688425"</f>
        <v>688425</v>
      </c>
      <c r="C153" t="s">
        <v>389</v>
      </c>
      <c r="D153" t="s">
        <v>75</v>
      </c>
      <c r="E153">
        <v>7630486353</v>
      </c>
      <c r="F153">
        <v>6437491501</v>
      </c>
      <c r="P153">
        <v>40</v>
      </c>
      <c r="Q153" t="s">
        <v>390</v>
      </c>
    </row>
    <row r="154" spans="1:17" x14ac:dyDescent="0.3">
      <c r="A154" t="s">
        <v>17</v>
      </c>
      <c r="B154" t="str">
        <f>"600372"</f>
        <v>600372</v>
      </c>
      <c r="C154" t="s">
        <v>391</v>
      </c>
      <c r="D154" t="s">
        <v>130</v>
      </c>
      <c r="E154">
        <v>7585224032</v>
      </c>
      <c r="F154">
        <v>7678891934</v>
      </c>
      <c r="G154">
        <v>6972932942</v>
      </c>
      <c r="H154">
        <v>7060859982</v>
      </c>
      <c r="I154">
        <v>6087663587</v>
      </c>
      <c r="J154">
        <v>5567056110</v>
      </c>
      <c r="K154">
        <v>4612781862</v>
      </c>
      <c r="L154">
        <v>4142685941</v>
      </c>
      <c r="M154">
        <v>3479331004</v>
      </c>
      <c r="N154">
        <v>2254194126</v>
      </c>
      <c r="O154">
        <v>1903703737</v>
      </c>
      <c r="P154">
        <v>433</v>
      </c>
      <c r="Q154" t="s">
        <v>392</v>
      </c>
    </row>
    <row r="155" spans="1:17" x14ac:dyDescent="0.3">
      <c r="A155" t="s">
        <v>73</v>
      </c>
      <c r="B155" t="str">
        <f>"002493"</f>
        <v>002493</v>
      </c>
      <c r="C155" t="s">
        <v>393</v>
      </c>
      <c r="D155" t="s">
        <v>36</v>
      </c>
      <c r="E155">
        <v>7554748741</v>
      </c>
      <c r="F155">
        <v>5951677693</v>
      </c>
      <c r="G155">
        <v>1067059986</v>
      </c>
      <c r="H155">
        <v>611416221</v>
      </c>
      <c r="I155">
        <v>1053663774</v>
      </c>
      <c r="J155">
        <v>1084045089</v>
      </c>
      <c r="K155">
        <v>605622476</v>
      </c>
      <c r="L155">
        <v>288474201</v>
      </c>
      <c r="M155">
        <v>267548481</v>
      </c>
      <c r="N155">
        <v>240924511</v>
      </c>
      <c r="O155">
        <v>22723427</v>
      </c>
      <c r="P155">
        <v>852</v>
      </c>
      <c r="Q155" t="s">
        <v>394</v>
      </c>
    </row>
    <row r="156" spans="1:17" x14ac:dyDescent="0.3">
      <c r="A156" t="s">
        <v>73</v>
      </c>
      <c r="B156" t="str">
        <f>"002600"</f>
        <v>002600</v>
      </c>
      <c r="C156" t="s">
        <v>395</v>
      </c>
      <c r="D156" t="s">
        <v>42</v>
      </c>
      <c r="E156">
        <v>7528092279</v>
      </c>
      <c r="F156">
        <v>6667801036</v>
      </c>
      <c r="G156">
        <v>4966115290</v>
      </c>
      <c r="H156">
        <v>5078285940</v>
      </c>
      <c r="I156">
        <v>4713398037</v>
      </c>
      <c r="J156">
        <v>2715992575</v>
      </c>
      <c r="K156">
        <v>1191194764</v>
      </c>
      <c r="L156">
        <v>513967923</v>
      </c>
      <c r="M156">
        <v>326817107</v>
      </c>
      <c r="N156">
        <v>288161369</v>
      </c>
      <c r="O156">
        <v>222169387</v>
      </c>
      <c r="P156">
        <v>877</v>
      </c>
      <c r="Q156" t="s">
        <v>396</v>
      </c>
    </row>
    <row r="157" spans="1:17" x14ac:dyDescent="0.3">
      <c r="A157" t="s">
        <v>17</v>
      </c>
      <c r="B157" t="str">
        <f>"600023"</f>
        <v>600023</v>
      </c>
      <c r="C157" t="s">
        <v>397</v>
      </c>
      <c r="D157" t="s">
        <v>71</v>
      </c>
      <c r="E157">
        <v>7524048798</v>
      </c>
      <c r="F157">
        <v>6663834774</v>
      </c>
      <c r="G157">
        <v>4460356025</v>
      </c>
      <c r="H157">
        <v>6361562282</v>
      </c>
      <c r="I157">
        <v>5049107657</v>
      </c>
      <c r="J157">
        <v>5261965545</v>
      </c>
      <c r="K157">
        <v>4098694577</v>
      </c>
      <c r="L157">
        <v>4094189037</v>
      </c>
      <c r="M157">
        <v>4195483945</v>
      </c>
      <c r="N157">
        <v>0</v>
      </c>
      <c r="P157">
        <v>918</v>
      </c>
      <c r="Q157" t="s">
        <v>398</v>
      </c>
    </row>
    <row r="158" spans="1:17" x14ac:dyDescent="0.3">
      <c r="A158" t="s">
        <v>17</v>
      </c>
      <c r="B158" t="str">
        <f>"601615"</f>
        <v>601615</v>
      </c>
      <c r="C158" t="s">
        <v>399</v>
      </c>
      <c r="D158" t="s">
        <v>136</v>
      </c>
      <c r="E158">
        <v>7500382523</v>
      </c>
      <c r="F158">
        <v>3854210583</v>
      </c>
      <c r="G158">
        <v>4721746496</v>
      </c>
      <c r="H158">
        <v>6054128615</v>
      </c>
      <c r="I158">
        <v>0</v>
      </c>
      <c r="P158">
        <v>1067</v>
      </c>
      <c r="Q158" t="s">
        <v>400</v>
      </c>
    </row>
    <row r="159" spans="1:17" x14ac:dyDescent="0.3">
      <c r="A159" t="s">
        <v>17</v>
      </c>
      <c r="B159" t="str">
        <f>"688187"</f>
        <v>688187</v>
      </c>
      <c r="C159" t="s">
        <v>401</v>
      </c>
      <c r="D159" t="s">
        <v>47</v>
      </c>
      <c r="E159">
        <v>7499882243</v>
      </c>
      <c r="P159">
        <v>59</v>
      </c>
      <c r="Q159" t="s">
        <v>402</v>
      </c>
    </row>
    <row r="160" spans="1:17" x14ac:dyDescent="0.3">
      <c r="A160" t="s">
        <v>73</v>
      </c>
      <c r="B160" t="str">
        <f>"002230"</f>
        <v>002230</v>
      </c>
      <c r="C160" t="s">
        <v>403</v>
      </c>
      <c r="D160" t="s">
        <v>404</v>
      </c>
      <c r="E160">
        <v>7462256223</v>
      </c>
      <c r="F160">
        <v>5747461139</v>
      </c>
      <c r="G160">
        <v>3792550041</v>
      </c>
      <c r="H160">
        <v>4144963270</v>
      </c>
      <c r="I160">
        <v>2758552734</v>
      </c>
      <c r="J160">
        <v>2120315456</v>
      </c>
      <c r="K160">
        <v>1656729401</v>
      </c>
      <c r="L160">
        <v>1261689245</v>
      </c>
      <c r="M160">
        <v>742518394</v>
      </c>
      <c r="N160">
        <v>478331724</v>
      </c>
      <c r="O160">
        <v>344340695</v>
      </c>
      <c r="P160">
        <v>3020</v>
      </c>
      <c r="Q160" t="s">
        <v>405</v>
      </c>
    </row>
    <row r="161" spans="1:17" x14ac:dyDescent="0.3">
      <c r="A161" t="s">
        <v>17</v>
      </c>
      <c r="B161" t="str">
        <f>"600079"</f>
        <v>600079</v>
      </c>
      <c r="C161" t="s">
        <v>406</v>
      </c>
      <c r="D161" t="s">
        <v>348</v>
      </c>
      <c r="E161">
        <v>7458411071</v>
      </c>
      <c r="F161">
        <v>6531613468</v>
      </c>
      <c r="G161">
        <v>7205642829</v>
      </c>
      <c r="H161">
        <v>7184055959</v>
      </c>
      <c r="I161">
        <v>6230737242</v>
      </c>
      <c r="J161">
        <v>4967005701</v>
      </c>
      <c r="K161">
        <v>4068815211</v>
      </c>
      <c r="L161">
        <v>2876155169</v>
      </c>
      <c r="M161">
        <v>2105485939</v>
      </c>
      <c r="N161">
        <v>1633723081</v>
      </c>
      <c r="O161">
        <v>936379198</v>
      </c>
      <c r="P161">
        <v>941</v>
      </c>
      <c r="Q161" t="s">
        <v>407</v>
      </c>
    </row>
    <row r="162" spans="1:17" x14ac:dyDescent="0.3">
      <c r="A162" t="s">
        <v>17</v>
      </c>
      <c r="B162" t="str">
        <f>"600956"</f>
        <v>600956</v>
      </c>
      <c r="C162" t="s">
        <v>408</v>
      </c>
      <c r="D162" t="s">
        <v>133</v>
      </c>
      <c r="E162">
        <v>7346476577</v>
      </c>
      <c r="F162">
        <v>5491213863</v>
      </c>
      <c r="G162">
        <v>4012670714</v>
      </c>
      <c r="H162">
        <v>0</v>
      </c>
      <c r="P162">
        <v>204</v>
      </c>
      <c r="Q162" t="s">
        <v>409</v>
      </c>
    </row>
    <row r="163" spans="1:17" x14ac:dyDescent="0.3">
      <c r="A163" t="s">
        <v>73</v>
      </c>
      <c r="B163" t="str">
        <f>"000767"</f>
        <v>000767</v>
      </c>
      <c r="C163" t="s">
        <v>410</v>
      </c>
      <c r="D163" t="s">
        <v>71</v>
      </c>
      <c r="E163">
        <v>7323102302</v>
      </c>
      <c r="F163">
        <v>5356089322</v>
      </c>
      <c r="G163">
        <v>4447959134</v>
      </c>
      <c r="H163">
        <v>3467569422</v>
      </c>
      <c r="I163">
        <v>2647792401</v>
      </c>
      <c r="J163">
        <v>2040589935</v>
      </c>
      <c r="K163">
        <v>1485050485</v>
      </c>
      <c r="L163">
        <v>1491929481</v>
      </c>
      <c r="M163">
        <v>1921382735</v>
      </c>
      <c r="N163">
        <v>1709713256</v>
      </c>
      <c r="O163">
        <v>703314278</v>
      </c>
      <c r="P163">
        <v>173</v>
      </c>
      <c r="Q163" t="s">
        <v>411</v>
      </c>
    </row>
    <row r="164" spans="1:17" x14ac:dyDescent="0.3">
      <c r="A164" t="s">
        <v>73</v>
      </c>
      <c r="B164" t="str">
        <f>"000539"</f>
        <v>000539</v>
      </c>
      <c r="C164" t="s">
        <v>412</v>
      </c>
      <c r="D164" t="s">
        <v>71</v>
      </c>
      <c r="E164">
        <v>7275250794</v>
      </c>
      <c r="F164">
        <v>4617487103</v>
      </c>
      <c r="G164">
        <v>2559444787</v>
      </c>
      <c r="H164">
        <v>2565480167</v>
      </c>
      <c r="I164">
        <v>2777704159</v>
      </c>
      <c r="J164">
        <v>2761070936</v>
      </c>
      <c r="K164">
        <v>1983421665</v>
      </c>
      <c r="L164">
        <v>2478124662</v>
      </c>
      <c r="M164">
        <v>3310397911</v>
      </c>
      <c r="N164">
        <v>3269527199</v>
      </c>
      <c r="O164">
        <v>1763750100</v>
      </c>
      <c r="P164">
        <v>203</v>
      </c>
      <c r="Q164" t="s">
        <v>413</v>
      </c>
    </row>
    <row r="165" spans="1:17" x14ac:dyDescent="0.3">
      <c r="A165" t="s">
        <v>17</v>
      </c>
      <c r="B165" t="str">
        <f>"600335"</f>
        <v>600335</v>
      </c>
      <c r="C165" t="s">
        <v>414</v>
      </c>
      <c r="D165" t="s">
        <v>415</v>
      </c>
      <c r="E165">
        <v>7243727964</v>
      </c>
      <c r="F165">
        <v>4759805679</v>
      </c>
      <c r="G165">
        <v>4387610679</v>
      </c>
      <c r="H165">
        <v>2236394077</v>
      </c>
      <c r="I165">
        <v>1933259451</v>
      </c>
      <c r="J165">
        <v>1017483733</v>
      </c>
      <c r="K165">
        <v>678940799</v>
      </c>
      <c r="L165">
        <v>1260288471</v>
      </c>
      <c r="M165">
        <v>283657812</v>
      </c>
      <c r="N165">
        <v>195763669</v>
      </c>
      <c r="O165">
        <v>48509468</v>
      </c>
      <c r="P165">
        <v>150</v>
      </c>
      <c r="Q165" t="s">
        <v>416</v>
      </c>
    </row>
    <row r="166" spans="1:17" x14ac:dyDescent="0.3">
      <c r="A166" t="s">
        <v>73</v>
      </c>
      <c r="B166" t="str">
        <f>"002384"</f>
        <v>002384</v>
      </c>
      <c r="C166" t="s">
        <v>417</v>
      </c>
      <c r="D166" t="s">
        <v>418</v>
      </c>
      <c r="E166">
        <v>7233704394</v>
      </c>
      <c r="F166">
        <v>6746367349</v>
      </c>
      <c r="G166">
        <v>5536085494</v>
      </c>
      <c r="H166">
        <v>0</v>
      </c>
      <c r="I166">
        <v>5354627611</v>
      </c>
      <c r="J166">
        <v>3399890612</v>
      </c>
      <c r="K166">
        <v>1903242721</v>
      </c>
      <c r="L166">
        <v>1124535696</v>
      </c>
      <c r="M166">
        <v>727203691</v>
      </c>
      <c r="N166">
        <v>519651187</v>
      </c>
      <c r="O166">
        <v>357301135</v>
      </c>
      <c r="P166">
        <v>1070</v>
      </c>
      <c r="Q166" t="s">
        <v>419</v>
      </c>
    </row>
    <row r="167" spans="1:17" x14ac:dyDescent="0.3">
      <c r="A167" t="s">
        <v>73</v>
      </c>
      <c r="B167" t="str">
        <f>"000050"</f>
        <v>000050</v>
      </c>
      <c r="C167" t="s">
        <v>420</v>
      </c>
      <c r="D167" t="s">
        <v>97</v>
      </c>
      <c r="E167">
        <v>7226211880</v>
      </c>
      <c r="F167">
        <v>6660558290</v>
      </c>
      <c r="G167">
        <v>4742414179</v>
      </c>
      <c r="H167">
        <v>5979208229</v>
      </c>
      <c r="I167">
        <v>6579568724</v>
      </c>
      <c r="J167">
        <v>2492868827</v>
      </c>
      <c r="K167">
        <v>1715291793</v>
      </c>
      <c r="L167">
        <v>2307433279</v>
      </c>
      <c r="M167">
        <v>1068325258</v>
      </c>
      <c r="N167">
        <v>999728448</v>
      </c>
      <c r="O167">
        <v>864891955</v>
      </c>
      <c r="P167">
        <v>621</v>
      </c>
      <c r="Q167" t="s">
        <v>421</v>
      </c>
    </row>
    <row r="168" spans="1:17" x14ac:dyDescent="0.3">
      <c r="A168" t="s">
        <v>17</v>
      </c>
      <c r="B168" t="str">
        <f>"601717"</f>
        <v>601717</v>
      </c>
      <c r="C168" t="s">
        <v>422</v>
      </c>
      <c r="D168" t="s">
        <v>311</v>
      </c>
      <c r="E168">
        <v>7059313580</v>
      </c>
      <c r="F168">
        <v>6551455838</v>
      </c>
      <c r="G168">
        <v>4921410908</v>
      </c>
      <c r="H168">
        <v>5132680274</v>
      </c>
      <c r="I168">
        <v>2807330400</v>
      </c>
      <c r="J168">
        <v>2238381842</v>
      </c>
      <c r="K168">
        <v>3322268247</v>
      </c>
      <c r="L168">
        <v>3500214370</v>
      </c>
      <c r="M168">
        <v>4097859841</v>
      </c>
      <c r="N168">
        <v>3706678896</v>
      </c>
      <c r="O168">
        <v>1786788446</v>
      </c>
      <c r="P168">
        <v>318</v>
      </c>
      <c r="Q168" t="s">
        <v>423</v>
      </c>
    </row>
    <row r="169" spans="1:17" x14ac:dyDescent="0.3">
      <c r="A169" t="s">
        <v>73</v>
      </c>
      <c r="B169" t="str">
        <f>"300058"</f>
        <v>300058</v>
      </c>
      <c r="C169" t="s">
        <v>424</v>
      </c>
      <c r="D169" t="s">
        <v>425</v>
      </c>
      <c r="E169">
        <v>7024419163</v>
      </c>
      <c r="F169">
        <v>8840179887</v>
      </c>
      <c r="G169">
        <v>7060598060</v>
      </c>
      <c r="H169">
        <v>6418054293</v>
      </c>
      <c r="I169">
        <v>6725594182</v>
      </c>
      <c r="J169">
        <v>4925706316</v>
      </c>
      <c r="K169">
        <v>3639175843</v>
      </c>
      <c r="L169">
        <v>2374977181</v>
      </c>
      <c r="M169">
        <v>1240841533</v>
      </c>
      <c r="N169">
        <v>740746896</v>
      </c>
      <c r="O169">
        <v>437038722</v>
      </c>
      <c r="P169">
        <v>457</v>
      </c>
      <c r="Q169" t="s">
        <v>426</v>
      </c>
    </row>
    <row r="170" spans="1:17" x14ac:dyDescent="0.3">
      <c r="A170" t="s">
        <v>73</v>
      </c>
      <c r="B170" t="str">
        <f>"000951"</f>
        <v>000951</v>
      </c>
      <c r="C170" t="s">
        <v>427</v>
      </c>
      <c r="D170" t="s">
        <v>428</v>
      </c>
      <c r="E170">
        <v>7001719673</v>
      </c>
      <c r="F170">
        <v>7263949135</v>
      </c>
      <c r="G170">
        <v>4113982656</v>
      </c>
      <c r="H170">
        <v>5504047209</v>
      </c>
      <c r="I170">
        <v>4292875603</v>
      </c>
      <c r="J170">
        <v>3496292561</v>
      </c>
      <c r="K170">
        <v>5168992970</v>
      </c>
      <c r="L170">
        <v>4254944190</v>
      </c>
      <c r="M170">
        <v>2345094143</v>
      </c>
      <c r="N170">
        <v>1743055473</v>
      </c>
      <c r="O170">
        <v>2687881706</v>
      </c>
      <c r="P170">
        <v>856</v>
      </c>
      <c r="Q170" t="s">
        <v>429</v>
      </c>
    </row>
    <row r="171" spans="1:17" x14ac:dyDescent="0.3">
      <c r="A171" t="s">
        <v>17</v>
      </c>
      <c r="B171" t="str">
        <f>"600008"</f>
        <v>600008</v>
      </c>
      <c r="C171" t="s">
        <v>430</v>
      </c>
      <c r="D171" t="s">
        <v>308</v>
      </c>
      <c r="E171">
        <v>6979615199</v>
      </c>
      <c r="F171">
        <v>5407280522</v>
      </c>
      <c r="G171">
        <v>3983863351</v>
      </c>
      <c r="H171">
        <v>2825989504</v>
      </c>
      <c r="I171">
        <v>2564050215</v>
      </c>
      <c r="J171">
        <v>2274974899</v>
      </c>
      <c r="K171">
        <v>1542312309</v>
      </c>
      <c r="L171">
        <v>964696392</v>
      </c>
      <c r="M171">
        <v>1634654935</v>
      </c>
      <c r="N171">
        <v>1400226180</v>
      </c>
      <c r="O171">
        <v>959310621</v>
      </c>
      <c r="P171">
        <v>445</v>
      </c>
      <c r="Q171" t="s">
        <v>431</v>
      </c>
    </row>
    <row r="172" spans="1:17" x14ac:dyDescent="0.3">
      <c r="A172" t="s">
        <v>17</v>
      </c>
      <c r="B172" t="str">
        <f>"600879"</f>
        <v>600879</v>
      </c>
      <c r="C172" t="s">
        <v>432</v>
      </c>
      <c r="D172" t="s">
        <v>433</v>
      </c>
      <c r="E172">
        <v>6946068000</v>
      </c>
      <c r="F172">
        <v>6977399378</v>
      </c>
      <c r="G172">
        <v>6650097111</v>
      </c>
      <c r="H172">
        <v>6898333251</v>
      </c>
      <c r="I172">
        <v>7560259095</v>
      </c>
      <c r="J172">
        <v>5795451433</v>
      </c>
      <c r="K172">
        <v>2201721645</v>
      </c>
      <c r="L172">
        <v>1622960975</v>
      </c>
      <c r="M172">
        <v>965213986</v>
      </c>
      <c r="N172">
        <v>725246407</v>
      </c>
      <c r="O172">
        <v>706809816</v>
      </c>
      <c r="P172">
        <v>359</v>
      </c>
      <c r="Q172" t="s">
        <v>434</v>
      </c>
    </row>
    <row r="173" spans="1:17" x14ac:dyDescent="0.3">
      <c r="A173" t="s">
        <v>73</v>
      </c>
      <c r="B173" t="str">
        <f>"002060"</f>
        <v>002060</v>
      </c>
      <c r="C173" t="s">
        <v>435</v>
      </c>
      <c r="D173" t="s">
        <v>22</v>
      </c>
      <c r="E173">
        <v>6863287787</v>
      </c>
      <c r="F173">
        <v>6035322325</v>
      </c>
      <c r="G173">
        <v>3809229568</v>
      </c>
      <c r="H173">
        <v>2164704362</v>
      </c>
      <c r="I173">
        <v>1623926051</v>
      </c>
      <c r="J173">
        <v>1418333184</v>
      </c>
      <c r="K173">
        <v>1235788304</v>
      </c>
      <c r="L173">
        <v>1033945847</v>
      </c>
      <c r="M173">
        <v>874685803</v>
      </c>
      <c r="N173">
        <v>471499956</v>
      </c>
      <c r="O173">
        <v>387729176</v>
      </c>
      <c r="P173">
        <v>169</v>
      </c>
      <c r="Q173" t="s">
        <v>436</v>
      </c>
    </row>
    <row r="174" spans="1:17" x14ac:dyDescent="0.3">
      <c r="A174" t="s">
        <v>73</v>
      </c>
      <c r="B174" t="str">
        <f>"000411"</f>
        <v>000411</v>
      </c>
      <c r="C174" t="s">
        <v>437</v>
      </c>
      <c r="D174" t="s">
        <v>50</v>
      </c>
      <c r="E174">
        <v>6861435606</v>
      </c>
      <c r="F174">
        <v>6153859230</v>
      </c>
      <c r="G174">
        <v>5580541490</v>
      </c>
      <c r="H174">
        <v>5301846938</v>
      </c>
      <c r="I174">
        <v>4598260226</v>
      </c>
      <c r="J174">
        <v>4240821092</v>
      </c>
      <c r="K174">
        <v>3509150541</v>
      </c>
      <c r="L174">
        <v>3253254872</v>
      </c>
      <c r="M174">
        <v>2784460484</v>
      </c>
      <c r="N174">
        <v>2470571681</v>
      </c>
      <c r="O174">
        <v>2113886247</v>
      </c>
      <c r="P174">
        <v>236</v>
      </c>
      <c r="Q174" t="s">
        <v>438</v>
      </c>
    </row>
    <row r="175" spans="1:17" x14ac:dyDescent="0.3">
      <c r="A175" t="s">
        <v>73</v>
      </c>
      <c r="B175" t="str">
        <f>"002065"</f>
        <v>002065</v>
      </c>
      <c r="C175" t="s">
        <v>439</v>
      </c>
      <c r="D175" t="s">
        <v>302</v>
      </c>
      <c r="E175">
        <v>6812093213</v>
      </c>
      <c r="F175">
        <v>6021921449</v>
      </c>
      <c r="G175">
        <v>6593693597</v>
      </c>
      <c r="H175">
        <v>6548069981</v>
      </c>
      <c r="I175">
        <v>4921430187</v>
      </c>
      <c r="J175">
        <v>4956392360</v>
      </c>
      <c r="K175">
        <v>4116124799</v>
      </c>
      <c r="L175">
        <v>3352204504</v>
      </c>
      <c r="M175">
        <v>2177531565</v>
      </c>
      <c r="N175">
        <v>1226211516</v>
      </c>
      <c r="O175">
        <v>786485791</v>
      </c>
      <c r="P175">
        <v>942</v>
      </c>
      <c r="Q175" t="s">
        <v>440</v>
      </c>
    </row>
    <row r="176" spans="1:17" x14ac:dyDescent="0.3">
      <c r="A176" t="s">
        <v>17</v>
      </c>
      <c r="B176" t="str">
        <f>"600699"</f>
        <v>600699</v>
      </c>
      <c r="C176" t="s">
        <v>441</v>
      </c>
      <c r="D176" t="s">
        <v>442</v>
      </c>
      <c r="E176">
        <v>6775336605</v>
      </c>
      <c r="F176">
        <v>7310882716</v>
      </c>
      <c r="G176">
        <v>7046071250</v>
      </c>
      <c r="H176">
        <v>10323537233</v>
      </c>
      <c r="I176">
        <v>4513932544</v>
      </c>
      <c r="J176">
        <v>4653781723</v>
      </c>
      <c r="K176">
        <v>1691750143</v>
      </c>
      <c r="L176">
        <v>1322137100</v>
      </c>
      <c r="M176">
        <v>977817826</v>
      </c>
      <c r="N176">
        <v>843701815</v>
      </c>
      <c r="O176">
        <v>338965325</v>
      </c>
      <c r="P176">
        <v>958</v>
      </c>
      <c r="Q176" t="s">
        <v>443</v>
      </c>
    </row>
    <row r="177" spans="1:17" x14ac:dyDescent="0.3">
      <c r="A177" t="s">
        <v>73</v>
      </c>
      <c r="B177" t="str">
        <f>"002310"</f>
        <v>002310</v>
      </c>
      <c r="C177" t="s">
        <v>444</v>
      </c>
      <c r="D177" t="s">
        <v>445</v>
      </c>
      <c r="E177">
        <v>6641770808</v>
      </c>
      <c r="F177">
        <v>8018439237</v>
      </c>
      <c r="G177">
        <v>9251159762</v>
      </c>
      <c r="H177">
        <v>8046045733</v>
      </c>
      <c r="I177">
        <v>8717318670</v>
      </c>
      <c r="J177">
        <v>5122631495</v>
      </c>
      <c r="K177">
        <v>3876080505</v>
      </c>
      <c r="L177">
        <v>3613599734</v>
      </c>
      <c r="M177">
        <v>3065265655</v>
      </c>
      <c r="N177">
        <v>1745548335</v>
      </c>
      <c r="O177">
        <v>1227696658</v>
      </c>
      <c r="P177">
        <v>1194</v>
      </c>
      <c r="Q177" t="s">
        <v>446</v>
      </c>
    </row>
    <row r="178" spans="1:17" x14ac:dyDescent="0.3">
      <c r="A178" t="s">
        <v>73</v>
      </c>
      <c r="B178" t="str">
        <f>"002459"</f>
        <v>002459</v>
      </c>
      <c r="C178" t="s">
        <v>447</v>
      </c>
      <c r="D178" t="s">
        <v>305</v>
      </c>
      <c r="E178">
        <v>6532411349</v>
      </c>
      <c r="F178">
        <v>4579410661</v>
      </c>
      <c r="G178">
        <v>4093079910</v>
      </c>
      <c r="H178">
        <v>329534849</v>
      </c>
      <c r="I178">
        <v>307240421</v>
      </c>
      <c r="J178">
        <v>249257479</v>
      </c>
      <c r="K178">
        <v>263668496</v>
      </c>
      <c r="L178">
        <v>266491374</v>
      </c>
      <c r="M178">
        <v>265913346</v>
      </c>
      <c r="N178">
        <v>455920234</v>
      </c>
      <c r="O178">
        <v>645516256</v>
      </c>
      <c r="P178">
        <v>1227</v>
      </c>
      <c r="Q178" t="s">
        <v>448</v>
      </c>
    </row>
    <row r="179" spans="1:17" x14ac:dyDescent="0.3">
      <c r="A179" t="s">
        <v>73</v>
      </c>
      <c r="B179" t="str">
        <f>"000703"</f>
        <v>000703</v>
      </c>
      <c r="C179" t="s">
        <v>449</v>
      </c>
      <c r="D179" t="s">
        <v>36</v>
      </c>
      <c r="E179">
        <v>6505490537</v>
      </c>
      <c r="F179">
        <v>3786968807</v>
      </c>
      <c r="G179">
        <v>3465649711</v>
      </c>
      <c r="H179">
        <v>1652498865</v>
      </c>
      <c r="I179">
        <v>1276376327</v>
      </c>
      <c r="J179">
        <v>968630796</v>
      </c>
      <c r="K179">
        <v>1043562302</v>
      </c>
      <c r="L179">
        <v>801360001</v>
      </c>
      <c r="M179">
        <v>840072171</v>
      </c>
      <c r="N179">
        <v>621008348</v>
      </c>
      <c r="O179">
        <v>618171675</v>
      </c>
      <c r="P179">
        <v>581</v>
      </c>
      <c r="Q179" t="s">
        <v>450</v>
      </c>
    </row>
    <row r="180" spans="1:17" x14ac:dyDescent="0.3">
      <c r="A180" t="s">
        <v>17</v>
      </c>
      <c r="B180" t="str">
        <f>"600362"</f>
        <v>600362</v>
      </c>
      <c r="C180" t="s">
        <v>451</v>
      </c>
      <c r="D180" t="s">
        <v>452</v>
      </c>
      <c r="E180">
        <v>6428488560</v>
      </c>
      <c r="F180">
        <v>4862615900</v>
      </c>
      <c r="G180">
        <v>4969799730</v>
      </c>
      <c r="H180">
        <v>6703600727</v>
      </c>
      <c r="I180">
        <v>11938164377</v>
      </c>
      <c r="J180">
        <v>12553213036</v>
      </c>
      <c r="K180">
        <v>11620877166</v>
      </c>
      <c r="L180">
        <v>9237690578</v>
      </c>
      <c r="M180">
        <v>8297009252</v>
      </c>
      <c r="N180">
        <v>4498003164</v>
      </c>
      <c r="O180">
        <v>3309729063</v>
      </c>
      <c r="P180">
        <v>911</v>
      </c>
      <c r="Q180" t="s">
        <v>453</v>
      </c>
    </row>
    <row r="181" spans="1:17" x14ac:dyDescent="0.3">
      <c r="A181" t="s">
        <v>17</v>
      </c>
      <c r="B181" t="str">
        <f>"603882"</f>
        <v>603882</v>
      </c>
      <c r="C181" t="s">
        <v>454</v>
      </c>
      <c r="D181" t="s">
        <v>345</v>
      </c>
      <c r="E181">
        <v>6421568884</v>
      </c>
      <c r="F181">
        <v>3435655013</v>
      </c>
      <c r="G181">
        <v>1761223858</v>
      </c>
      <c r="H181">
        <v>1520629879</v>
      </c>
      <c r="I181">
        <v>1177964505</v>
      </c>
      <c r="P181">
        <v>1844</v>
      </c>
      <c r="Q181" t="s">
        <v>455</v>
      </c>
    </row>
    <row r="182" spans="1:17" x14ac:dyDescent="0.3">
      <c r="A182" t="s">
        <v>73</v>
      </c>
      <c r="B182" t="str">
        <f>"002091"</f>
        <v>002091</v>
      </c>
      <c r="C182" t="s">
        <v>456</v>
      </c>
      <c r="D182" t="s">
        <v>299</v>
      </c>
      <c r="E182">
        <v>6394752971</v>
      </c>
      <c r="F182">
        <v>3970342162</v>
      </c>
      <c r="G182">
        <v>3628963505</v>
      </c>
      <c r="H182">
        <v>0</v>
      </c>
      <c r="I182">
        <v>3705531076</v>
      </c>
      <c r="J182">
        <v>3766955861</v>
      </c>
      <c r="K182">
        <v>977389934</v>
      </c>
      <c r="L182">
        <v>684744919</v>
      </c>
      <c r="M182">
        <v>525182417</v>
      </c>
      <c r="N182">
        <v>487191404</v>
      </c>
      <c r="O182">
        <v>479987117</v>
      </c>
      <c r="P182">
        <v>509</v>
      </c>
      <c r="Q182" t="s">
        <v>457</v>
      </c>
    </row>
    <row r="183" spans="1:17" x14ac:dyDescent="0.3">
      <c r="A183" t="s">
        <v>17</v>
      </c>
      <c r="B183" t="str">
        <f>"603259"</f>
        <v>603259</v>
      </c>
      <c r="C183" t="s">
        <v>458</v>
      </c>
      <c r="D183" t="s">
        <v>459</v>
      </c>
      <c r="E183">
        <v>6389675899</v>
      </c>
      <c r="F183">
        <v>3873508429</v>
      </c>
      <c r="G183">
        <v>2803336145</v>
      </c>
      <c r="H183">
        <v>2192497773</v>
      </c>
      <c r="I183">
        <v>1703009842</v>
      </c>
      <c r="J183">
        <v>0</v>
      </c>
      <c r="P183">
        <v>3985</v>
      </c>
      <c r="Q183" t="s">
        <v>460</v>
      </c>
    </row>
    <row r="184" spans="1:17" x14ac:dyDescent="0.3">
      <c r="A184" t="s">
        <v>17</v>
      </c>
      <c r="B184" t="str">
        <f>"600196"</f>
        <v>600196</v>
      </c>
      <c r="C184" t="s">
        <v>461</v>
      </c>
      <c r="D184" t="s">
        <v>348</v>
      </c>
      <c r="E184">
        <v>6361379873</v>
      </c>
      <c r="F184">
        <v>5063380996</v>
      </c>
      <c r="G184">
        <v>4273671584</v>
      </c>
      <c r="H184">
        <v>4057747447</v>
      </c>
      <c r="I184">
        <v>3335799679</v>
      </c>
      <c r="J184">
        <v>2242246990</v>
      </c>
      <c r="K184">
        <v>1761694057</v>
      </c>
      <c r="L184">
        <v>1539654179</v>
      </c>
      <c r="M184">
        <v>1456020583</v>
      </c>
      <c r="N184">
        <v>1007633259</v>
      </c>
      <c r="O184">
        <v>1030689362</v>
      </c>
      <c r="P184">
        <v>3821</v>
      </c>
      <c r="Q184" t="s">
        <v>462</v>
      </c>
    </row>
    <row r="185" spans="1:17" x14ac:dyDescent="0.3">
      <c r="A185" t="s">
        <v>73</v>
      </c>
      <c r="B185" t="str">
        <f>"200625"</f>
        <v>200625</v>
      </c>
      <c r="C185" t="s">
        <v>463</v>
      </c>
      <c r="E185">
        <v>6314736915.0699997</v>
      </c>
      <c r="F185">
        <v>2600180096.8800001</v>
      </c>
      <c r="G185">
        <v>2001186297.0237</v>
      </c>
      <c r="H185">
        <v>0</v>
      </c>
      <c r="I185">
        <v>2573037518.4860001</v>
      </c>
      <c r="J185">
        <v>2738614246.6711998</v>
      </c>
      <c r="K185">
        <v>1525506155.6551001</v>
      </c>
      <c r="L185">
        <v>1935175641.25</v>
      </c>
      <c r="M185">
        <v>872641593.44200003</v>
      </c>
      <c r="N185">
        <v>731500781.14559996</v>
      </c>
      <c r="O185">
        <v>448851251.32200003</v>
      </c>
      <c r="P185">
        <v>710</v>
      </c>
      <c r="Q185" t="s">
        <v>464</v>
      </c>
    </row>
    <row r="186" spans="1:17" x14ac:dyDescent="0.3">
      <c r="A186" t="s">
        <v>73</v>
      </c>
      <c r="B186" t="str">
        <f>"000652"</f>
        <v>000652</v>
      </c>
      <c r="C186" t="s">
        <v>465</v>
      </c>
      <c r="D186" t="s">
        <v>466</v>
      </c>
      <c r="E186">
        <v>6293495220</v>
      </c>
      <c r="F186">
        <v>5311078710</v>
      </c>
      <c r="G186">
        <v>6782416198</v>
      </c>
      <c r="H186">
        <v>5078938652</v>
      </c>
      <c r="I186">
        <v>3526148119</v>
      </c>
      <c r="J186">
        <v>2884388346</v>
      </c>
      <c r="K186">
        <v>998542471</v>
      </c>
      <c r="L186">
        <v>1053369916</v>
      </c>
      <c r="M186">
        <v>580683259</v>
      </c>
      <c r="N186">
        <v>553267278</v>
      </c>
      <c r="O186">
        <v>182757020</v>
      </c>
      <c r="P186">
        <v>196</v>
      </c>
      <c r="Q186" t="s">
        <v>467</v>
      </c>
    </row>
    <row r="187" spans="1:17" x14ac:dyDescent="0.3">
      <c r="A187" t="s">
        <v>17</v>
      </c>
      <c r="B187" t="str">
        <f>"600803"</f>
        <v>600803</v>
      </c>
      <c r="C187" t="s">
        <v>468</v>
      </c>
      <c r="D187" t="s">
        <v>469</v>
      </c>
      <c r="E187">
        <v>6275160000</v>
      </c>
      <c r="F187">
        <v>4882750000</v>
      </c>
      <c r="G187">
        <v>1113389849</v>
      </c>
      <c r="H187">
        <v>1353192150</v>
      </c>
      <c r="I187">
        <v>1189720366</v>
      </c>
      <c r="J187">
        <v>905098658</v>
      </c>
      <c r="K187">
        <v>848356777</v>
      </c>
      <c r="L187">
        <v>158134357</v>
      </c>
      <c r="M187">
        <v>147308358</v>
      </c>
      <c r="N187">
        <v>128874831</v>
      </c>
      <c r="O187">
        <v>156205160</v>
      </c>
      <c r="P187">
        <v>577</v>
      </c>
      <c r="Q187" t="s">
        <v>470</v>
      </c>
    </row>
    <row r="188" spans="1:17" x14ac:dyDescent="0.3">
      <c r="A188" t="s">
        <v>73</v>
      </c>
      <c r="B188" t="str">
        <f>"000826"</f>
        <v>000826</v>
      </c>
      <c r="C188" t="s">
        <v>471</v>
      </c>
      <c r="D188" t="s">
        <v>472</v>
      </c>
      <c r="E188">
        <v>6274531369</v>
      </c>
      <c r="F188">
        <v>5617914607</v>
      </c>
      <c r="G188">
        <v>6881245109</v>
      </c>
      <c r="H188">
        <v>6412734752</v>
      </c>
      <c r="I188">
        <v>4583673472</v>
      </c>
      <c r="J188">
        <v>3226637539</v>
      </c>
      <c r="K188">
        <v>2770120530</v>
      </c>
      <c r="L188">
        <v>2788688985</v>
      </c>
      <c r="M188">
        <v>2299182076</v>
      </c>
      <c r="N188">
        <v>1857971586</v>
      </c>
      <c r="O188">
        <v>1194426511</v>
      </c>
      <c r="P188">
        <v>559</v>
      </c>
      <c r="Q188" t="s">
        <v>473</v>
      </c>
    </row>
    <row r="189" spans="1:17" x14ac:dyDescent="0.3">
      <c r="A189" t="s">
        <v>17</v>
      </c>
      <c r="B189" t="str">
        <f>"600312"</f>
        <v>600312</v>
      </c>
      <c r="C189" t="s">
        <v>474</v>
      </c>
      <c r="D189" t="s">
        <v>224</v>
      </c>
      <c r="E189">
        <v>6261130702</v>
      </c>
      <c r="F189">
        <v>7581987010</v>
      </c>
      <c r="G189">
        <v>7438821480</v>
      </c>
      <c r="H189">
        <v>10275578548</v>
      </c>
      <c r="I189">
        <v>8065102520</v>
      </c>
      <c r="J189">
        <v>6696857347</v>
      </c>
      <c r="K189">
        <v>5617044946</v>
      </c>
      <c r="L189">
        <v>4125951989</v>
      </c>
      <c r="M189">
        <v>2925293256</v>
      </c>
      <c r="N189">
        <v>2291289705</v>
      </c>
      <c r="O189">
        <v>1415822187</v>
      </c>
      <c r="P189">
        <v>634</v>
      </c>
      <c r="Q189" t="s">
        <v>475</v>
      </c>
    </row>
    <row r="190" spans="1:17" x14ac:dyDescent="0.3">
      <c r="A190" t="s">
        <v>73</v>
      </c>
      <c r="B190" t="str">
        <f>"002456"</f>
        <v>002456</v>
      </c>
      <c r="C190" t="s">
        <v>476</v>
      </c>
      <c r="D190" t="s">
        <v>477</v>
      </c>
      <c r="E190">
        <v>6217247325</v>
      </c>
      <c r="F190">
        <v>8033523672</v>
      </c>
      <c r="G190">
        <v>7301749022</v>
      </c>
      <c r="H190">
        <v>8759901804</v>
      </c>
      <c r="I190">
        <v>7590194970</v>
      </c>
      <c r="J190">
        <v>7106094832</v>
      </c>
      <c r="K190">
        <v>4408462086</v>
      </c>
      <c r="L190">
        <v>3176593014</v>
      </c>
      <c r="M190">
        <v>2183043400</v>
      </c>
      <c r="N190">
        <v>990880690</v>
      </c>
      <c r="O190">
        <v>354264668</v>
      </c>
      <c r="P190">
        <v>1607</v>
      </c>
      <c r="Q190" t="s">
        <v>478</v>
      </c>
    </row>
    <row r="191" spans="1:17" x14ac:dyDescent="0.3">
      <c r="A191" t="s">
        <v>17</v>
      </c>
      <c r="B191" t="str">
        <f>"600320"</f>
        <v>600320</v>
      </c>
      <c r="C191" t="s">
        <v>479</v>
      </c>
      <c r="D191" t="s">
        <v>311</v>
      </c>
      <c r="E191">
        <v>6195620679</v>
      </c>
      <c r="F191">
        <v>7450429407</v>
      </c>
      <c r="G191">
        <v>9611721974</v>
      </c>
      <c r="H191">
        <v>5833280952</v>
      </c>
      <c r="I191">
        <v>4211003063</v>
      </c>
      <c r="J191">
        <v>4473786165</v>
      </c>
      <c r="K191">
        <v>4144336039</v>
      </c>
      <c r="L191">
        <v>3532956691</v>
      </c>
      <c r="M191">
        <v>3953243124</v>
      </c>
      <c r="N191">
        <v>3314640150</v>
      </c>
      <c r="O191">
        <v>3997889211</v>
      </c>
      <c r="P191">
        <v>190</v>
      </c>
      <c r="Q191" t="s">
        <v>480</v>
      </c>
    </row>
    <row r="192" spans="1:17" x14ac:dyDescent="0.3">
      <c r="A192" t="s">
        <v>73</v>
      </c>
      <c r="B192" t="str">
        <f>"002146"</f>
        <v>002146</v>
      </c>
      <c r="C192" t="s">
        <v>481</v>
      </c>
      <c r="D192" t="s">
        <v>27</v>
      </c>
      <c r="E192">
        <v>6154844701</v>
      </c>
      <c r="F192">
        <v>5467152463</v>
      </c>
      <c r="G192">
        <v>5268758213</v>
      </c>
      <c r="H192">
        <v>2661561085</v>
      </c>
      <c r="I192">
        <v>957795641</v>
      </c>
      <c r="J192">
        <v>385712921</v>
      </c>
      <c r="K192">
        <v>834381762</v>
      </c>
      <c r="L192">
        <v>244112137</v>
      </c>
      <c r="M192">
        <v>146012992</v>
      </c>
      <c r="N192">
        <v>176315796</v>
      </c>
      <c r="O192">
        <v>48753687</v>
      </c>
      <c r="P192">
        <v>12588</v>
      </c>
      <c r="Q192" t="s">
        <v>482</v>
      </c>
    </row>
    <row r="193" spans="1:17" x14ac:dyDescent="0.3">
      <c r="A193" t="s">
        <v>73</v>
      </c>
      <c r="B193" t="str">
        <f>"002037"</f>
        <v>002037</v>
      </c>
      <c r="C193" t="s">
        <v>483</v>
      </c>
      <c r="D193" t="s">
        <v>484</v>
      </c>
      <c r="E193">
        <v>6150976561</v>
      </c>
      <c r="F193">
        <v>6390340018</v>
      </c>
      <c r="G193">
        <v>5363970462</v>
      </c>
      <c r="H193">
        <v>5073977676</v>
      </c>
      <c r="I193">
        <v>3947207174</v>
      </c>
      <c r="J193">
        <v>2169781134</v>
      </c>
      <c r="K193">
        <v>1848384405</v>
      </c>
      <c r="L193">
        <v>2144355222</v>
      </c>
      <c r="M193">
        <v>1629672038</v>
      </c>
      <c r="N193">
        <v>1286379933</v>
      </c>
      <c r="O193">
        <v>686112487</v>
      </c>
      <c r="P193">
        <v>81</v>
      </c>
      <c r="Q193" t="s">
        <v>485</v>
      </c>
    </row>
    <row r="194" spans="1:17" x14ac:dyDescent="0.3">
      <c r="A194" t="s">
        <v>17</v>
      </c>
      <c r="B194" t="str">
        <f>"600970"</f>
        <v>600970</v>
      </c>
      <c r="C194" t="s">
        <v>486</v>
      </c>
      <c r="D194" t="s">
        <v>487</v>
      </c>
      <c r="E194">
        <v>6134828072</v>
      </c>
      <c r="F194">
        <v>3623920214</v>
      </c>
      <c r="G194">
        <v>3859954308</v>
      </c>
      <c r="H194">
        <v>3882490700</v>
      </c>
      <c r="I194">
        <v>2871676991</v>
      </c>
      <c r="J194">
        <v>3203954878</v>
      </c>
      <c r="K194">
        <v>3636154874</v>
      </c>
      <c r="L194">
        <v>3296807970</v>
      </c>
      <c r="M194">
        <v>3272088425</v>
      </c>
      <c r="N194">
        <v>3281752212</v>
      </c>
      <c r="O194">
        <v>2226862432</v>
      </c>
      <c r="P194">
        <v>853</v>
      </c>
      <c r="Q194" t="s">
        <v>488</v>
      </c>
    </row>
    <row r="195" spans="1:17" x14ac:dyDescent="0.3">
      <c r="A195" t="s">
        <v>17</v>
      </c>
      <c r="B195" t="str">
        <f>"600881"</f>
        <v>600881</v>
      </c>
      <c r="C195" t="s">
        <v>489</v>
      </c>
      <c r="D195" t="s">
        <v>466</v>
      </c>
      <c r="E195">
        <v>6109383390</v>
      </c>
      <c r="F195">
        <v>5916080082</v>
      </c>
      <c r="G195">
        <v>6102949857</v>
      </c>
      <c r="H195">
        <v>6642536008</v>
      </c>
      <c r="I195">
        <v>6375376415</v>
      </c>
      <c r="J195">
        <v>1900056521</v>
      </c>
      <c r="K195">
        <v>2240637411</v>
      </c>
      <c r="L195">
        <v>2417476535</v>
      </c>
      <c r="M195">
        <v>1720951863</v>
      </c>
      <c r="N195">
        <v>1059168230</v>
      </c>
      <c r="O195">
        <v>611744903</v>
      </c>
      <c r="P195">
        <v>144</v>
      </c>
      <c r="Q195" t="s">
        <v>490</v>
      </c>
    </row>
    <row r="196" spans="1:17" x14ac:dyDescent="0.3">
      <c r="A196" t="s">
        <v>17</v>
      </c>
      <c r="B196" t="str">
        <f>"601699"</f>
        <v>601699</v>
      </c>
      <c r="C196" t="s">
        <v>491</v>
      </c>
      <c r="D196" t="s">
        <v>492</v>
      </c>
      <c r="E196">
        <v>6089299007</v>
      </c>
      <c r="F196">
        <v>4749095484</v>
      </c>
      <c r="G196">
        <v>5971396897</v>
      </c>
      <c r="H196">
        <v>5071966954</v>
      </c>
      <c r="I196">
        <v>5005438344</v>
      </c>
      <c r="J196">
        <v>4240117999</v>
      </c>
      <c r="K196">
        <v>4476435870</v>
      </c>
      <c r="L196">
        <v>2692651772</v>
      </c>
      <c r="M196">
        <v>1949938660</v>
      </c>
      <c r="N196">
        <v>1500600049</v>
      </c>
      <c r="O196">
        <v>904752663</v>
      </c>
      <c r="P196">
        <v>791</v>
      </c>
      <c r="Q196" t="s">
        <v>493</v>
      </c>
    </row>
    <row r="197" spans="1:17" x14ac:dyDescent="0.3">
      <c r="A197" t="s">
        <v>17</v>
      </c>
      <c r="B197" t="str">
        <f>"601609"</f>
        <v>601609</v>
      </c>
      <c r="C197" t="s">
        <v>494</v>
      </c>
      <c r="D197" t="s">
        <v>452</v>
      </c>
      <c r="E197">
        <v>6079707004</v>
      </c>
      <c r="F197">
        <v>4883678754</v>
      </c>
      <c r="G197">
        <v>2553743224</v>
      </c>
      <c r="P197">
        <v>106</v>
      </c>
      <c r="Q197" t="s">
        <v>495</v>
      </c>
    </row>
    <row r="198" spans="1:17" x14ac:dyDescent="0.3">
      <c r="A198" t="s">
        <v>73</v>
      </c>
      <c r="B198" t="str">
        <f>"002203"</f>
        <v>002203</v>
      </c>
      <c r="C198" t="s">
        <v>496</v>
      </c>
      <c r="D198" t="s">
        <v>452</v>
      </c>
      <c r="E198">
        <v>6075155762</v>
      </c>
      <c r="F198">
        <v>5259305954</v>
      </c>
      <c r="G198">
        <v>5068598308</v>
      </c>
      <c r="H198">
        <v>4557240861</v>
      </c>
      <c r="I198">
        <v>3761176161</v>
      </c>
      <c r="J198">
        <v>2334553523</v>
      </c>
      <c r="K198">
        <v>1524175689</v>
      </c>
      <c r="L198">
        <v>1089743524</v>
      </c>
      <c r="M198">
        <v>999847811</v>
      </c>
      <c r="N198">
        <v>1128023674</v>
      </c>
      <c r="O198">
        <v>914992654</v>
      </c>
      <c r="P198">
        <v>239</v>
      </c>
      <c r="Q198" t="s">
        <v>497</v>
      </c>
    </row>
    <row r="199" spans="1:17" x14ac:dyDescent="0.3">
      <c r="A199" t="s">
        <v>73</v>
      </c>
      <c r="B199" t="str">
        <f>"002008"</f>
        <v>002008</v>
      </c>
      <c r="C199" t="s">
        <v>498</v>
      </c>
      <c r="D199" t="s">
        <v>499</v>
      </c>
      <c r="E199">
        <v>6062998948</v>
      </c>
      <c r="F199">
        <v>4269865154</v>
      </c>
      <c r="G199">
        <v>3612178924</v>
      </c>
      <c r="H199">
        <v>4485403257</v>
      </c>
      <c r="I199">
        <v>3125440329</v>
      </c>
      <c r="J199">
        <v>2383285912</v>
      </c>
      <c r="K199">
        <v>1736882794</v>
      </c>
      <c r="L199">
        <v>1624177701</v>
      </c>
      <c r="M199">
        <v>1286970046</v>
      </c>
      <c r="N199">
        <v>1380782084</v>
      </c>
      <c r="O199">
        <v>1086895577</v>
      </c>
      <c r="P199">
        <v>4830</v>
      </c>
      <c r="Q199" t="s">
        <v>500</v>
      </c>
    </row>
    <row r="200" spans="1:17" x14ac:dyDescent="0.3">
      <c r="A200" t="s">
        <v>73</v>
      </c>
      <c r="B200" t="str">
        <f>"002179"</f>
        <v>002179</v>
      </c>
      <c r="C200" t="s">
        <v>501</v>
      </c>
      <c r="D200" t="s">
        <v>502</v>
      </c>
      <c r="E200">
        <v>6036692540</v>
      </c>
      <c r="F200">
        <v>5841264940</v>
      </c>
      <c r="G200">
        <v>4691767102</v>
      </c>
      <c r="H200">
        <v>4557082996</v>
      </c>
      <c r="I200">
        <v>3406885441</v>
      </c>
      <c r="J200">
        <v>2636081975</v>
      </c>
      <c r="K200">
        <v>2377947305</v>
      </c>
      <c r="L200">
        <v>1928879151</v>
      </c>
      <c r="M200">
        <v>1609811179</v>
      </c>
      <c r="N200">
        <v>1067221315</v>
      </c>
      <c r="O200">
        <v>880387262</v>
      </c>
      <c r="P200">
        <v>1738</v>
      </c>
      <c r="Q200" t="s">
        <v>503</v>
      </c>
    </row>
    <row r="201" spans="1:17" x14ac:dyDescent="0.3">
      <c r="A201" t="s">
        <v>73</v>
      </c>
      <c r="B201" t="str">
        <f>"000400"</f>
        <v>000400</v>
      </c>
      <c r="C201" t="s">
        <v>504</v>
      </c>
      <c r="D201" t="s">
        <v>161</v>
      </c>
      <c r="E201">
        <v>6036143578</v>
      </c>
      <c r="F201">
        <v>7325667107</v>
      </c>
      <c r="G201">
        <v>7584492322</v>
      </c>
      <c r="H201">
        <v>7506878049</v>
      </c>
      <c r="I201">
        <v>7726839753</v>
      </c>
      <c r="J201">
        <v>7564213684</v>
      </c>
      <c r="K201">
        <v>7329831065</v>
      </c>
      <c r="L201">
        <v>5903965496</v>
      </c>
      <c r="M201">
        <v>5051325259</v>
      </c>
      <c r="N201">
        <v>3353077761</v>
      </c>
      <c r="O201">
        <v>2718470735</v>
      </c>
      <c r="P201">
        <v>688</v>
      </c>
      <c r="Q201" t="s">
        <v>505</v>
      </c>
    </row>
    <row r="202" spans="1:17" x14ac:dyDescent="0.3">
      <c r="A202" t="s">
        <v>17</v>
      </c>
      <c r="B202" t="str">
        <f>"600549"</f>
        <v>600549</v>
      </c>
      <c r="C202" t="s">
        <v>506</v>
      </c>
      <c r="D202" t="s">
        <v>507</v>
      </c>
      <c r="E202">
        <v>6019303342</v>
      </c>
      <c r="F202">
        <v>3321031852</v>
      </c>
      <c r="G202">
        <v>2297260979</v>
      </c>
      <c r="H202">
        <v>2593274819</v>
      </c>
      <c r="I202">
        <v>1971344255</v>
      </c>
      <c r="J202">
        <v>1484592695</v>
      </c>
      <c r="K202">
        <v>1067901025</v>
      </c>
      <c r="L202">
        <v>1069992326</v>
      </c>
      <c r="M202">
        <v>1123767845</v>
      </c>
      <c r="N202">
        <v>977811250</v>
      </c>
      <c r="O202">
        <v>1351190053</v>
      </c>
      <c r="P202">
        <v>446</v>
      </c>
      <c r="Q202" t="s">
        <v>508</v>
      </c>
    </row>
    <row r="203" spans="1:17" x14ac:dyDescent="0.3">
      <c r="A203" t="s">
        <v>73</v>
      </c>
      <c r="B203" t="str">
        <f>"300433"</f>
        <v>300433</v>
      </c>
      <c r="C203" t="s">
        <v>509</v>
      </c>
      <c r="D203" t="s">
        <v>42</v>
      </c>
      <c r="E203">
        <v>6002871106</v>
      </c>
      <c r="F203">
        <v>8587399021</v>
      </c>
      <c r="G203">
        <v>5522711782</v>
      </c>
      <c r="H203">
        <v>4020345039</v>
      </c>
      <c r="I203">
        <v>3598530334</v>
      </c>
      <c r="J203">
        <v>3134630032</v>
      </c>
      <c r="K203">
        <v>2522909741</v>
      </c>
      <c r="L203">
        <v>2716727411</v>
      </c>
      <c r="M203">
        <v>0</v>
      </c>
      <c r="P203">
        <v>1652</v>
      </c>
      <c r="Q203" t="s">
        <v>510</v>
      </c>
    </row>
    <row r="204" spans="1:17" x14ac:dyDescent="0.3">
      <c r="A204" t="s">
        <v>17</v>
      </c>
      <c r="B204" t="str">
        <f>"601012"</f>
        <v>601012</v>
      </c>
      <c r="C204" t="s">
        <v>511</v>
      </c>
      <c r="D204" t="s">
        <v>512</v>
      </c>
      <c r="E204">
        <v>5995858462</v>
      </c>
      <c r="F204">
        <v>8347201503</v>
      </c>
      <c r="G204">
        <v>3257361521</v>
      </c>
      <c r="H204">
        <v>3890100861</v>
      </c>
      <c r="I204">
        <v>4288972871</v>
      </c>
      <c r="J204">
        <v>2600342421</v>
      </c>
      <c r="K204">
        <v>1746681447</v>
      </c>
      <c r="L204">
        <v>703183931</v>
      </c>
      <c r="M204">
        <v>354785496</v>
      </c>
      <c r="N204">
        <v>442128757</v>
      </c>
      <c r="O204">
        <v>355087909</v>
      </c>
      <c r="P204">
        <v>6941</v>
      </c>
      <c r="Q204" t="s">
        <v>513</v>
      </c>
    </row>
    <row r="205" spans="1:17" x14ac:dyDescent="0.3">
      <c r="A205" t="s">
        <v>17</v>
      </c>
      <c r="B205" t="str">
        <f>"600973"</f>
        <v>600973</v>
      </c>
      <c r="C205" t="s">
        <v>514</v>
      </c>
      <c r="D205" t="s">
        <v>515</v>
      </c>
      <c r="E205">
        <v>5994787748</v>
      </c>
      <c r="F205">
        <v>4550871859</v>
      </c>
      <c r="G205">
        <v>4893050225</v>
      </c>
      <c r="H205">
        <v>5028846468</v>
      </c>
      <c r="I205">
        <v>5362152652</v>
      </c>
      <c r="J205">
        <v>4290695458</v>
      </c>
      <c r="K205">
        <v>3755017661</v>
      </c>
      <c r="L205">
        <v>3275921257</v>
      </c>
      <c r="M205">
        <v>2906091632</v>
      </c>
      <c r="N205">
        <v>2537549749</v>
      </c>
      <c r="O205">
        <v>2065516477</v>
      </c>
      <c r="P205">
        <v>116</v>
      </c>
      <c r="Q205" t="s">
        <v>516</v>
      </c>
    </row>
    <row r="206" spans="1:17" x14ac:dyDescent="0.3">
      <c r="A206" t="s">
        <v>17</v>
      </c>
      <c r="B206" t="str">
        <f>"600276"</f>
        <v>600276</v>
      </c>
      <c r="C206" t="s">
        <v>517</v>
      </c>
      <c r="D206" t="s">
        <v>348</v>
      </c>
      <c r="E206">
        <v>5938776998</v>
      </c>
      <c r="F206">
        <v>5700609577</v>
      </c>
      <c r="G206">
        <v>4588418062</v>
      </c>
      <c r="H206">
        <v>3843567112</v>
      </c>
      <c r="I206">
        <v>3521147098</v>
      </c>
      <c r="J206">
        <v>2409313003</v>
      </c>
      <c r="K206">
        <v>2115419196</v>
      </c>
      <c r="L206">
        <v>1970809244</v>
      </c>
      <c r="M206">
        <v>1664779115</v>
      </c>
      <c r="N206">
        <v>1511776805</v>
      </c>
      <c r="O206">
        <v>1534083222</v>
      </c>
      <c r="P206">
        <v>70860</v>
      </c>
      <c r="Q206" t="s">
        <v>518</v>
      </c>
    </row>
    <row r="207" spans="1:17" x14ac:dyDescent="0.3">
      <c r="A207" t="s">
        <v>17</v>
      </c>
      <c r="B207" t="str">
        <f>"600183"</f>
        <v>600183</v>
      </c>
      <c r="C207" t="s">
        <v>519</v>
      </c>
      <c r="D207" t="s">
        <v>418</v>
      </c>
      <c r="E207">
        <v>5933769919</v>
      </c>
      <c r="F207">
        <v>5413262781</v>
      </c>
      <c r="G207">
        <v>3984654467</v>
      </c>
      <c r="H207">
        <v>3577854625</v>
      </c>
      <c r="I207">
        <v>3639720032</v>
      </c>
      <c r="J207">
        <v>3089865271</v>
      </c>
      <c r="K207">
        <v>2583700930</v>
      </c>
      <c r="L207">
        <v>2460940587</v>
      </c>
      <c r="M207">
        <v>2294511524</v>
      </c>
      <c r="N207">
        <v>1969571329</v>
      </c>
      <c r="O207">
        <v>1884239123</v>
      </c>
      <c r="P207">
        <v>2338</v>
      </c>
      <c r="Q207" t="s">
        <v>520</v>
      </c>
    </row>
    <row r="208" spans="1:17" x14ac:dyDescent="0.3">
      <c r="A208" t="s">
        <v>73</v>
      </c>
      <c r="B208" t="str">
        <f>"000002"</f>
        <v>000002</v>
      </c>
      <c r="C208" t="s">
        <v>521</v>
      </c>
      <c r="D208" t="s">
        <v>27</v>
      </c>
      <c r="E208">
        <v>5926495545</v>
      </c>
      <c r="F208">
        <v>3323921628</v>
      </c>
      <c r="G208">
        <v>2627512620</v>
      </c>
      <c r="H208">
        <v>1837707526</v>
      </c>
      <c r="I208">
        <v>1476427432</v>
      </c>
      <c r="J208">
        <v>1734498135</v>
      </c>
      <c r="K208">
        <v>1617864149</v>
      </c>
      <c r="L208">
        <v>1614707134</v>
      </c>
      <c r="M208">
        <v>2926167656</v>
      </c>
      <c r="N208">
        <v>1818703513</v>
      </c>
      <c r="O208">
        <v>1254167201</v>
      </c>
      <c r="P208">
        <v>12436</v>
      </c>
      <c r="Q208" t="s">
        <v>522</v>
      </c>
    </row>
    <row r="209" spans="1:17" x14ac:dyDescent="0.3">
      <c r="A209" t="s">
        <v>17</v>
      </c>
      <c r="B209" t="str">
        <f>"601006"</f>
        <v>601006</v>
      </c>
      <c r="C209" t="s">
        <v>523</v>
      </c>
      <c r="D209" t="s">
        <v>524</v>
      </c>
      <c r="E209">
        <v>5885305179</v>
      </c>
      <c r="F209">
        <v>6983939200</v>
      </c>
      <c r="G209">
        <v>6165003601</v>
      </c>
      <c r="H209">
        <v>7313467757</v>
      </c>
      <c r="I209">
        <v>6329829504</v>
      </c>
      <c r="J209">
        <v>6056238676</v>
      </c>
      <c r="K209">
        <v>2117328938</v>
      </c>
      <c r="L209">
        <v>5210755133</v>
      </c>
      <c r="M209">
        <v>4234097421</v>
      </c>
      <c r="N209">
        <v>3906882777</v>
      </c>
      <c r="O209">
        <v>2373865301</v>
      </c>
      <c r="P209">
        <v>4202</v>
      </c>
      <c r="Q209" t="s">
        <v>525</v>
      </c>
    </row>
    <row r="210" spans="1:17" x14ac:dyDescent="0.3">
      <c r="A210" t="s">
        <v>17</v>
      </c>
      <c r="B210" t="str">
        <f>"600032"</f>
        <v>600032</v>
      </c>
      <c r="C210" t="s">
        <v>526</v>
      </c>
      <c r="D210" t="s">
        <v>278</v>
      </c>
      <c r="E210">
        <v>5862529701</v>
      </c>
      <c r="F210">
        <v>3697390747</v>
      </c>
      <c r="P210">
        <v>81</v>
      </c>
      <c r="Q210" t="s">
        <v>527</v>
      </c>
    </row>
    <row r="211" spans="1:17" x14ac:dyDescent="0.3">
      <c r="A211" t="s">
        <v>17</v>
      </c>
      <c r="B211" t="str">
        <f>"600511"</f>
        <v>600511</v>
      </c>
      <c r="C211" t="s">
        <v>528</v>
      </c>
      <c r="D211" t="s">
        <v>50</v>
      </c>
      <c r="E211">
        <v>5824662233</v>
      </c>
      <c r="F211">
        <v>11845701335</v>
      </c>
      <c r="G211">
        <v>10335328035</v>
      </c>
      <c r="H211">
        <v>10204307075</v>
      </c>
      <c r="I211">
        <v>9497939186</v>
      </c>
      <c r="J211">
        <v>2563443047</v>
      </c>
      <c r="K211">
        <v>2391374059</v>
      </c>
      <c r="L211">
        <v>2125890121</v>
      </c>
      <c r="M211">
        <v>1882454541</v>
      </c>
      <c r="N211">
        <v>1636942780</v>
      </c>
      <c r="O211">
        <v>1494406978</v>
      </c>
      <c r="P211">
        <v>24746</v>
      </c>
      <c r="Q211" t="s">
        <v>529</v>
      </c>
    </row>
    <row r="212" spans="1:17" x14ac:dyDescent="0.3">
      <c r="A212" t="s">
        <v>17</v>
      </c>
      <c r="B212" t="str">
        <f>"600188"</f>
        <v>600188</v>
      </c>
      <c r="C212" t="s">
        <v>530</v>
      </c>
      <c r="D212" t="s">
        <v>218</v>
      </c>
      <c r="E212">
        <v>5794251000</v>
      </c>
      <c r="F212">
        <v>3990281000</v>
      </c>
      <c r="G212">
        <v>8262159000</v>
      </c>
      <c r="H212">
        <v>3783581000</v>
      </c>
      <c r="I212">
        <v>4380920000</v>
      </c>
      <c r="J212">
        <v>2776571000</v>
      </c>
      <c r="K212">
        <v>2541105000</v>
      </c>
      <c r="L212">
        <v>1983837000</v>
      </c>
      <c r="M212">
        <v>1371417000</v>
      </c>
      <c r="N212">
        <v>1390839245</v>
      </c>
      <c r="O212">
        <v>742256835</v>
      </c>
      <c r="P212">
        <v>1939</v>
      </c>
      <c r="Q212" t="s">
        <v>531</v>
      </c>
    </row>
    <row r="213" spans="1:17" x14ac:dyDescent="0.3">
      <c r="A213" t="s">
        <v>73</v>
      </c>
      <c r="B213" t="str">
        <f>"002422"</f>
        <v>002422</v>
      </c>
      <c r="C213" t="s">
        <v>532</v>
      </c>
      <c r="D213" t="s">
        <v>348</v>
      </c>
      <c r="E213">
        <v>5750330778</v>
      </c>
      <c r="F213">
        <v>6065122804</v>
      </c>
      <c r="G213">
        <v>6454650699</v>
      </c>
      <c r="H213">
        <v>6495695816</v>
      </c>
      <c r="I213">
        <v>5956861305</v>
      </c>
      <c r="J213">
        <v>4004700152</v>
      </c>
      <c r="K213">
        <v>3081439131</v>
      </c>
      <c r="L213">
        <v>2743745016</v>
      </c>
      <c r="M213">
        <v>2461419824</v>
      </c>
      <c r="N213">
        <v>1877331973</v>
      </c>
      <c r="O213">
        <v>1446852311</v>
      </c>
      <c r="P213">
        <v>927</v>
      </c>
      <c r="Q213" t="s">
        <v>533</v>
      </c>
    </row>
    <row r="214" spans="1:17" x14ac:dyDescent="0.3">
      <c r="A214" t="s">
        <v>17</v>
      </c>
      <c r="B214" t="str">
        <f>"601399"</f>
        <v>601399</v>
      </c>
      <c r="C214" t="s">
        <v>534</v>
      </c>
      <c r="D214" t="s">
        <v>311</v>
      </c>
      <c r="E214">
        <v>5746775123</v>
      </c>
      <c r="F214">
        <v>4789008271</v>
      </c>
      <c r="M214">
        <v>3537121264</v>
      </c>
      <c r="N214">
        <v>4196642337</v>
      </c>
      <c r="O214">
        <v>3848142646</v>
      </c>
      <c r="P214">
        <v>53</v>
      </c>
      <c r="Q214" t="s">
        <v>535</v>
      </c>
    </row>
    <row r="215" spans="1:17" x14ac:dyDescent="0.3">
      <c r="A215" t="s">
        <v>73</v>
      </c>
      <c r="B215" t="str">
        <f>"002024"</f>
        <v>002024</v>
      </c>
      <c r="C215" t="s">
        <v>536</v>
      </c>
      <c r="D215" t="s">
        <v>537</v>
      </c>
      <c r="E215">
        <v>5736505000</v>
      </c>
      <c r="F215">
        <v>7227859000</v>
      </c>
      <c r="G215">
        <v>6675599000</v>
      </c>
      <c r="H215">
        <v>5454290000</v>
      </c>
      <c r="I215">
        <v>2939909000</v>
      </c>
      <c r="J215">
        <v>1426178000</v>
      </c>
      <c r="K215">
        <v>725887000</v>
      </c>
      <c r="L215">
        <v>1002109000</v>
      </c>
      <c r="M215">
        <v>776070000</v>
      </c>
      <c r="N215">
        <v>1447194000</v>
      </c>
      <c r="O215">
        <v>1180477000</v>
      </c>
      <c r="P215">
        <v>1902</v>
      </c>
      <c r="Q215" t="s">
        <v>538</v>
      </c>
    </row>
    <row r="216" spans="1:17" x14ac:dyDescent="0.3">
      <c r="A216" t="s">
        <v>73</v>
      </c>
      <c r="B216" t="str">
        <f>"000967"</f>
        <v>000967</v>
      </c>
      <c r="C216" t="s">
        <v>539</v>
      </c>
      <c r="D216" t="s">
        <v>540</v>
      </c>
      <c r="E216">
        <v>5727650931</v>
      </c>
      <c r="F216">
        <v>5658820463</v>
      </c>
      <c r="G216">
        <v>4908131345</v>
      </c>
      <c r="H216">
        <v>6165672355</v>
      </c>
      <c r="I216">
        <v>1722485446</v>
      </c>
      <c r="J216">
        <v>1571421311</v>
      </c>
      <c r="K216">
        <v>2693192930</v>
      </c>
      <c r="L216">
        <v>932800852</v>
      </c>
      <c r="M216">
        <v>883035505</v>
      </c>
      <c r="N216">
        <v>632224335</v>
      </c>
      <c r="O216">
        <v>671394195</v>
      </c>
      <c r="P216">
        <v>329</v>
      </c>
      <c r="Q216" t="s">
        <v>541</v>
      </c>
    </row>
    <row r="217" spans="1:17" x14ac:dyDescent="0.3">
      <c r="A217" t="s">
        <v>73</v>
      </c>
      <c r="B217" t="str">
        <f>"002788"</f>
        <v>002788</v>
      </c>
      <c r="C217" t="s">
        <v>542</v>
      </c>
      <c r="D217" t="s">
        <v>50</v>
      </c>
      <c r="E217">
        <v>5637510574</v>
      </c>
      <c r="F217">
        <v>4351361823</v>
      </c>
      <c r="G217">
        <v>3729099246</v>
      </c>
      <c r="H217">
        <v>3258672047</v>
      </c>
      <c r="I217">
        <v>2686994515</v>
      </c>
      <c r="J217">
        <v>1679732742</v>
      </c>
      <c r="K217">
        <v>2079087869</v>
      </c>
      <c r="L217">
        <v>0</v>
      </c>
      <c r="P217">
        <v>162</v>
      </c>
      <c r="Q217" t="s">
        <v>543</v>
      </c>
    </row>
    <row r="218" spans="1:17" x14ac:dyDescent="0.3">
      <c r="A218" t="s">
        <v>17</v>
      </c>
      <c r="B218" t="str">
        <f>"600686"</f>
        <v>600686</v>
      </c>
      <c r="C218" t="s">
        <v>544</v>
      </c>
      <c r="D218" t="s">
        <v>545</v>
      </c>
      <c r="E218">
        <v>5616383892</v>
      </c>
      <c r="F218">
        <v>4876885072</v>
      </c>
      <c r="G218">
        <v>9522105125</v>
      </c>
      <c r="H218">
        <v>11671138394</v>
      </c>
      <c r="I218">
        <v>13388498448</v>
      </c>
      <c r="J218">
        <v>9653210384</v>
      </c>
      <c r="K218">
        <v>13949101421</v>
      </c>
      <c r="L218">
        <v>8316066767</v>
      </c>
      <c r="M218">
        <v>6567843259</v>
      </c>
      <c r="N218">
        <v>5973067720</v>
      </c>
      <c r="O218">
        <v>4315496490</v>
      </c>
      <c r="P218">
        <v>177</v>
      </c>
      <c r="Q218" t="s">
        <v>546</v>
      </c>
    </row>
    <row r="219" spans="1:17" x14ac:dyDescent="0.3">
      <c r="A219" t="s">
        <v>73</v>
      </c>
      <c r="B219" t="str">
        <f>"000906"</f>
        <v>000906</v>
      </c>
      <c r="C219" t="s">
        <v>547</v>
      </c>
      <c r="D219" t="s">
        <v>192</v>
      </c>
      <c r="E219">
        <v>5604541974</v>
      </c>
      <c r="F219">
        <v>5293025382</v>
      </c>
      <c r="G219">
        <v>3886318097</v>
      </c>
      <c r="H219">
        <v>3522654547</v>
      </c>
      <c r="I219">
        <v>2792484026</v>
      </c>
      <c r="J219">
        <v>2049800094</v>
      </c>
      <c r="K219">
        <v>1469385345</v>
      </c>
      <c r="L219">
        <v>825436475</v>
      </c>
      <c r="M219">
        <v>777710263</v>
      </c>
      <c r="N219">
        <v>448512802</v>
      </c>
      <c r="O219">
        <v>437162250</v>
      </c>
      <c r="P219">
        <v>238</v>
      </c>
      <c r="Q219" t="s">
        <v>548</v>
      </c>
    </row>
    <row r="220" spans="1:17" x14ac:dyDescent="0.3">
      <c r="A220" t="s">
        <v>73</v>
      </c>
      <c r="B220" t="str">
        <f>"300014"</f>
        <v>300014</v>
      </c>
      <c r="C220" t="s">
        <v>549</v>
      </c>
      <c r="D220" t="s">
        <v>125</v>
      </c>
      <c r="E220">
        <v>5529060189</v>
      </c>
      <c r="F220">
        <v>3277345664</v>
      </c>
      <c r="G220">
        <v>2225991394</v>
      </c>
      <c r="H220">
        <v>1878841754</v>
      </c>
      <c r="I220">
        <v>1399331126</v>
      </c>
      <c r="J220">
        <v>880068692</v>
      </c>
      <c r="K220">
        <v>476222240</v>
      </c>
      <c r="L220">
        <v>310167463</v>
      </c>
      <c r="M220">
        <v>321774562</v>
      </c>
      <c r="N220">
        <v>276307231</v>
      </c>
      <c r="O220">
        <v>190335343</v>
      </c>
      <c r="P220">
        <v>2493</v>
      </c>
      <c r="Q220" t="s">
        <v>550</v>
      </c>
    </row>
    <row r="221" spans="1:17" x14ac:dyDescent="0.3">
      <c r="A221" t="s">
        <v>17</v>
      </c>
      <c r="B221" t="str">
        <f>"600133"</f>
        <v>600133</v>
      </c>
      <c r="C221" t="s">
        <v>551</v>
      </c>
      <c r="D221" t="s">
        <v>22</v>
      </c>
      <c r="E221">
        <v>5528058341</v>
      </c>
      <c r="F221">
        <v>4934017079</v>
      </c>
      <c r="G221">
        <v>4303168482</v>
      </c>
      <c r="H221">
        <v>3762522165</v>
      </c>
      <c r="I221">
        <v>2047812521</v>
      </c>
      <c r="J221">
        <v>2650397657</v>
      </c>
      <c r="K221">
        <v>2276335827</v>
      </c>
      <c r="L221">
        <v>1722335401</v>
      </c>
      <c r="M221">
        <v>841523108</v>
      </c>
      <c r="N221">
        <v>749149064</v>
      </c>
      <c r="O221">
        <v>167259200</v>
      </c>
      <c r="P221">
        <v>192</v>
      </c>
      <c r="Q221" t="s">
        <v>552</v>
      </c>
    </row>
    <row r="222" spans="1:17" x14ac:dyDescent="0.3">
      <c r="A222" t="s">
        <v>17</v>
      </c>
      <c r="B222" t="str">
        <f>"600667"</f>
        <v>600667</v>
      </c>
      <c r="C222" t="s">
        <v>553</v>
      </c>
      <c r="D222" t="s">
        <v>554</v>
      </c>
      <c r="E222">
        <v>5515367250</v>
      </c>
      <c r="F222">
        <v>4410133349</v>
      </c>
      <c r="G222">
        <v>4002987797</v>
      </c>
      <c r="H222">
        <v>3227299751</v>
      </c>
      <c r="I222">
        <v>3188548008</v>
      </c>
      <c r="J222">
        <v>2524979194</v>
      </c>
      <c r="K222">
        <v>699904490</v>
      </c>
      <c r="L222">
        <v>764000170</v>
      </c>
      <c r="M222">
        <v>678733863</v>
      </c>
      <c r="N222">
        <v>462537407</v>
      </c>
      <c r="O222">
        <v>456988981</v>
      </c>
      <c r="P222">
        <v>445</v>
      </c>
      <c r="Q222" t="s">
        <v>555</v>
      </c>
    </row>
    <row r="223" spans="1:17" x14ac:dyDescent="0.3">
      <c r="A223" t="s">
        <v>17</v>
      </c>
      <c r="B223" t="str">
        <f>"600131"</f>
        <v>600131</v>
      </c>
      <c r="C223" t="s">
        <v>556</v>
      </c>
      <c r="D223" t="s">
        <v>302</v>
      </c>
      <c r="E223">
        <v>5483504208</v>
      </c>
      <c r="F223">
        <v>5230007858</v>
      </c>
      <c r="G223">
        <v>3620808230</v>
      </c>
      <c r="H223">
        <v>1498737</v>
      </c>
      <c r="I223">
        <v>9695492</v>
      </c>
      <c r="J223">
        <v>5871610</v>
      </c>
      <c r="K223">
        <v>19793625</v>
      </c>
      <c r="L223">
        <v>5814012</v>
      </c>
      <c r="M223">
        <v>8795642</v>
      </c>
      <c r="N223">
        <v>18798339</v>
      </c>
      <c r="O223">
        <v>21701895</v>
      </c>
      <c r="P223">
        <v>209</v>
      </c>
      <c r="Q223" t="s">
        <v>557</v>
      </c>
    </row>
    <row r="224" spans="1:17" x14ac:dyDescent="0.3">
      <c r="A224" t="s">
        <v>17</v>
      </c>
      <c r="B224" t="str">
        <f>"600100"</f>
        <v>600100</v>
      </c>
      <c r="C224" t="s">
        <v>558</v>
      </c>
      <c r="D224" t="s">
        <v>158</v>
      </c>
      <c r="E224">
        <v>5462884201</v>
      </c>
      <c r="F224">
        <v>5685124159</v>
      </c>
      <c r="G224">
        <v>5534489745</v>
      </c>
      <c r="H224">
        <v>7381143969</v>
      </c>
      <c r="I224">
        <v>7099896787</v>
      </c>
      <c r="J224">
        <v>7191308254</v>
      </c>
      <c r="K224">
        <v>6964762680</v>
      </c>
      <c r="L224">
        <v>7100838388</v>
      </c>
      <c r="M224">
        <v>5586626998</v>
      </c>
      <c r="N224">
        <v>4744293498</v>
      </c>
      <c r="O224">
        <v>3944817663</v>
      </c>
      <c r="P224">
        <v>321</v>
      </c>
      <c r="Q224" t="s">
        <v>559</v>
      </c>
    </row>
    <row r="225" spans="1:17" x14ac:dyDescent="0.3">
      <c r="A225" t="s">
        <v>73</v>
      </c>
      <c r="B225" t="str">
        <f>"300919"</f>
        <v>300919</v>
      </c>
      <c r="C225" t="s">
        <v>560</v>
      </c>
      <c r="D225" t="s">
        <v>561</v>
      </c>
      <c r="E225">
        <v>5455579327</v>
      </c>
      <c r="F225">
        <v>2141587590</v>
      </c>
      <c r="G225">
        <v>812755200</v>
      </c>
      <c r="P225">
        <v>175</v>
      </c>
      <c r="Q225" t="s">
        <v>562</v>
      </c>
    </row>
    <row r="226" spans="1:17" x14ac:dyDescent="0.3">
      <c r="A226" t="s">
        <v>73</v>
      </c>
      <c r="B226" t="str">
        <f>"300001"</f>
        <v>300001</v>
      </c>
      <c r="C226" t="s">
        <v>563</v>
      </c>
      <c r="D226" t="s">
        <v>224</v>
      </c>
      <c r="E226">
        <v>5445472515</v>
      </c>
      <c r="F226">
        <v>4419629997</v>
      </c>
      <c r="G226">
        <v>4608683532</v>
      </c>
      <c r="H226">
        <v>4987464796</v>
      </c>
      <c r="I226">
        <v>5015682139</v>
      </c>
      <c r="J226">
        <v>3367275113</v>
      </c>
      <c r="K226">
        <v>2469396304</v>
      </c>
      <c r="L226">
        <v>1475104983</v>
      </c>
      <c r="M226">
        <v>1037810646</v>
      </c>
      <c r="N226">
        <v>689345727</v>
      </c>
      <c r="O226">
        <v>509797661</v>
      </c>
      <c r="P226">
        <v>530</v>
      </c>
      <c r="Q226" t="s">
        <v>564</v>
      </c>
    </row>
    <row r="227" spans="1:17" x14ac:dyDescent="0.3">
      <c r="A227" t="s">
        <v>73</v>
      </c>
      <c r="B227" t="str">
        <f>"002340"</f>
        <v>002340</v>
      </c>
      <c r="C227" t="s">
        <v>565</v>
      </c>
      <c r="D227" t="s">
        <v>561</v>
      </c>
      <c r="E227">
        <v>5419979135</v>
      </c>
      <c r="F227">
        <v>3413219917</v>
      </c>
      <c r="G227">
        <v>2490857585</v>
      </c>
      <c r="H227">
        <v>2281619102</v>
      </c>
      <c r="I227">
        <v>2340290827</v>
      </c>
      <c r="J227">
        <v>1817347447</v>
      </c>
      <c r="K227">
        <v>1548493789</v>
      </c>
      <c r="L227">
        <v>1091661410</v>
      </c>
      <c r="M227">
        <v>695327118</v>
      </c>
      <c r="N227">
        <v>309011631</v>
      </c>
      <c r="O227">
        <v>151817180</v>
      </c>
      <c r="P227">
        <v>1302</v>
      </c>
      <c r="Q227" t="s">
        <v>566</v>
      </c>
    </row>
    <row r="228" spans="1:17" x14ac:dyDescent="0.3">
      <c r="A228" t="s">
        <v>17</v>
      </c>
      <c r="B228" t="str">
        <f>"600169"</f>
        <v>600169</v>
      </c>
      <c r="C228" t="s">
        <v>567</v>
      </c>
      <c r="D228" t="s">
        <v>311</v>
      </c>
      <c r="E228">
        <v>5373658170</v>
      </c>
      <c r="F228">
        <v>3904281308</v>
      </c>
      <c r="G228">
        <v>6482353597</v>
      </c>
      <c r="H228">
        <v>7345169069</v>
      </c>
      <c r="I228">
        <v>7356626701</v>
      </c>
      <c r="J228">
        <v>7655290727</v>
      </c>
      <c r="K228">
        <v>8507951921</v>
      </c>
      <c r="L228">
        <v>8320595778</v>
      </c>
      <c r="M228">
        <v>8970060267</v>
      </c>
      <c r="N228">
        <v>8480561957</v>
      </c>
      <c r="O228">
        <v>7625662095</v>
      </c>
      <c r="P228">
        <v>133</v>
      </c>
      <c r="Q228" t="s">
        <v>568</v>
      </c>
    </row>
    <row r="229" spans="1:17" x14ac:dyDescent="0.3">
      <c r="A229" t="s">
        <v>17</v>
      </c>
      <c r="B229" t="str">
        <f>"600143"</f>
        <v>600143</v>
      </c>
      <c r="C229" t="s">
        <v>569</v>
      </c>
      <c r="D229" t="s">
        <v>570</v>
      </c>
      <c r="E229">
        <v>5326782978</v>
      </c>
      <c r="F229">
        <v>4482396889</v>
      </c>
      <c r="G229">
        <v>2819118683</v>
      </c>
      <c r="H229">
        <v>3900821500</v>
      </c>
      <c r="I229">
        <v>4061733500</v>
      </c>
      <c r="J229">
        <v>3863410083</v>
      </c>
      <c r="K229">
        <v>2846134433</v>
      </c>
      <c r="L229">
        <v>2585674393</v>
      </c>
      <c r="M229">
        <v>2457044983</v>
      </c>
      <c r="N229">
        <v>2547308303</v>
      </c>
      <c r="O229">
        <v>1871805602</v>
      </c>
      <c r="P229">
        <v>1349</v>
      </c>
      <c r="Q229" t="s">
        <v>571</v>
      </c>
    </row>
    <row r="230" spans="1:17" x14ac:dyDescent="0.3">
      <c r="A230" t="s">
        <v>17</v>
      </c>
      <c r="B230" t="str">
        <f>"601016"</f>
        <v>601016</v>
      </c>
      <c r="C230" t="s">
        <v>572</v>
      </c>
      <c r="D230" t="s">
        <v>133</v>
      </c>
      <c r="E230">
        <v>5304683136</v>
      </c>
      <c r="F230">
        <v>3843469149</v>
      </c>
      <c r="G230">
        <v>2819492122</v>
      </c>
      <c r="H230">
        <v>2121820532</v>
      </c>
      <c r="I230">
        <v>1579008628</v>
      </c>
      <c r="J230">
        <v>937068440</v>
      </c>
      <c r="K230">
        <v>558008331</v>
      </c>
      <c r="L230">
        <v>524379265</v>
      </c>
      <c r="M230">
        <v>0</v>
      </c>
      <c r="P230">
        <v>542</v>
      </c>
      <c r="Q230" t="s">
        <v>573</v>
      </c>
    </row>
    <row r="231" spans="1:17" x14ac:dyDescent="0.3">
      <c r="A231" t="s">
        <v>73</v>
      </c>
      <c r="B231" t="str">
        <f>"301236"</f>
        <v>301236</v>
      </c>
      <c r="C231" t="s">
        <v>574</v>
      </c>
      <c r="E231">
        <v>5282735564</v>
      </c>
      <c r="P231">
        <v>4</v>
      </c>
      <c r="Q231" t="s">
        <v>575</v>
      </c>
    </row>
    <row r="232" spans="1:17" x14ac:dyDescent="0.3">
      <c r="A232" t="s">
        <v>73</v>
      </c>
      <c r="B232" t="str">
        <f>"002831"</f>
        <v>002831</v>
      </c>
      <c r="C232" t="s">
        <v>576</v>
      </c>
      <c r="D232" t="s">
        <v>577</v>
      </c>
      <c r="E232">
        <v>5267243576</v>
      </c>
      <c r="F232">
        <v>4580815304</v>
      </c>
      <c r="G232">
        <v>3271320077</v>
      </c>
      <c r="H232">
        <v>2777639313</v>
      </c>
      <c r="I232">
        <v>2809897209</v>
      </c>
      <c r="J232">
        <v>2339924366</v>
      </c>
      <c r="K232">
        <v>0</v>
      </c>
      <c r="P232">
        <v>663</v>
      </c>
      <c r="Q232" t="s">
        <v>578</v>
      </c>
    </row>
    <row r="233" spans="1:17" x14ac:dyDescent="0.3">
      <c r="A233" t="s">
        <v>73</v>
      </c>
      <c r="B233" t="str">
        <f>"000537"</f>
        <v>000537</v>
      </c>
      <c r="C233" t="s">
        <v>579</v>
      </c>
      <c r="D233" t="s">
        <v>27</v>
      </c>
      <c r="E233">
        <v>5263877668</v>
      </c>
      <c r="F233">
        <v>27995719</v>
      </c>
      <c r="G233">
        <v>22250647</v>
      </c>
      <c r="H233">
        <v>8006664</v>
      </c>
      <c r="I233">
        <v>7856508</v>
      </c>
      <c r="J233">
        <v>0</v>
      </c>
      <c r="K233">
        <v>1430</v>
      </c>
      <c r="L233">
        <v>5190</v>
      </c>
      <c r="M233">
        <v>1350169</v>
      </c>
      <c r="N233">
        <v>468861</v>
      </c>
      <c r="O233">
        <v>1218358</v>
      </c>
      <c r="P233">
        <v>604</v>
      </c>
      <c r="Q233" t="s">
        <v>580</v>
      </c>
    </row>
    <row r="234" spans="1:17" x14ac:dyDescent="0.3">
      <c r="A234" t="s">
        <v>73</v>
      </c>
      <c r="B234" t="str">
        <f>"002482"</f>
        <v>002482</v>
      </c>
      <c r="C234" t="s">
        <v>581</v>
      </c>
      <c r="D234" t="s">
        <v>258</v>
      </c>
      <c r="E234">
        <v>5219576589</v>
      </c>
      <c r="F234">
        <v>4524904405</v>
      </c>
      <c r="G234">
        <v>11847282663</v>
      </c>
      <c r="H234">
        <v>9498525229</v>
      </c>
      <c r="I234">
        <v>8248542634</v>
      </c>
      <c r="J234">
        <v>8887021040</v>
      </c>
      <c r="K234">
        <v>7098509221</v>
      </c>
      <c r="L234">
        <v>7210389078</v>
      </c>
      <c r="M234">
        <v>4605826793</v>
      </c>
      <c r="N234">
        <v>3404695557</v>
      </c>
      <c r="O234">
        <v>2565186674</v>
      </c>
      <c r="P234">
        <v>112</v>
      </c>
      <c r="Q234" t="s">
        <v>582</v>
      </c>
    </row>
    <row r="235" spans="1:17" x14ac:dyDescent="0.3">
      <c r="A235" t="s">
        <v>17</v>
      </c>
      <c r="B235" t="str">
        <f>"601778"</f>
        <v>601778</v>
      </c>
      <c r="C235" t="s">
        <v>583</v>
      </c>
      <c r="D235" t="s">
        <v>278</v>
      </c>
      <c r="E235">
        <v>5175899656</v>
      </c>
      <c r="F235">
        <v>4192140429</v>
      </c>
      <c r="G235">
        <v>2174059024</v>
      </c>
      <c r="P235">
        <v>221</v>
      </c>
      <c r="Q235" t="s">
        <v>584</v>
      </c>
    </row>
    <row r="236" spans="1:17" x14ac:dyDescent="0.3">
      <c r="A236" t="s">
        <v>73</v>
      </c>
      <c r="B236" t="str">
        <f>"002938"</f>
        <v>002938</v>
      </c>
      <c r="C236" t="s">
        <v>585</v>
      </c>
      <c r="D236" t="s">
        <v>418</v>
      </c>
      <c r="E236">
        <v>5131936213</v>
      </c>
      <c r="F236">
        <v>4056958980</v>
      </c>
      <c r="G236">
        <v>3324025539</v>
      </c>
      <c r="H236">
        <v>3028975740</v>
      </c>
      <c r="I236">
        <v>2545550512</v>
      </c>
      <c r="P236">
        <v>961</v>
      </c>
      <c r="Q236" t="s">
        <v>586</v>
      </c>
    </row>
    <row r="237" spans="1:17" x14ac:dyDescent="0.3">
      <c r="A237" t="s">
        <v>17</v>
      </c>
      <c r="B237" t="str">
        <f>"600500"</f>
        <v>600500</v>
      </c>
      <c r="C237" t="s">
        <v>587</v>
      </c>
      <c r="D237" t="s">
        <v>588</v>
      </c>
      <c r="E237">
        <v>5126142738</v>
      </c>
      <c r="F237">
        <v>6462174476</v>
      </c>
      <c r="G237">
        <v>5861457091</v>
      </c>
      <c r="H237">
        <v>5762525760</v>
      </c>
      <c r="I237">
        <v>5672273002</v>
      </c>
      <c r="J237">
        <v>6199302324</v>
      </c>
      <c r="K237">
        <v>4033284157</v>
      </c>
      <c r="L237">
        <v>3304155466</v>
      </c>
      <c r="M237">
        <v>3067568928</v>
      </c>
      <c r="N237">
        <v>3627210577</v>
      </c>
      <c r="O237">
        <v>2713373910</v>
      </c>
      <c r="P237">
        <v>285</v>
      </c>
      <c r="Q237" t="s">
        <v>589</v>
      </c>
    </row>
    <row r="238" spans="1:17" x14ac:dyDescent="0.3">
      <c r="A238" t="s">
        <v>73</v>
      </c>
      <c r="B238" t="str">
        <f>"002505"</f>
        <v>002505</v>
      </c>
      <c r="C238" t="s">
        <v>590</v>
      </c>
      <c r="D238" t="s">
        <v>591</v>
      </c>
      <c r="E238">
        <v>5118602740</v>
      </c>
      <c r="F238">
        <v>3358282308</v>
      </c>
      <c r="G238">
        <v>3191893704</v>
      </c>
      <c r="H238">
        <v>3813714020</v>
      </c>
      <c r="I238">
        <v>2910380861</v>
      </c>
      <c r="J238">
        <v>2537391388</v>
      </c>
      <c r="K238">
        <v>84706800</v>
      </c>
      <c r="L238">
        <v>53389466</v>
      </c>
      <c r="M238">
        <v>5112325</v>
      </c>
      <c r="N238">
        <v>10078246</v>
      </c>
      <c r="O238">
        <v>5849966</v>
      </c>
      <c r="P238">
        <v>209</v>
      </c>
      <c r="Q238" t="s">
        <v>592</v>
      </c>
    </row>
    <row r="239" spans="1:17" x14ac:dyDescent="0.3">
      <c r="A239" t="s">
        <v>73</v>
      </c>
      <c r="B239" t="str">
        <f>"000625"</f>
        <v>000625</v>
      </c>
      <c r="C239" t="s">
        <v>593</v>
      </c>
      <c r="D239" t="s">
        <v>58</v>
      </c>
      <c r="E239">
        <v>5117290855</v>
      </c>
      <c r="F239">
        <v>2195171040</v>
      </c>
      <c r="G239">
        <v>1831079053</v>
      </c>
      <c r="H239">
        <v>0</v>
      </c>
      <c r="I239">
        <v>2057606972</v>
      </c>
      <c r="J239">
        <v>2427419116</v>
      </c>
      <c r="K239">
        <v>1269879427</v>
      </c>
      <c r="L239">
        <v>1548140513</v>
      </c>
      <c r="M239">
        <v>699008005</v>
      </c>
      <c r="N239">
        <v>585294272</v>
      </c>
      <c r="O239">
        <v>364031834</v>
      </c>
      <c r="P239">
        <v>3098</v>
      </c>
      <c r="Q239" t="s">
        <v>594</v>
      </c>
    </row>
    <row r="240" spans="1:17" x14ac:dyDescent="0.3">
      <c r="A240" t="s">
        <v>17</v>
      </c>
      <c r="B240" t="str">
        <f>"601869"</f>
        <v>601869</v>
      </c>
      <c r="C240" t="s">
        <v>595</v>
      </c>
      <c r="D240" t="s">
        <v>208</v>
      </c>
      <c r="E240">
        <v>5026544377</v>
      </c>
      <c r="F240">
        <v>4237794536</v>
      </c>
      <c r="G240">
        <v>3465341271</v>
      </c>
      <c r="H240">
        <v>3037577432</v>
      </c>
      <c r="I240">
        <v>2489562019</v>
      </c>
      <c r="J240">
        <v>0</v>
      </c>
      <c r="P240">
        <v>403</v>
      </c>
      <c r="Q240" t="s">
        <v>596</v>
      </c>
    </row>
    <row r="241" spans="1:17" x14ac:dyDescent="0.3">
      <c r="A241" t="s">
        <v>73</v>
      </c>
      <c r="B241" t="str">
        <f>"002080"</f>
        <v>002080</v>
      </c>
      <c r="C241" t="s">
        <v>597</v>
      </c>
      <c r="D241" t="s">
        <v>598</v>
      </c>
      <c r="E241">
        <v>5011675918</v>
      </c>
      <c r="F241">
        <v>3934925506</v>
      </c>
      <c r="G241">
        <v>3440713447</v>
      </c>
      <c r="H241">
        <v>3544283195</v>
      </c>
      <c r="I241">
        <v>3119535541</v>
      </c>
      <c r="J241">
        <v>2540643586</v>
      </c>
      <c r="K241">
        <v>1497011378</v>
      </c>
      <c r="L241">
        <v>1295932980</v>
      </c>
      <c r="M241">
        <v>1547075461</v>
      </c>
      <c r="N241">
        <v>1331055518</v>
      </c>
      <c r="O241">
        <v>1010311624</v>
      </c>
      <c r="P241">
        <v>913</v>
      </c>
      <c r="Q241" t="s">
        <v>599</v>
      </c>
    </row>
    <row r="242" spans="1:17" x14ac:dyDescent="0.3">
      <c r="A242" t="s">
        <v>73</v>
      </c>
      <c r="B242" t="str">
        <f>"000776"</f>
        <v>000776</v>
      </c>
      <c r="C242" t="s">
        <v>600</v>
      </c>
      <c r="D242" t="s">
        <v>53</v>
      </c>
      <c r="E242">
        <v>4950162866</v>
      </c>
      <c r="F242">
        <v>4667994351</v>
      </c>
      <c r="G242">
        <v>3791803830</v>
      </c>
      <c r="H242">
        <v>4399230693</v>
      </c>
      <c r="I242">
        <v>3469668171</v>
      </c>
      <c r="J242">
        <v>6531917514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3522</v>
      </c>
      <c r="Q242" t="s">
        <v>601</v>
      </c>
    </row>
    <row r="243" spans="1:17" x14ac:dyDescent="0.3">
      <c r="A243" t="s">
        <v>73</v>
      </c>
      <c r="B243" t="str">
        <f>"002368"</f>
        <v>002368</v>
      </c>
      <c r="C243" t="s">
        <v>602</v>
      </c>
      <c r="D243" t="s">
        <v>302</v>
      </c>
      <c r="E243">
        <v>4941506697</v>
      </c>
      <c r="F243">
        <v>2943838244</v>
      </c>
      <c r="G243">
        <v>3110330257</v>
      </c>
      <c r="H243">
        <v>2354923921</v>
      </c>
      <c r="I243">
        <v>2193207217</v>
      </c>
      <c r="J243">
        <v>2186884539</v>
      </c>
      <c r="K243">
        <v>2004711028</v>
      </c>
      <c r="L243">
        <v>1713749940</v>
      </c>
      <c r="M243">
        <v>1341331358</v>
      </c>
      <c r="N243">
        <v>956695346</v>
      </c>
      <c r="O243">
        <v>665366835</v>
      </c>
      <c r="P243">
        <v>373</v>
      </c>
      <c r="Q243" t="s">
        <v>603</v>
      </c>
    </row>
    <row r="244" spans="1:17" x14ac:dyDescent="0.3">
      <c r="A244" t="s">
        <v>17</v>
      </c>
      <c r="B244" t="str">
        <f>"603799"</f>
        <v>603799</v>
      </c>
      <c r="C244" t="s">
        <v>604</v>
      </c>
      <c r="D244" t="s">
        <v>605</v>
      </c>
      <c r="E244">
        <v>4900671885</v>
      </c>
      <c r="F244">
        <v>1217229507</v>
      </c>
      <c r="G244">
        <v>873885872</v>
      </c>
      <c r="H244">
        <v>872982802</v>
      </c>
      <c r="I244">
        <v>1964479687</v>
      </c>
      <c r="J244">
        <v>778459014</v>
      </c>
      <c r="K244">
        <v>525153466</v>
      </c>
      <c r="L244">
        <v>351440731</v>
      </c>
      <c r="M244">
        <v>0</v>
      </c>
      <c r="P244">
        <v>1518</v>
      </c>
      <c r="Q244" t="s">
        <v>606</v>
      </c>
    </row>
    <row r="245" spans="1:17" x14ac:dyDescent="0.3">
      <c r="A245" t="s">
        <v>73</v>
      </c>
      <c r="B245" t="str">
        <f>"002812"</f>
        <v>002812</v>
      </c>
      <c r="C245" t="s">
        <v>607</v>
      </c>
      <c r="D245" t="s">
        <v>561</v>
      </c>
      <c r="E245">
        <v>4844055497</v>
      </c>
      <c r="F245">
        <v>2712672966</v>
      </c>
      <c r="G245">
        <v>1592694486</v>
      </c>
      <c r="H245">
        <v>1250888621</v>
      </c>
      <c r="I245">
        <v>464502938</v>
      </c>
      <c r="J245">
        <v>367167094</v>
      </c>
      <c r="P245">
        <v>1583</v>
      </c>
      <c r="Q245" t="s">
        <v>608</v>
      </c>
    </row>
    <row r="246" spans="1:17" x14ac:dyDescent="0.3">
      <c r="A246" t="s">
        <v>17</v>
      </c>
      <c r="B246" t="str">
        <f>"600066"</f>
        <v>600066</v>
      </c>
      <c r="C246" t="s">
        <v>609</v>
      </c>
      <c r="D246" t="s">
        <v>545</v>
      </c>
      <c r="E246">
        <v>4813044753</v>
      </c>
      <c r="F246">
        <v>8006919504</v>
      </c>
      <c r="G246">
        <v>11369115911</v>
      </c>
      <c r="H246">
        <v>16247399178</v>
      </c>
      <c r="I246">
        <v>16894086065</v>
      </c>
      <c r="J246">
        <v>13578819761</v>
      </c>
      <c r="K246">
        <v>9275377693</v>
      </c>
      <c r="L246">
        <v>7435787765</v>
      </c>
      <c r="M246">
        <v>4568146171</v>
      </c>
      <c r="N246">
        <v>3879062360</v>
      </c>
      <c r="O246">
        <v>1527301823</v>
      </c>
      <c r="P246">
        <v>2894</v>
      </c>
      <c r="Q246" t="s">
        <v>610</v>
      </c>
    </row>
    <row r="247" spans="1:17" x14ac:dyDescent="0.3">
      <c r="A247" t="s">
        <v>17</v>
      </c>
      <c r="B247" t="str">
        <f>"600984"</f>
        <v>600984</v>
      </c>
      <c r="C247" t="s">
        <v>611</v>
      </c>
      <c r="D247" t="s">
        <v>75</v>
      </c>
      <c r="E247">
        <v>4810523560</v>
      </c>
      <c r="F247">
        <v>3618413980</v>
      </c>
      <c r="G247">
        <v>2411298270</v>
      </c>
      <c r="H247">
        <v>1926501413</v>
      </c>
      <c r="I247">
        <v>1744570019</v>
      </c>
      <c r="J247">
        <v>1373766291</v>
      </c>
      <c r="K247">
        <v>1298794885</v>
      </c>
      <c r="L247">
        <v>411547025</v>
      </c>
      <c r="M247">
        <v>488554451</v>
      </c>
      <c r="N247">
        <v>393477281</v>
      </c>
      <c r="O247">
        <v>329384149</v>
      </c>
      <c r="P247">
        <v>279</v>
      </c>
      <c r="Q247" t="s">
        <v>612</v>
      </c>
    </row>
    <row r="248" spans="1:17" x14ac:dyDescent="0.3">
      <c r="A248" t="s">
        <v>17</v>
      </c>
      <c r="B248" t="str">
        <f>"603825"</f>
        <v>603825</v>
      </c>
      <c r="C248" t="s">
        <v>613</v>
      </c>
      <c r="D248" t="s">
        <v>425</v>
      </c>
      <c r="E248">
        <v>4810367782</v>
      </c>
      <c r="F248">
        <v>4182739996</v>
      </c>
      <c r="G248">
        <v>4321597314</v>
      </c>
      <c r="H248">
        <v>4572164008</v>
      </c>
      <c r="I248">
        <v>3206503601</v>
      </c>
      <c r="J248">
        <v>0</v>
      </c>
      <c r="P248">
        <v>158</v>
      </c>
      <c r="Q248" t="s">
        <v>614</v>
      </c>
    </row>
    <row r="249" spans="1:17" x14ac:dyDescent="0.3">
      <c r="A249" t="s">
        <v>17</v>
      </c>
      <c r="B249" t="str">
        <f>"601600"</f>
        <v>601600</v>
      </c>
      <c r="C249" t="s">
        <v>615</v>
      </c>
      <c r="D249" t="s">
        <v>616</v>
      </c>
      <c r="E249">
        <v>4797753000</v>
      </c>
      <c r="F249">
        <v>5896398000</v>
      </c>
      <c r="G249">
        <v>5949276000</v>
      </c>
      <c r="H249">
        <v>6645495000</v>
      </c>
      <c r="I249">
        <v>6574309000</v>
      </c>
      <c r="J249">
        <v>5103861000</v>
      </c>
      <c r="K249">
        <v>4659447000</v>
      </c>
      <c r="L249">
        <v>3718242000</v>
      </c>
      <c r="M249">
        <v>5699899000</v>
      </c>
      <c r="N249">
        <v>4546464000</v>
      </c>
      <c r="O249">
        <v>2537402000</v>
      </c>
      <c r="P249">
        <v>743</v>
      </c>
      <c r="Q249" t="s">
        <v>617</v>
      </c>
    </row>
    <row r="250" spans="1:17" x14ac:dyDescent="0.3">
      <c r="A250" t="s">
        <v>73</v>
      </c>
      <c r="B250" t="str">
        <f>"002217"</f>
        <v>002217</v>
      </c>
      <c r="C250" t="s">
        <v>618</v>
      </c>
      <c r="D250" t="s">
        <v>97</v>
      </c>
      <c r="E250">
        <v>4787408698</v>
      </c>
      <c r="F250">
        <v>6029757035</v>
      </c>
      <c r="G250">
        <v>8349903700</v>
      </c>
      <c r="H250">
        <v>7384517557</v>
      </c>
      <c r="I250">
        <v>5630597287</v>
      </c>
      <c r="J250">
        <v>3234225249</v>
      </c>
      <c r="K250">
        <v>1799158148</v>
      </c>
      <c r="L250">
        <v>698375635</v>
      </c>
      <c r="M250">
        <v>467771817</v>
      </c>
      <c r="N250">
        <v>37210474</v>
      </c>
      <c r="O250">
        <v>56217188</v>
      </c>
      <c r="P250">
        <v>490</v>
      </c>
      <c r="Q250" t="s">
        <v>619</v>
      </c>
    </row>
    <row r="251" spans="1:17" x14ac:dyDescent="0.3">
      <c r="A251" t="s">
        <v>17</v>
      </c>
      <c r="B251" t="str">
        <f>"600510"</f>
        <v>600510</v>
      </c>
      <c r="C251" t="s">
        <v>620</v>
      </c>
      <c r="D251" t="s">
        <v>27</v>
      </c>
      <c r="E251">
        <v>4784722203</v>
      </c>
      <c r="F251">
        <v>5318982191</v>
      </c>
      <c r="G251">
        <v>5433017022</v>
      </c>
      <c r="H251">
        <v>5218848400</v>
      </c>
      <c r="I251">
        <v>5421270236</v>
      </c>
      <c r="J251">
        <v>4978712009</v>
      </c>
      <c r="K251">
        <v>4778150102</v>
      </c>
      <c r="L251">
        <v>3456707835</v>
      </c>
      <c r="M251">
        <v>1883383546</v>
      </c>
      <c r="N251">
        <v>1087524106</v>
      </c>
      <c r="O251">
        <v>943102177</v>
      </c>
      <c r="P251">
        <v>240</v>
      </c>
      <c r="Q251" t="s">
        <v>621</v>
      </c>
    </row>
    <row r="252" spans="1:17" x14ac:dyDescent="0.3">
      <c r="A252" t="s">
        <v>17</v>
      </c>
      <c r="B252" t="str">
        <f>"600217"</f>
        <v>600217</v>
      </c>
      <c r="C252" t="s">
        <v>622</v>
      </c>
      <c r="D252" t="s">
        <v>623</v>
      </c>
      <c r="E252">
        <v>4769350659</v>
      </c>
      <c r="F252">
        <v>4360131497</v>
      </c>
      <c r="G252">
        <v>3764621882</v>
      </c>
      <c r="H252">
        <v>3095500827</v>
      </c>
      <c r="I252">
        <v>2653277991</v>
      </c>
      <c r="J252">
        <v>1967125365</v>
      </c>
      <c r="K252">
        <v>1349765013</v>
      </c>
      <c r="L252">
        <v>56227605</v>
      </c>
      <c r="M252">
        <v>58512861</v>
      </c>
      <c r="N252">
        <v>57264905</v>
      </c>
      <c r="O252">
        <v>36516990</v>
      </c>
      <c r="P252">
        <v>439</v>
      </c>
      <c r="Q252" t="s">
        <v>624</v>
      </c>
    </row>
    <row r="253" spans="1:17" x14ac:dyDescent="0.3">
      <c r="A253" t="s">
        <v>73</v>
      </c>
      <c r="B253" t="str">
        <f>"300124"</f>
        <v>300124</v>
      </c>
      <c r="C253" t="s">
        <v>625</v>
      </c>
      <c r="D253" t="s">
        <v>626</v>
      </c>
      <c r="E253">
        <v>4765400040</v>
      </c>
      <c r="F253">
        <v>3240517762</v>
      </c>
      <c r="G253">
        <v>2145862908</v>
      </c>
      <c r="H253">
        <v>1671511334</v>
      </c>
      <c r="I253">
        <v>1324526059</v>
      </c>
      <c r="J253">
        <v>862689850</v>
      </c>
      <c r="K253">
        <v>726148676</v>
      </c>
      <c r="L253">
        <v>519826388</v>
      </c>
      <c r="M253">
        <v>427782058</v>
      </c>
      <c r="N253">
        <v>257182112</v>
      </c>
      <c r="O253">
        <v>179107710</v>
      </c>
      <c r="P253">
        <v>2412</v>
      </c>
      <c r="Q253" t="s">
        <v>627</v>
      </c>
    </row>
    <row r="254" spans="1:17" x14ac:dyDescent="0.3">
      <c r="A254" t="s">
        <v>73</v>
      </c>
      <c r="B254" t="str">
        <f>"002573"</f>
        <v>002573</v>
      </c>
      <c r="C254" t="s">
        <v>628</v>
      </c>
      <c r="D254" t="s">
        <v>629</v>
      </c>
      <c r="E254">
        <v>4760047423</v>
      </c>
      <c r="F254">
        <v>2290466609</v>
      </c>
      <c r="G254">
        <v>2146924474</v>
      </c>
      <c r="H254">
        <v>2892631702</v>
      </c>
      <c r="I254">
        <v>3334743990</v>
      </c>
      <c r="J254">
        <v>2633072417</v>
      </c>
      <c r="K254">
        <v>1162144032</v>
      </c>
      <c r="L254">
        <v>591528845</v>
      </c>
      <c r="M254">
        <v>266475389</v>
      </c>
      <c r="N254">
        <v>163793846</v>
      </c>
      <c r="O254">
        <v>106206013</v>
      </c>
      <c r="P254">
        <v>613</v>
      </c>
      <c r="Q254" t="s">
        <v>630</v>
      </c>
    </row>
    <row r="255" spans="1:17" x14ac:dyDescent="0.3">
      <c r="A255" t="s">
        <v>17</v>
      </c>
      <c r="B255" t="str">
        <f>"600038"</f>
        <v>600038</v>
      </c>
      <c r="C255" t="s">
        <v>631</v>
      </c>
      <c r="D255" t="s">
        <v>130</v>
      </c>
      <c r="E255">
        <v>4757155358</v>
      </c>
      <c r="F255">
        <v>2112506795</v>
      </c>
      <c r="G255">
        <v>1009584116</v>
      </c>
      <c r="H255">
        <v>1218525959</v>
      </c>
      <c r="I255">
        <v>1741212869</v>
      </c>
      <c r="J255">
        <v>953392276</v>
      </c>
      <c r="K255">
        <v>2438334544</v>
      </c>
      <c r="L255">
        <v>1349973155</v>
      </c>
      <c r="M255">
        <v>777067176</v>
      </c>
      <c r="N255">
        <v>562140306</v>
      </c>
      <c r="O255">
        <v>350589132</v>
      </c>
      <c r="P255">
        <v>447</v>
      </c>
      <c r="Q255" t="s">
        <v>632</v>
      </c>
    </row>
    <row r="256" spans="1:17" x14ac:dyDescent="0.3">
      <c r="A256" t="s">
        <v>17</v>
      </c>
      <c r="B256" t="str">
        <f>"600498"</f>
        <v>600498</v>
      </c>
      <c r="C256" t="s">
        <v>633</v>
      </c>
      <c r="D256" t="s">
        <v>189</v>
      </c>
      <c r="E256">
        <v>4735474770</v>
      </c>
      <c r="F256">
        <v>5664898314</v>
      </c>
      <c r="G256">
        <v>8826135430</v>
      </c>
      <c r="H256">
        <v>8664078712</v>
      </c>
      <c r="I256">
        <v>6224242346</v>
      </c>
      <c r="J256">
        <v>5013494025</v>
      </c>
      <c r="K256">
        <v>4044440306</v>
      </c>
      <c r="L256">
        <v>3662277090</v>
      </c>
      <c r="M256">
        <v>3464527108</v>
      </c>
      <c r="N256">
        <v>3082671306</v>
      </c>
      <c r="O256">
        <v>2282566483</v>
      </c>
      <c r="P256">
        <v>853</v>
      </c>
      <c r="Q256" t="s">
        <v>634</v>
      </c>
    </row>
    <row r="257" spans="1:17" x14ac:dyDescent="0.3">
      <c r="A257" t="s">
        <v>73</v>
      </c>
      <c r="B257" t="str">
        <f>"002097"</f>
        <v>002097</v>
      </c>
      <c r="C257" t="s">
        <v>635</v>
      </c>
      <c r="D257" t="s">
        <v>75</v>
      </c>
      <c r="E257">
        <v>4717342710</v>
      </c>
      <c r="F257">
        <v>5105842855</v>
      </c>
      <c r="G257">
        <v>4361964812</v>
      </c>
      <c r="H257">
        <v>0</v>
      </c>
      <c r="I257">
        <v>3135180876</v>
      </c>
      <c r="J257">
        <v>2841082163</v>
      </c>
      <c r="K257">
        <v>2190006511</v>
      </c>
      <c r="L257">
        <v>1921591336</v>
      </c>
      <c r="M257">
        <v>1629009276</v>
      </c>
      <c r="N257">
        <v>1669833151</v>
      </c>
      <c r="O257">
        <v>1483332408</v>
      </c>
      <c r="P257">
        <v>217</v>
      </c>
      <c r="Q257" t="s">
        <v>636</v>
      </c>
    </row>
    <row r="258" spans="1:17" x14ac:dyDescent="0.3">
      <c r="A258" t="s">
        <v>17</v>
      </c>
      <c r="B258" t="str">
        <f>"600821"</f>
        <v>600821</v>
      </c>
      <c r="C258" t="s">
        <v>637</v>
      </c>
      <c r="D258" t="s">
        <v>638</v>
      </c>
      <c r="E258">
        <v>4712575531</v>
      </c>
      <c r="F258">
        <v>2501419332</v>
      </c>
      <c r="G258">
        <v>0</v>
      </c>
      <c r="H258">
        <v>0</v>
      </c>
      <c r="I258">
        <v>64895</v>
      </c>
      <c r="J258">
        <v>116430</v>
      </c>
      <c r="K258">
        <v>580962</v>
      </c>
      <c r="L258">
        <v>1142068</v>
      </c>
      <c r="M258">
        <v>1573405</v>
      </c>
      <c r="N258">
        <v>1865561</v>
      </c>
      <c r="O258">
        <v>2749285</v>
      </c>
      <c r="P258">
        <v>125</v>
      </c>
      <c r="Q258" t="s">
        <v>639</v>
      </c>
    </row>
    <row r="259" spans="1:17" x14ac:dyDescent="0.3">
      <c r="A259" t="s">
        <v>73</v>
      </c>
      <c r="B259" t="str">
        <f>"002092"</f>
        <v>002092</v>
      </c>
      <c r="C259" t="s">
        <v>640</v>
      </c>
      <c r="D259" t="s">
        <v>641</v>
      </c>
      <c r="E259">
        <v>4655857929</v>
      </c>
      <c r="F259">
        <v>3793492209</v>
      </c>
      <c r="G259">
        <v>3653487881</v>
      </c>
      <c r="H259">
        <v>4435649797</v>
      </c>
      <c r="I259">
        <v>1857709402</v>
      </c>
      <c r="J259">
        <v>1642050448</v>
      </c>
      <c r="K259">
        <v>785721838</v>
      </c>
      <c r="L259">
        <v>534250926</v>
      </c>
      <c r="M259">
        <v>567231291</v>
      </c>
      <c r="N259">
        <v>232244070</v>
      </c>
      <c r="O259">
        <v>143686524</v>
      </c>
      <c r="P259">
        <v>521</v>
      </c>
      <c r="Q259" t="s">
        <v>642</v>
      </c>
    </row>
    <row r="260" spans="1:17" x14ac:dyDescent="0.3">
      <c r="A260" t="s">
        <v>17</v>
      </c>
      <c r="B260" t="str">
        <f>"600567"</f>
        <v>600567</v>
      </c>
      <c r="C260" t="s">
        <v>643</v>
      </c>
      <c r="D260" t="s">
        <v>644</v>
      </c>
      <c r="E260">
        <v>4639512568</v>
      </c>
      <c r="F260">
        <v>3608947476</v>
      </c>
      <c r="G260">
        <v>2710123442</v>
      </c>
      <c r="H260">
        <v>2730111164</v>
      </c>
      <c r="I260">
        <v>2743249307</v>
      </c>
      <c r="J260">
        <v>1788785314</v>
      </c>
      <c r="K260">
        <v>1640448788</v>
      </c>
      <c r="L260">
        <v>1627595282</v>
      </c>
      <c r="M260">
        <v>1321794065</v>
      </c>
      <c r="N260">
        <v>665592184</v>
      </c>
      <c r="O260">
        <v>670546168</v>
      </c>
      <c r="P260">
        <v>593</v>
      </c>
      <c r="Q260" t="s">
        <v>645</v>
      </c>
    </row>
    <row r="261" spans="1:17" x14ac:dyDescent="0.3">
      <c r="A261" t="s">
        <v>73</v>
      </c>
      <c r="B261" t="str">
        <f>"000066"</f>
        <v>000066</v>
      </c>
      <c r="C261" t="s">
        <v>646</v>
      </c>
      <c r="D261" t="s">
        <v>158</v>
      </c>
      <c r="E261">
        <v>4610446854</v>
      </c>
      <c r="F261">
        <v>3659487444</v>
      </c>
      <c r="G261">
        <v>2515660308</v>
      </c>
      <c r="H261">
        <v>2867339635</v>
      </c>
      <c r="I261">
        <v>2113164142</v>
      </c>
      <c r="J261">
        <v>2001467831</v>
      </c>
      <c r="K261">
        <v>10524082709</v>
      </c>
      <c r="L261">
        <v>9664986035</v>
      </c>
      <c r="M261">
        <v>10465425046</v>
      </c>
      <c r="N261">
        <v>10991667476</v>
      </c>
      <c r="O261">
        <v>12084838337</v>
      </c>
      <c r="P261">
        <v>712</v>
      </c>
      <c r="Q261" t="s">
        <v>647</v>
      </c>
    </row>
    <row r="262" spans="1:17" x14ac:dyDescent="0.3">
      <c r="A262" t="s">
        <v>73</v>
      </c>
      <c r="B262" t="str">
        <f>"000932"</f>
        <v>000932</v>
      </c>
      <c r="C262" t="s">
        <v>648</v>
      </c>
      <c r="D262" t="s">
        <v>221</v>
      </c>
      <c r="E262">
        <v>4605530259</v>
      </c>
      <c r="F262">
        <v>3949308254</v>
      </c>
      <c r="G262">
        <v>4656654749</v>
      </c>
      <c r="H262">
        <v>3562058476</v>
      </c>
      <c r="I262">
        <v>3149124917</v>
      </c>
      <c r="J262">
        <v>2531692330</v>
      </c>
      <c r="K262">
        <v>2279167802</v>
      </c>
      <c r="L262">
        <v>2528599550</v>
      </c>
      <c r="M262">
        <v>2321716497</v>
      </c>
      <c r="N262">
        <v>1829624560</v>
      </c>
      <c r="O262">
        <v>1841607371</v>
      </c>
      <c r="P262">
        <v>1039</v>
      </c>
      <c r="Q262" t="s">
        <v>649</v>
      </c>
    </row>
    <row r="263" spans="1:17" x14ac:dyDescent="0.3">
      <c r="A263" t="s">
        <v>73</v>
      </c>
      <c r="B263" t="str">
        <f>"000062"</f>
        <v>000062</v>
      </c>
      <c r="C263" t="s">
        <v>650</v>
      </c>
      <c r="D263" t="s">
        <v>651</v>
      </c>
      <c r="E263">
        <v>4544039111</v>
      </c>
      <c r="F263">
        <v>3737873544</v>
      </c>
      <c r="G263">
        <v>2581914638</v>
      </c>
      <c r="H263">
        <v>2126042596</v>
      </c>
      <c r="I263">
        <v>1534453824</v>
      </c>
      <c r="J263">
        <v>909040943</v>
      </c>
      <c r="K263">
        <v>669701077</v>
      </c>
      <c r="L263">
        <v>27253843</v>
      </c>
      <c r="M263">
        <v>13987611</v>
      </c>
      <c r="N263">
        <v>19788586</v>
      </c>
      <c r="O263">
        <v>14188722</v>
      </c>
      <c r="P263">
        <v>300</v>
      </c>
      <c r="Q263" t="s">
        <v>652</v>
      </c>
    </row>
    <row r="264" spans="1:17" x14ac:dyDescent="0.3">
      <c r="A264" t="s">
        <v>17</v>
      </c>
      <c r="B264" t="str">
        <f>"600619"</f>
        <v>600619</v>
      </c>
      <c r="C264" t="s">
        <v>653</v>
      </c>
      <c r="D264" t="s">
        <v>654</v>
      </c>
      <c r="E264">
        <v>4520595549</v>
      </c>
      <c r="F264">
        <v>3977511368</v>
      </c>
      <c r="G264">
        <v>3367204381</v>
      </c>
      <c r="H264">
        <v>3630766505</v>
      </c>
      <c r="I264">
        <v>2859735314</v>
      </c>
      <c r="J264">
        <v>2414528838</v>
      </c>
      <c r="K264">
        <v>1958144471</v>
      </c>
      <c r="L264">
        <v>1840965769</v>
      </c>
      <c r="M264">
        <v>1830207968</v>
      </c>
      <c r="N264">
        <v>1938981038</v>
      </c>
      <c r="O264">
        <v>1483493191</v>
      </c>
      <c r="P264">
        <v>121</v>
      </c>
      <c r="Q264" t="s">
        <v>655</v>
      </c>
    </row>
    <row r="265" spans="1:17" x14ac:dyDescent="0.3">
      <c r="A265" t="s">
        <v>17</v>
      </c>
      <c r="B265" t="str">
        <f>"600884"</f>
        <v>600884</v>
      </c>
      <c r="C265" t="s">
        <v>656</v>
      </c>
      <c r="D265" t="s">
        <v>561</v>
      </c>
      <c r="E265">
        <v>4504107539</v>
      </c>
      <c r="F265">
        <v>5226687527</v>
      </c>
      <c r="G265">
        <v>2766401735</v>
      </c>
      <c r="H265">
        <v>3055155225</v>
      </c>
      <c r="I265">
        <v>3116874734</v>
      </c>
      <c r="J265">
        <v>2218020531</v>
      </c>
      <c r="K265">
        <v>1753616495</v>
      </c>
      <c r="L265">
        <v>1439793197</v>
      </c>
      <c r="M265">
        <v>1226200598</v>
      </c>
      <c r="N265">
        <v>1018106732</v>
      </c>
      <c r="O265">
        <v>744630932</v>
      </c>
      <c r="P265">
        <v>758</v>
      </c>
      <c r="Q265" t="s">
        <v>657</v>
      </c>
    </row>
    <row r="266" spans="1:17" x14ac:dyDescent="0.3">
      <c r="A266" t="s">
        <v>73</v>
      </c>
      <c r="B266" t="str">
        <f>"002051"</f>
        <v>002051</v>
      </c>
      <c r="C266" t="s">
        <v>658</v>
      </c>
      <c r="D266" t="s">
        <v>487</v>
      </c>
      <c r="E266">
        <v>4495059210</v>
      </c>
      <c r="F266">
        <v>4303155895</v>
      </c>
      <c r="G266">
        <v>5217960119</v>
      </c>
      <c r="H266">
        <v>4758547358</v>
      </c>
      <c r="I266">
        <v>5437930089</v>
      </c>
      <c r="J266">
        <v>4317581558</v>
      </c>
      <c r="K266">
        <v>4278294961</v>
      </c>
      <c r="L266">
        <v>3633226770</v>
      </c>
      <c r="M266">
        <v>2556316933</v>
      </c>
      <c r="N266">
        <v>2847489799</v>
      </c>
      <c r="O266">
        <v>2105965676</v>
      </c>
      <c r="P266">
        <v>556</v>
      </c>
      <c r="Q266" t="s">
        <v>659</v>
      </c>
    </row>
    <row r="267" spans="1:17" x14ac:dyDescent="0.3">
      <c r="A267" t="s">
        <v>73</v>
      </c>
      <c r="B267" t="str">
        <f>"300284"</f>
        <v>300284</v>
      </c>
      <c r="C267" t="s">
        <v>660</v>
      </c>
      <c r="D267" t="s">
        <v>661</v>
      </c>
      <c r="E267">
        <v>4458062880</v>
      </c>
      <c r="F267">
        <v>5092759648</v>
      </c>
      <c r="G267">
        <v>4577500344</v>
      </c>
      <c r="H267">
        <v>5685620200</v>
      </c>
      <c r="I267">
        <v>4871390734</v>
      </c>
      <c r="J267">
        <v>3544652806</v>
      </c>
      <c r="K267">
        <v>2366574252</v>
      </c>
      <c r="L267">
        <v>2051730177</v>
      </c>
      <c r="M267">
        <v>1378315194</v>
      </c>
      <c r="N267">
        <v>1310531062</v>
      </c>
      <c r="O267">
        <v>1248239942</v>
      </c>
      <c r="P267">
        <v>274</v>
      </c>
      <c r="Q267" t="s">
        <v>662</v>
      </c>
    </row>
    <row r="268" spans="1:17" x14ac:dyDescent="0.3">
      <c r="A268" t="s">
        <v>17</v>
      </c>
      <c r="B268" t="str">
        <f>"600166"</f>
        <v>600166</v>
      </c>
      <c r="C268" t="s">
        <v>663</v>
      </c>
      <c r="D268" t="s">
        <v>428</v>
      </c>
      <c r="E268">
        <v>4436529202</v>
      </c>
      <c r="F268">
        <v>4041664576</v>
      </c>
      <c r="G268">
        <v>8432209803</v>
      </c>
      <c r="H268">
        <v>9262351919</v>
      </c>
      <c r="I268">
        <v>11230786779</v>
      </c>
      <c r="J268">
        <v>12567065193</v>
      </c>
      <c r="K268">
        <v>5648799518</v>
      </c>
      <c r="L268">
        <v>4224015438</v>
      </c>
      <c r="M268">
        <v>3935269438</v>
      </c>
      <c r="N268">
        <v>2884955145</v>
      </c>
      <c r="O268">
        <v>1932503753</v>
      </c>
      <c r="P268">
        <v>439</v>
      </c>
      <c r="Q268" t="s">
        <v>664</v>
      </c>
    </row>
    <row r="269" spans="1:17" x14ac:dyDescent="0.3">
      <c r="A269" t="s">
        <v>17</v>
      </c>
      <c r="B269" t="str">
        <f>"601333"</f>
        <v>601333</v>
      </c>
      <c r="C269" t="s">
        <v>665</v>
      </c>
      <c r="D269" t="s">
        <v>524</v>
      </c>
      <c r="E269">
        <v>4433316947</v>
      </c>
      <c r="F269">
        <v>4491509847</v>
      </c>
      <c r="G269">
        <v>4211292611</v>
      </c>
      <c r="H269">
        <v>0</v>
      </c>
      <c r="I269">
        <v>4298567633</v>
      </c>
      <c r="J269">
        <v>3199867138</v>
      </c>
      <c r="K269">
        <v>3295341654</v>
      </c>
      <c r="L269">
        <v>2232284833</v>
      </c>
      <c r="M269">
        <v>1356854526</v>
      </c>
      <c r="N269">
        <v>1020647279</v>
      </c>
      <c r="O269">
        <v>688925548</v>
      </c>
      <c r="P269">
        <v>318</v>
      </c>
      <c r="Q269" t="s">
        <v>666</v>
      </c>
    </row>
    <row r="270" spans="1:17" x14ac:dyDescent="0.3">
      <c r="A270" t="s">
        <v>73</v>
      </c>
      <c r="B270" t="str">
        <f>"002793"</f>
        <v>002793</v>
      </c>
      <c r="C270" t="s">
        <v>667</v>
      </c>
      <c r="D270" t="s">
        <v>348</v>
      </c>
      <c r="E270">
        <v>4416346842</v>
      </c>
      <c r="F270">
        <v>2836238598</v>
      </c>
      <c r="G270">
        <v>1958755781</v>
      </c>
      <c r="H270">
        <v>186575531</v>
      </c>
      <c r="I270">
        <v>139019715</v>
      </c>
      <c r="J270">
        <v>152849197</v>
      </c>
      <c r="K270">
        <v>125897668</v>
      </c>
      <c r="L270">
        <v>0</v>
      </c>
      <c r="P270">
        <v>213</v>
      </c>
      <c r="Q270" t="s">
        <v>668</v>
      </c>
    </row>
    <row r="271" spans="1:17" x14ac:dyDescent="0.3">
      <c r="A271" t="s">
        <v>73</v>
      </c>
      <c r="B271" t="str">
        <f>"000065"</f>
        <v>000065</v>
      </c>
      <c r="C271" t="s">
        <v>669</v>
      </c>
      <c r="D271" t="s">
        <v>487</v>
      </c>
      <c r="E271">
        <v>4408304478</v>
      </c>
      <c r="F271">
        <v>3362500397</v>
      </c>
      <c r="G271">
        <v>4327305665</v>
      </c>
      <c r="H271">
        <v>2508017940</v>
      </c>
      <c r="I271">
        <v>2677005068</v>
      </c>
      <c r="J271">
        <v>2960911547</v>
      </c>
      <c r="K271">
        <v>1464959130</v>
      </c>
      <c r="L271">
        <v>729734685</v>
      </c>
      <c r="M271">
        <v>939360894</v>
      </c>
      <c r="N271">
        <v>884118230</v>
      </c>
      <c r="O271">
        <v>750100649</v>
      </c>
      <c r="P271">
        <v>394</v>
      </c>
      <c r="Q271" t="s">
        <v>670</v>
      </c>
    </row>
    <row r="272" spans="1:17" x14ac:dyDescent="0.3">
      <c r="A272" t="s">
        <v>73</v>
      </c>
      <c r="B272" t="str">
        <f>"300450"</f>
        <v>300450</v>
      </c>
      <c r="C272" t="s">
        <v>671</v>
      </c>
      <c r="D272" t="s">
        <v>672</v>
      </c>
      <c r="E272">
        <v>4359170597</v>
      </c>
      <c r="F272">
        <v>2221063640</v>
      </c>
      <c r="G272">
        <v>2000018707</v>
      </c>
      <c r="H272">
        <v>943334944</v>
      </c>
      <c r="I272">
        <v>939624982</v>
      </c>
      <c r="J272">
        <v>177473337</v>
      </c>
      <c r="K272">
        <v>111590231</v>
      </c>
      <c r="L272">
        <v>102520408</v>
      </c>
      <c r="M272">
        <v>0</v>
      </c>
      <c r="P272">
        <v>9753</v>
      </c>
      <c r="Q272" t="s">
        <v>673</v>
      </c>
    </row>
    <row r="273" spans="1:17" x14ac:dyDescent="0.3">
      <c r="A273" t="s">
        <v>17</v>
      </c>
      <c r="B273" t="str">
        <f>"600660"</f>
        <v>600660</v>
      </c>
      <c r="C273" t="s">
        <v>674</v>
      </c>
      <c r="D273" t="s">
        <v>106</v>
      </c>
      <c r="E273">
        <v>4326913090</v>
      </c>
      <c r="F273">
        <v>3778573220</v>
      </c>
      <c r="G273">
        <v>2580920157</v>
      </c>
      <c r="H273">
        <v>3187090950</v>
      </c>
      <c r="I273">
        <v>3280617104</v>
      </c>
      <c r="J273">
        <v>2943981474</v>
      </c>
      <c r="K273">
        <v>2631031956</v>
      </c>
      <c r="L273">
        <v>2390084592</v>
      </c>
      <c r="M273">
        <v>2126613605</v>
      </c>
      <c r="N273">
        <v>1902961697</v>
      </c>
      <c r="O273">
        <v>1576174846</v>
      </c>
      <c r="P273">
        <v>13818</v>
      </c>
      <c r="Q273" t="s">
        <v>675</v>
      </c>
    </row>
    <row r="274" spans="1:17" x14ac:dyDescent="0.3">
      <c r="A274" t="s">
        <v>73</v>
      </c>
      <c r="B274" t="str">
        <f>"000928"</f>
        <v>000928</v>
      </c>
      <c r="C274" t="s">
        <v>676</v>
      </c>
      <c r="D274" t="s">
        <v>487</v>
      </c>
      <c r="E274">
        <v>4315171704</v>
      </c>
      <c r="F274">
        <v>5296570168</v>
      </c>
      <c r="G274">
        <v>6202545789</v>
      </c>
      <c r="H274">
        <v>4211848320</v>
      </c>
      <c r="I274">
        <v>4108510918</v>
      </c>
      <c r="J274">
        <v>5926889853</v>
      </c>
      <c r="K274">
        <v>6037932661</v>
      </c>
      <c r="L274">
        <v>5814148908</v>
      </c>
      <c r="M274">
        <v>311394849</v>
      </c>
      <c r="N274">
        <v>299347048</v>
      </c>
      <c r="O274">
        <v>258450682</v>
      </c>
      <c r="P274">
        <v>271</v>
      </c>
      <c r="Q274" t="s">
        <v>677</v>
      </c>
    </row>
    <row r="275" spans="1:17" x14ac:dyDescent="0.3">
      <c r="A275" t="s">
        <v>73</v>
      </c>
      <c r="B275" t="str">
        <f>"002564"</f>
        <v>002564</v>
      </c>
      <c r="C275" t="s">
        <v>678</v>
      </c>
      <c r="D275" t="s">
        <v>311</v>
      </c>
      <c r="E275">
        <v>4312737193</v>
      </c>
      <c r="F275">
        <v>6765962638</v>
      </c>
      <c r="G275">
        <v>6227083558</v>
      </c>
      <c r="H275">
        <v>7049297814</v>
      </c>
      <c r="I275">
        <v>4882518294</v>
      </c>
      <c r="J275">
        <v>4340689070</v>
      </c>
      <c r="K275">
        <v>1893421382</v>
      </c>
      <c r="L275">
        <v>2075347918</v>
      </c>
      <c r="M275">
        <v>1516282014</v>
      </c>
      <c r="N275">
        <v>1103780589</v>
      </c>
      <c r="O275">
        <v>784412108</v>
      </c>
      <c r="P275">
        <v>130</v>
      </c>
      <c r="Q275" t="s">
        <v>679</v>
      </c>
    </row>
    <row r="276" spans="1:17" x14ac:dyDescent="0.3">
      <c r="A276" t="s">
        <v>17</v>
      </c>
      <c r="B276" t="str">
        <f>"600578"</f>
        <v>600578</v>
      </c>
      <c r="C276" t="s">
        <v>680</v>
      </c>
      <c r="D276" t="s">
        <v>71</v>
      </c>
      <c r="E276">
        <v>4311708148</v>
      </c>
      <c r="F276">
        <v>3185471249</v>
      </c>
      <c r="G276">
        <v>2958184241</v>
      </c>
      <c r="H276">
        <v>2274850384</v>
      </c>
      <c r="I276">
        <v>1527854840</v>
      </c>
      <c r="J276">
        <v>1259000633</v>
      </c>
      <c r="K276">
        <v>795494864</v>
      </c>
      <c r="L276">
        <v>1158528410</v>
      </c>
      <c r="M276">
        <v>1126648981</v>
      </c>
      <c r="N276">
        <v>1125981752</v>
      </c>
      <c r="O276">
        <v>366040739</v>
      </c>
      <c r="P276">
        <v>355</v>
      </c>
      <c r="Q276" t="s">
        <v>681</v>
      </c>
    </row>
    <row r="277" spans="1:17" x14ac:dyDescent="0.3">
      <c r="A277" t="s">
        <v>73</v>
      </c>
      <c r="B277" t="str">
        <f>"002353"</f>
        <v>002353</v>
      </c>
      <c r="C277" t="s">
        <v>682</v>
      </c>
      <c r="D277" t="s">
        <v>311</v>
      </c>
      <c r="E277">
        <v>4302425022</v>
      </c>
      <c r="F277">
        <v>3241185134</v>
      </c>
      <c r="G277">
        <v>2706953920</v>
      </c>
      <c r="H277">
        <v>2361656843</v>
      </c>
      <c r="I277">
        <v>1855745953</v>
      </c>
      <c r="J277">
        <v>1807548536</v>
      </c>
      <c r="K277">
        <v>1769435548</v>
      </c>
      <c r="L277">
        <v>1995813216</v>
      </c>
      <c r="M277">
        <v>1640415747</v>
      </c>
      <c r="N277">
        <v>1076779560</v>
      </c>
      <c r="O277">
        <v>538437738</v>
      </c>
      <c r="P277">
        <v>861</v>
      </c>
      <c r="Q277" t="s">
        <v>683</v>
      </c>
    </row>
    <row r="278" spans="1:17" x14ac:dyDescent="0.3">
      <c r="A278" t="s">
        <v>17</v>
      </c>
      <c r="B278" t="str">
        <f>"603128"</f>
        <v>603128</v>
      </c>
      <c r="C278" t="s">
        <v>684</v>
      </c>
      <c r="D278" t="s">
        <v>174</v>
      </c>
      <c r="E278">
        <v>4292521410</v>
      </c>
      <c r="F278">
        <v>2990894385</v>
      </c>
      <c r="G278">
        <v>2223347262</v>
      </c>
      <c r="H278">
        <v>1681490930</v>
      </c>
      <c r="I278">
        <v>1560136686</v>
      </c>
      <c r="J278">
        <v>1571286182</v>
      </c>
      <c r="K278">
        <v>1114497503</v>
      </c>
      <c r="L278">
        <v>1155899532</v>
      </c>
      <c r="M278">
        <v>1073176680</v>
      </c>
      <c r="N278">
        <v>910186141</v>
      </c>
      <c r="O278">
        <v>0</v>
      </c>
      <c r="P278">
        <v>273</v>
      </c>
      <c r="Q278" t="s">
        <v>685</v>
      </c>
    </row>
    <row r="279" spans="1:17" x14ac:dyDescent="0.3">
      <c r="A279" t="s">
        <v>17</v>
      </c>
      <c r="B279" t="str">
        <f>"601106"</f>
        <v>601106</v>
      </c>
      <c r="C279" t="s">
        <v>686</v>
      </c>
      <c r="D279" t="s">
        <v>311</v>
      </c>
      <c r="E279">
        <v>4290241169</v>
      </c>
      <c r="F279">
        <v>4154681010</v>
      </c>
      <c r="G279">
        <v>204826616</v>
      </c>
      <c r="H279">
        <v>9708422188</v>
      </c>
      <c r="I279">
        <v>10008259233</v>
      </c>
      <c r="J279">
        <v>10563896958</v>
      </c>
      <c r="K279">
        <v>13237647947</v>
      </c>
      <c r="L279">
        <v>11703159560</v>
      </c>
      <c r="M279">
        <v>9583557046</v>
      </c>
      <c r="N279">
        <v>11473452100</v>
      </c>
      <c r="O279">
        <v>9983063009</v>
      </c>
      <c r="P279">
        <v>175</v>
      </c>
      <c r="Q279" t="s">
        <v>687</v>
      </c>
    </row>
    <row r="280" spans="1:17" x14ac:dyDescent="0.3">
      <c r="A280" t="s">
        <v>17</v>
      </c>
      <c r="B280" t="str">
        <f>"600580"</f>
        <v>600580</v>
      </c>
      <c r="C280" t="s">
        <v>688</v>
      </c>
      <c r="D280" t="s">
        <v>689</v>
      </c>
      <c r="E280">
        <v>4279494616</v>
      </c>
      <c r="F280">
        <v>3509108078</v>
      </c>
      <c r="G280">
        <v>3340474517</v>
      </c>
      <c r="H280">
        <v>3513764538</v>
      </c>
      <c r="I280">
        <v>2815489793</v>
      </c>
      <c r="J280">
        <v>3085719677</v>
      </c>
      <c r="K280">
        <v>2814691336</v>
      </c>
      <c r="L280">
        <v>2797823056</v>
      </c>
      <c r="M280">
        <v>1774695519</v>
      </c>
      <c r="N280">
        <v>788250376</v>
      </c>
      <c r="O280">
        <v>761148416</v>
      </c>
      <c r="P280">
        <v>400</v>
      </c>
      <c r="Q280" t="s">
        <v>690</v>
      </c>
    </row>
    <row r="281" spans="1:17" x14ac:dyDescent="0.3">
      <c r="A281" t="s">
        <v>73</v>
      </c>
      <c r="B281" t="str">
        <f>"002432"</f>
        <v>002432</v>
      </c>
      <c r="C281" t="s">
        <v>691</v>
      </c>
      <c r="D281" t="s">
        <v>692</v>
      </c>
      <c r="E281">
        <v>4270591971</v>
      </c>
      <c r="F281">
        <v>181904176</v>
      </c>
      <c r="G281">
        <v>135782378</v>
      </c>
      <c r="H281">
        <v>92086312</v>
      </c>
      <c r="I281">
        <v>94465792</v>
      </c>
      <c r="J281">
        <v>117802532</v>
      </c>
      <c r="K281">
        <v>97233420</v>
      </c>
      <c r="L281">
        <v>114835387</v>
      </c>
      <c r="M281">
        <v>108914761</v>
      </c>
      <c r="N281">
        <v>99400890</v>
      </c>
      <c r="O281">
        <v>77205243</v>
      </c>
      <c r="P281">
        <v>281</v>
      </c>
      <c r="Q281" t="s">
        <v>693</v>
      </c>
    </row>
    <row r="282" spans="1:17" x14ac:dyDescent="0.3">
      <c r="A282" t="s">
        <v>17</v>
      </c>
      <c r="B282" t="str">
        <f>"600986"</f>
        <v>600986</v>
      </c>
      <c r="C282" t="s">
        <v>694</v>
      </c>
      <c r="D282" t="s">
        <v>425</v>
      </c>
      <c r="E282">
        <v>4258877228</v>
      </c>
      <c r="F282">
        <v>3490575731</v>
      </c>
      <c r="G282">
        <v>2893999633</v>
      </c>
      <c r="H282">
        <v>3729425395</v>
      </c>
      <c r="I282">
        <v>3433001849</v>
      </c>
      <c r="J282">
        <v>1996893726</v>
      </c>
      <c r="K282">
        <v>1361737837</v>
      </c>
      <c r="L282">
        <v>600724905</v>
      </c>
      <c r="M282">
        <v>586458652</v>
      </c>
      <c r="N282">
        <v>511186881</v>
      </c>
      <c r="O282">
        <v>475331129</v>
      </c>
      <c r="P282">
        <v>239</v>
      </c>
      <c r="Q282" t="s">
        <v>695</v>
      </c>
    </row>
    <row r="283" spans="1:17" x14ac:dyDescent="0.3">
      <c r="A283" t="s">
        <v>73</v>
      </c>
      <c r="B283" t="str">
        <f>"001979"</f>
        <v>001979</v>
      </c>
      <c r="C283" t="s">
        <v>696</v>
      </c>
      <c r="D283" t="s">
        <v>697</v>
      </c>
      <c r="E283">
        <v>4255089690</v>
      </c>
      <c r="F283">
        <v>3383868464</v>
      </c>
      <c r="G283">
        <v>2908465099</v>
      </c>
      <c r="H283">
        <v>1267663616</v>
      </c>
      <c r="I283">
        <v>296508667</v>
      </c>
      <c r="J283">
        <v>269500823</v>
      </c>
      <c r="K283">
        <v>132358856</v>
      </c>
      <c r="L283">
        <v>0</v>
      </c>
      <c r="P283">
        <v>1456</v>
      </c>
      <c r="Q283" t="s">
        <v>698</v>
      </c>
    </row>
    <row r="284" spans="1:17" x14ac:dyDescent="0.3">
      <c r="A284" t="s">
        <v>17</v>
      </c>
      <c r="B284" t="str">
        <f>"600863"</f>
        <v>600863</v>
      </c>
      <c r="C284" t="s">
        <v>699</v>
      </c>
      <c r="D284" t="s">
        <v>71</v>
      </c>
      <c r="E284">
        <v>4245160835</v>
      </c>
      <c r="F284">
        <v>2598527596</v>
      </c>
      <c r="G284">
        <v>2250392157</v>
      </c>
      <c r="H284">
        <v>2284818087</v>
      </c>
      <c r="I284">
        <v>1611399204</v>
      </c>
      <c r="J284">
        <v>1114736694</v>
      </c>
      <c r="K284">
        <v>905580929</v>
      </c>
      <c r="L284">
        <v>1112877210</v>
      </c>
      <c r="M284">
        <v>1131844275</v>
      </c>
      <c r="N284">
        <v>1107299506</v>
      </c>
      <c r="O284">
        <v>991375392</v>
      </c>
      <c r="P284">
        <v>310</v>
      </c>
      <c r="Q284" t="s">
        <v>700</v>
      </c>
    </row>
    <row r="285" spans="1:17" x14ac:dyDescent="0.3">
      <c r="A285" t="s">
        <v>17</v>
      </c>
      <c r="B285" t="str">
        <f>"600900"</f>
        <v>600900</v>
      </c>
      <c r="C285" t="s">
        <v>701</v>
      </c>
      <c r="D285" t="s">
        <v>290</v>
      </c>
      <c r="E285">
        <v>4240581903</v>
      </c>
      <c r="F285">
        <v>3372541744</v>
      </c>
      <c r="G285">
        <v>3863095905</v>
      </c>
      <c r="H285">
        <v>3537029111</v>
      </c>
      <c r="I285">
        <v>3143139933</v>
      </c>
      <c r="J285">
        <v>3372686280</v>
      </c>
      <c r="K285">
        <v>1853912532</v>
      </c>
      <c r="L285">
        <v>1703424502</v>
      </c>
      <c r="M285">
        <v>1363366814</v>
      </c>
      <c r="N285">
        <v>1391940833</v>
      </c>
      <c r="O285">
        <v>1445905514</v>
      </c>
      <c r="P285">
        <v>5902</v>
      </c>
      <c r="Q285" t="s">
        <v>702</v>
      </c>
    </row>
    <row r="286" spans="1:17" x14ac:dyDescent="0.3">
      <c r="A286" t="s">
        <v>73</v>
      </c>
      <c r="B286" t="str">
        <f>"300737"</f>
        <v>300737</v>
      </c>
      <c r="C286" t="s">
        <v>703</v>
      </c>
      <c r="D286" t="s">
        <v>317</v>
      </c>
      <c r="E286">
        <v>4218720514</v>
      </c>
      <c r="F286">
        <v>2649589567</v>
      </c>
      <c r="G286">
        <v>2064770599</v>
      </c>
      <c r="H286">
        <v>1467216639</v>
      </c>
      <c r="I286">
        <v>923342842</v>
      </c>
      <c r="J286">
        <v>0</v>
      </c>
      <c r="P286">
        <v>459</v>
      </c>
      <c r="Q286" t="s">
        <v>704</v>
      </c>
    </row>
    <row r="287" spans="1:17" x14ac:dyDescent="0.3">
      <c r="A287" t="s">
        <v>17</v>
      </c>
      <c r="B287" t="str">
        <f>"600018"</f>
        <v>600018</v>
      </c>
      <c r="C287" t="s">
        <v>705</v>
      </c>
      <c r="D287" t="s">
        <v>706</v>
      </c>
      <c r="E287">
        <v>4207305539</v>
      </c>
      <c r="F287">
        <v>3307905721</v>
      </c>
      <c r="G287">
        <v>2742867986</v>
      </c>
      <c r="H287">
        <v>3006398821</v>
      </c>
      <c r="I287">
        <v>2745982739</v>
      </c>
      <c r="J287">
        <v>2966027475</v>
      </c>
      <c r="K287">
        <v>2985589300</v>
      </c>
      <c r="L287">
        <v>2674991553</v>
      </c>
      <c r="M287">
        <v>2441169283</v>
      </c>
      <c r="N287">
        <v>2634901613</v>
      </c>
      <c r="O287">
        <v>2783186824</v>
      </c>
      <c r="P287">
        <v>876</v>
      </c>
      <c r="Q287" t="s">
        <v>707</v>
      </c>
    </row>
    <row r="288" spans="1:17" x14ac:dyDescent="0.3">
      <c r="A288" t="s">
        <v>17</v>
      </c>
      <c r="B288" t="str">
        <f>"600664"</f>
        <v>600664</v>
      </c>
      <c r="C288" t="s">
        <v>708</v>
      </c>
      <c r="D288" t="s">
        <v>348</v>
      </c>
      <c r="E288">
        <v>4199524542</v>
      </c>
      <c r="F288">
        <v>3807561337</v>
      </c>
      <c r="G288">
        <v>3443676994</v>
      </c>
      <c r="H288">
        <v>2977357125</v>
      </c>
      <c r="I288">
        <v>2872611817</v>
      </c>
      <c r="J288">
        <v>2786365405</v>
      </c>
      <c r="K288">
        <v>2402795502</v>
      </c>
      <c r="L288">
        <v>2682510972</v>
      </c>
      <c r="M288">
        <v>3012547567</v>
      </c>
      <c r="N288">
        <v>2986800905</v>
      </c>
      <c r="O288">
        <v>2907455561</v>
      </c>
      <c r="P288">
        <v>499</v>
      </c>
      <c r="Q288" t="s">
        <v>709</v>
      </c>
    </row>
    <row r="289" spans="1:17" x14ac:dyDescent="0.3">
      <c r="A289" t="s">
        <v>73</v>
      </c>
      <c r="B289" t="str">
        <f>"002135"</f>
        <v>002135</v>
      </c>
      <c r="C289" t="s">
        <v>710</v>
      </c>
      <c r="D289" t="s">
        <v>711</v>
      </c>
      <c r="E289">
        <v>4197236428</v>
      </c>
      <c r="F289">
        <v>3149999200</v>
      </c>
      <c r="G289">
        <v>2802954604</v>
      </c>
      <c r="H289">
        <v>2505463143</v>
      </c>
      <c r="I289">
        <v>2846858957</v>
      </c>
      <c r="J289">
        <v>2307259506</v>
      </c>
      <c r="K289">
        <v>2382333308</v>
      </c>
      <c r="L289">
        <v>1922877176</v>
      </c>
      <c r="M289">
        <v>1443213643</v>
      </c>
      <c r="N289">
        <v>1517794635</v>
      </c>
      <c r="O289">
        <v>1387651074</v>
      </c>
      <c r="P289">
        <v>163</v>
      </c>
      <c r="Q289" t="s">
        <v>712</v>
      </c>
    </row>
    <row r="290" spans="1:17" x14ac:dyDescent="0.3">
      <c r="A290" t="s">
        <v>73</v>
      </c>
      <c r="B290" t="str">
        <f>"002131"</f>
        <v>002131</v>
      </c>
      <c r="C290" t="s">
        <v>713</v>
      </c>
      <c r="D290" t="s">
        <v>425</v>
      </c>
      <c r="E290">
        <v>4192454264</v>
      </c>
      <c r="F290">
        <v>4779843326</v>
      </c>
      <c r="G290">
        <v>4355858391</v>
      </c>
      <c r="H290">
        <v>4364162030</v>
      </c>
      <c r="I290">
        <v>4941074670</v>
      </c>
      <c r="J290">
        <v>3214667890</v>
      </c>
      <c r="K290">
        <v>2108256789</v>
      </c>
      <c r="L290">
        <v>1306519554</v>
      </c>
      <c r="M290">
        <v>646260823</v>
      </c>
      <c r="N290">
        <v>580735272</v>
      </c>
      <c r="O290">
        <v>537245003</v>
      </c>
      <c r="P290">
        <v>417</v>
      </c>
      <c r="Q290" t="s">
        <v>714</v>
      </c>
    </row>
    <row r="291" spans="1:17" x14ac:dyDescent="0.3">
      <c r="A291" t="s">
        <v>17</v>
      </c>
      <c r="B291" t="str">
        <f>"601633"</f>
        <v>601633</v>
      </c>
      <c r="C291" t="s">
        <v>715</v>
      </c>
      <c r="D291" t="s">
        <v>58</v>
      </c>
      <c r="E291">
        <v>4167703916</v>
      </c>
      <c r="F291">
        <v>2850393824</v>
      </c>
      <c r="G291">
        <v>2731776351</v>
      </c>
      <c r="H291">
        <v>3249762996</v>
      </c>
      <c r="I291">
        <v>893933431</v>
      </c>
      <c r="J291">
        <v>605167085</v>
      </c>
      <c r="K291">
        <v>639381322</v>
      </c>
      <c r="L291">
        <v>728141820</v>
      </c>
      <c r="M291">
        <v>700827894</v>
      </c>
      <c r="N291">
        <v>661418962</v>
      </c>
      <c r="O291">
        <v>615927445</v>
      </c>
      <c r="P291">
        <v>2066</v>
      </c>
      <c r="Q291" t="s">
        <v>716</v>
      </c>
    </row>
    <row r="292" spans="1:17" x14ac:dyDescent="0.3">
      <c r="A292" t="s">
        <v>73</v>
      </c>
      <c r="B292" t="str">
        <f>"002050"</f>
        <v>002050</v>
      </c>
      <c r="C292" t="s">
        <v>717</v>
      </c>
      <c r="D292" t="s">
        <v>654</v>
      </c>
      <c r="E292">
        <v>4162705168</v>
      </c>
      <c r="F292">
        <v>2547719381</v>
      </c>
      <c r="G292">
        <v>1820026325</v>
      </c>
      <c r="H292">
        <v>2192268574</v>
      </c>
      <c r="I292">
        <v>1919596791</v>
      </c>
      <c r="J292">
        <v>1298207040</v>
      </c>
      <c r="K292">
        <v>1236495990</v>
      </c>
      <c r="L292">
        <v>1013118007</v>
      </c>
      <c r="M292">
        <v>1095439720</v>
      </c>
      <c r="N292">
        <v>964753699</v>
      </c>
      <c r="O292">
        <v>586945161</v>
      </c>
      <c r="P292">
        <v>2043</v>
      </c>
      <c r="Q292" t="s">
        <v>718</v>
      </c>
    </row>
    <row r="293" spans="1:17" x14ac:dyDescent="0.3">
      <c r="A293" t="s">
        <v>73</v>
      </c>
      <c r="B293" t="str">
        <f>"000883"</f>
        <v>000883</v>
      </c>
      <c r="C293" t="s">
        <v>719</v>
      </c>
      <c r="D293" t="s">
        <v>314</v>
      </c>
      <c r="E293">
        <v>4158561631</v>
      </c>
      <c r="F293">
        <v>3178098093</v>
      </c>
      <c r="G293">
        <v>2266631331</v>
      </c>
      <c r="H293">
        <v>1659830385</v>
      </c>
      <c r="I293">
        <v>1499839444</v>
      </c>
      <c r="J293">
        <v>1155168090</v>
      </c>
      <c r="K293">
        <v>777832674</v>
      </c>
      <c r="L293">
        <v>784897558</v>
      </c>
      <c r="M293">
        <v>675399398</v>
      </c>
      <c r="N293">
        <v>623711658</v>
      </c>
      <c r="O293">
        <v>1279762378</v>
      </c>
      <c r="P293">
        <v>419</v>
      </c>
      <c r="Q293" t="s">
        <v>720</v>
      </c>
    </row>
    <row r="294" spans="1:17" x14ac:dyDescent="0.3">
      <c r="A294" t="s">
        <v>17</v>
      </c>
      <c r="B294" t="str">
        <f>"600480"</f>
        <v>600480</v>
      </c>
      <c r="C294" t="s">
        <v>721</v>
      </c>
      <c r="D294" t="s">
        <v>722</v>
      </c>
      <c r="E294">
        <v>4150671502</v>
      </c>
      <c r="F294">
        <v>3710480690</v>
      </c>
      <c r="G294">
        <v>2380922798</v>
      </c>
      <c r="H294">
        <v>3018000574</v>
      </c>
      <c r="I294">
        <v>2881765973</v>
      </c>
      <c r="J294">
        <v>2550222866</v>
      </c>
      <c r="K294">
        <v>2018926293</v>
      </c>
      <c r="L294">
        <v>1737142316</v>
      </c>
      <c r="M294">
        <v>1810049745</v>
      </c>
      <c r="N294">
        <v>1477619877</v>
      </c>
      <c r="O294">
        <v>1204039261</v>
      </c>
      <c r="P294">
        <v>171</v>
      </c>
      <c r="Q294" t="s">
        <v>723</v>
      </c>
    </row>
    <row r="295" spans="1:17" x14ac:dyDescent="0.3">
      <c r="A295" t="s">
        <v>17</v>
      </c>
      <c r="B295" t="str">
        <f>"603108"</f>
        <v>603108</v>
      </c>
      <c r="C295" t="s">
        <v>724</v>
      </c>
      <c r="D295" t="s">
        <v>345</v>
      </c>
      <c r="E295">
        <v>4146040884</v>
      </c>
      <c r="F295">
        <v>3461897769</v>
      </c>
      <c r="G295">
        <v>2798785405</v>
      </c>
      <c r="H295">
        <v>2601246566</v>
      </c>
      <c r="I295">
        <v>2080201641</v>
      </c>
      <c r="J295">
        <v>1213695818</v>
      </c>
      <c r="K295">
        <v>610271924</v>
      </c>
      <c r="L295">
        <v>413840824</v>
      </c>
      <c r="M295">
        <v>0</v>
      </c>
      <c r="P295">
        <v>336</v>
      </c>
      <c r="Q295" t="s">
        <v>725</v>
      </c>
    </row>
    <row r="296" spans="1:17" x14ac:dyDescent="0.3">
      <c r="A296" t="s">
        <v>17</v>
      </c>
      <c r="B296" t="str">
        <f>"600760"</f>
        <v>600760</v>
      </c>
      <c r="C296" t="s">
        <v>726</v>
      </c>
      <c r="D296" t="s">
        <v>130</v>
      </c>
      <c r="E296">
        <v>4122410189</v>
      </c>
      <c r="F296">
        <v>5321930684</v>
      </c>
      <c r="G296">
        <v>4170541130</v>
      </c>
      <c r="H296">
        <v>2774915263</v>
      </c>
      <c r="I296">
        <v>1971540912</v>
      </c>
      <c r="J296">
        <v>51178808</v>
      </c>
      <c r="K296">
        <v>175339687</v>
      </c>
      <c r="L296">
        <v>284016555</v>
      </c>
      <c r="M296">
        <v>442416439</v>
      </c>
      <c r="N296">
        <v>217101218</v>
      </c>
      <c r="O296">
        <v>179732138</v>
      </c>
      <c r="P296">
        <v>827</v>
      </c>
      <c r="Q296" t="s">
        <v>727</v>
      </c>
    </row>
    <row r="297" spans="1:17" x14ac:dyDescent="0.3">
      <c r="A297" t="s">
        <v>17</v>
      </c>
      <c r="B297" t="str">
        <f>"601666"</f>
        <v>601666</v>
      </c>
      <c r="C297" t="s">
        <v>728</v>
      </c>
      <c r="D297" t="s">
        <v>492</v>
      </c>
      <c r="E297">
        <v>4100575437</v>
      </c>
      <c r="F297">
        <v>1737709369</v>
      </c>
      <c r="G297">
        <v>2557787193</v>
      </c>
      <c r="H297">
        <v>1023269087</v>
      </c>
      <c r="I297">
        <v>2693654892</v>
      </c>
      <c r="J297">
        <v>1992203889</v>
      </c>
      <c r="K297">
        <v>2029624278</v>
      </c>
      <c r="L297">
        <v>2709296199</v>
      </c>
      <c r="M297">
        <v>2000631946</v>
      </c>
      <c r="N297">
        <v>950094685</v>
      </c>
      <c r="O297">
        <v>303803251</v>
      </c>
      <c r="P297">
        <v>401</v>
      </c>
      <c r="Q297" t="s">
        <v>729</v>
      </c>
    </row>
    <row r="298" spans="1:17" x14ac:dyDescent="0.3">
      <c r="A298" t="s">
        <v>17</v>
      </c>
      <c r="B298" t="str">
        <f>"600829"</f>
        <v>600829</v>
      </c>
      <c r="C298" t="s">
        <v>730</v>
      </c>
      <c r="D298" t="s">
        <v>50</v>
      </c>
      <c r="E298">
        <v>4093130494</v>
      </c>
      <c r="F298">
        <v>3672416944</v>
      </c>
      <c r="G298">
        <v>3286075484</v>
      </c>
      <c r="H298">
        <v>2783818231</v>
      </c>
      <c r="I298">
        <v>2631779772</v>
      </c>
      <c r="J298">
        <v>2537654493</v>
      </c>
      <c r="K298">
        <v>2187414854</v>
      </c>
      <c r="L298">
        <v>1679080816</v>
      </c>
      <c r="M298">
        <v>554858819</v>
      </c>
      <c r="N298">
        <v>591075252</v>
      </c>
      <c r="O298">
        <v>485667462</v>
      </c>
      <c r="P298">
        <v>1902</v>
      </c>
      <c r="Q298" t="s">
        <v>731</v>
      </c>
    </row>
    <row r="299" spans="1:17" x14ac:dyDescent="0.3">
      <c r="A299" t="s">
        <v>17</v>
      </c>
      <c r="B299" t="str">
        <f>"601222"</f>
        <v>601222</v>
      </c>
      <c r="C299" t="s">
        <v>732</v>
      </c>
      <c r="D299" t="s">
        <v>278</v>
      </c>
      <c r="E299">
        <v>4085558943</v>
      </c>
      <c r="F299">
        <v>4074671736</v>
      </c>
      <c r="G299">
        <v>3072708058</v>
      </c>
      <c r="H299">
        <v>2888274098</v>
      </c>
      <c r="I299">
        <v>1961248454</v>
      </c>
      <c r="J299">
        <v>1460433972</v>
      </c>
      <c r="K299">
        <v>1369945299</v>
      </c>
      <c r="L299">
        <v>1196531840</v>
      </c>
      <c r="M299">
        <v>671495747</v>
      </c>
      <c r="N299">
        <v>720716009</v>
      </c>
      <c r="O299">
        <v>510689673</v>
      </c>
      <c r="P299">
        <v>556</v>
      </c>
      <c r="Q299" t="s">
        <v>733</v>
      </c>
    </row>
    <row r="300" spans="1:17" x14ac:dyDescent="0.3">
      <c r="A300" t="s">
        <v>17</v>
      </c>
      <c r="B300" t="str">
        <f>"600219"</f>
        <v>600219</v>
      </c>
      <c r="C300" t="s">
        <v>734</v>
      </c>
      <c r="D300" t="s">
        <v>616</v>
      </c>
      <c r="E300">
        <v>4080646640</v>
      </c>
      <c r="F300">
        <v>2587940535</v>
      </c>
      <c r="G300">
        <v>2440137139</v>
      </c>
      <c r="H300">
        <v>2398507890</v>
      </c>
      <c r="I300">
        <v>2622995592</v>
      </c>
      <c r="J300">
        <v>1531203078</v>
      </c>
      <c r="K300">
        <v>1042551067</v>
      </c>
      <c r="L300">
        <v>936156149</v>
      </c>
      <c r="M300">
        <v>731604604</v>
      </c>
      <c r="N300">
        <v>853657565</v>
      </c>
      <c r="O300">
        <v>610193057</v>
      </c>
      <c r="P300">
        <v>609</v>
      </c>
      <c r="Q300" t="s">
        <v>735</v>
      </c>
    </row>
    <row r="301" spans="1:17" x14ac:dyDescent="0.3">
      <c r="A301" t="s">
        <v>73</v>
      </c>
      <c r="B301" t="str">
        <f>"002745"</f>
        <v>002745</v>
      </c>
      <c r="C301" t="s">
        <v>736</v>
      </c>
      <c r="D301" t="s">
        <v>737</v>
      </c>
      <c r="E301">
        <v>4078570503</v>
      </c>
      <c r="F301">
        <v>4008839800</v>
      </c>
      <c r="G301">
        <v>4278652930</v>
      </c>
      <c r="H301">
        <v>4227922878</v>
      </c>
      <c r="I301">
        <v>1930998566</v>
      </c>
      <c r="J301">
        <v>1408132547</v>
      </c>
      <c r="K301">
        <v>398396936</v>
      </c>
      <c r="L301">
        <v>490694459</v>
      </c>
      <c r="M301">
        <v>0</v>
      </c>
      <c r="P301">
        <v>324</v>
      </c>
      <c r="Q301" t="s">
        <v>738</v>
      </c>
    </row>
    <row r="302" spans="1:17" x14ac:dyDescent="0.3">
      <c r="A302" t="s">
        <v>17</v>
      </c>
      <c r="B302" t="str">
        <f>"600416"</f>
        <v>600416</v>
      </c>
      <c r="C302" t="s">
        <v>739</v>
      </c>
      <c r="D302" t="s">
        <v>136</v>
      </c>
      <c r="E302">
        <v>4061805830</v>
      </c>
      <c r="F302">
        <v>3570221502</v>
      </c>
      <c r="G302">
        <v>4718418877</v>
      </c>
      <c r="H302">
        <v>5933133148</v>
      </c>
      <c r="I302">
        <v>7324850320</v>
      </c>
      <c r="J302">
        <v>6881684620</v>
      </c>
      <c r="K302">
        <v>7329253588</v>
      </c>
      <c r="L302">
        <v>6130548502</v>
      </c>
      <c r="M302">
        <v>5912674428</v>
      </c>
      <c r="N302">
        <v>5352471615</v>
      </c>
      <c r="O302">
        <v>5316715846</v>
      </c>
      <c r="P302">
        <v>149</v>
      </c>
      <c r="Q302" t="s">
        <v>740</v>
      </c>
    </row>
    <row r="303" spans="1:17" x14ac:dyDescent="0.3">
      <c r="A303" t="s">
        <v>73</v>
      </c>
      <c r="B303" t="str">
        <f>"000009"</f>
        <v>000009</v>
      </c>
      <c r="C303" t="s">
        <v>741</v>
      </c>
      <c r="D303" t="s">
        <v>561</v>
      </c>
      <c r="E303">
        <v>4056641856</v>
      </c>
      <c r="F303">
        <v>2079692729</v>
      </c>
      <c r="G303">
        <v>1701205792</v>
      </c>
      <c r="H303">
        <v>2268417030</v>
      </c>
      <c r="I303">
        <v>2262586875</v>
      </c>
      <c r="J303">
        <v>1420315437</v>
      </c>
      <c r="K303">
        <v>1214855856</v>
      </c>
      <c r="L303">
        <v>857193728</v>
      </c>
      <c r="M303">
        <v>870011841</v>
      </c>
      <c r="N303">
        <v>688078066</v>
      </c>
      <c r="O303">
        <v>571080504</v>
      </c>
      <c r="P303">
        <v>468</v>
      </c>
      <c r="Q303" t="s">
        <v>742</v>
      </c>
    </row>
    <row r="304" spans="1:17" x14ac:dyDescent="0.3">
      <c r="A304" t="s">
        <v>17</v>
      </c>
      <c r="B304" t="str">
        <f>"600835"</f>
        <v>600835</v>
      </c>
      <c r="C304" t="s">
        <v>743</v>
      </c>
      <c r="D304" t="s">
        <v>744</v>
      </c>
      <c r="E304">
        <v>4017214036</v>
      </c>
      <c r="F304">
        <v>3088605569</v>
      </c>
      <c r="G304">
        <v>2514452400</v>
      </c>
      <c r="H304">
        <v>2270893515</v>
      </c>
      <c r="I304">
        <v>2477546460</v>
      </c>
      <c r="J304">
        <v>2082766775</v>
      </c>
      <c r="K304">
        <v>1982130085</v>
      </c>
      <c r="L304">
        <v>2132621696</v>
      </c>
      <c r="M304">
        <v>1969879044</v>
      </c>
      <c r="N304">
        <v>1881983587</v>
      </c>
      <c r="O304">
        <v>1411959382</v>
      </c>
      <c r="P304">
        <v>661</v>
      </c>
      <c r="Q304" t="s">
        <v>745</v>
      </c>
    </row>
    <row r="305" spans="1:17" x14ac:dyDescent="0.3">
      <c r="A305" t="s">
        <v>73</v>
      </c>
      <c r="B305" t="str">
        <f>"300376"</f>
        <v>300376</v>
      </c>
      <c r="C305" t="s">
        <v>746</v>
      </c>
      <c r="D305" t="s">
        <v>747</v>
      </c>
      <c r="E305">
        <v>4005058913</v>
      </c>
      <c r="F305">
        <v>3122847422</v>
      </c>
      <c r="G305">
        <v>3523489142</v>
      </c>
      <c r="H305">
        <v>3486872119</v>
      </c>
      <c r="I305">
        <v>3450923667</v>
      </c>
      <c r="J305">
        <v>3173881616</v>
      </c>
      <c r="K305">
        <v>1357133944</v>
      </c>
      <c r="L305">
        <v>1044337004</v>
      </c>
      <c r="M305">
        <v>785939417</v>
      </c>
      <c r="N305">
        <v>0</v>
      </c>
      <c r="P305">
        <v>849</v>
      </c>
      <c r="Q305" t="s">
        <v>748</v>
      </c>
    </row>
    <row r="306" spans="1:17" x14ac:dyDescent="0.3">
      <c r="A306" t="s">
        <v>73</v>
      </c>
      <c r="B306" t="str">
        <f>"200016"</f>
        <v>200016</v>
      </c>
      <c r="C306" t="s">
        <v>749</v>
      </c>
      <c r="E306">
        <v>4000269954.9000001</v>
      </c>
      <c r="F306">
        <v>5101794201.0019999</v>
      </c>
      <c r="G306">
        <v>4986715296.0654001</v>
      </c>
      <c r="H306">
        <v>5990407160.2038002</v>
      </c>
      <c r="I306">
        <v>5315053676.4020004</v>
      </c>
      <c r="J306">
        <v>2299475959.8916001</v>
      </c>
      <c r="K306">
        <v>2538232436.5321002</v>
      </c>
      <c r="L306">
        <v>2763949622.5</v>
      </c>
      <c r="M306">
        <v>2330846017.0956001</v>
      </c>
      <c r="N306">
        <v>2397689549.5314002</v>
      </c>
      <c r="O306">
        <v>2176366570.1009998</v>
      </c>
      <c r="P306">
        <v>36</v>
      </c>
      <c r="Q306" t="s">
        <v>750</v>
      </c>
    </row>
    <row r="307" spans="1:17" x14ac:dyDescent="0.3">
      <c r="A307" t="s">
        <v>73</v>
      </c>
      <c r="B307" t="str">
        <f>"002276"</f>
        <v>002276</v>
      </c>
      <c r="C307" t="s">
        <v>751</v>
      </c>
      <c r="D307" t="s">
        <v>515</v>
      </c>
      <c r="E307">
        <v>3970708464</v>
      </c>
      <c r="F307">
        <v>2869272371</v>
      </c>
      <c r="G307">
        <v>2725839084</v>
      </c>
      <c r="H307">
        <v>3225969375</v>
      </c>
      <c r="I307">
        <v>2947988173</v>
      </c>
      <c r="J307">
        <v>2189112619</v>
      </c>
      <c r="K307">
        <v>2160821116</v>
      </c>
      <c r="L307">
        <v>1932715854</v>
      </c>
      <c r="M307">
        <v>1663801877</v>
      </c>
      <c r="N307">
        <v>1376849046</v>
      </c>
      <c r="O307">
        <v>848537792</v>
      </c>
      <c r="P307">
        <v>255</v>
      </c>
      <c r="Q307" t="s">
        <v>752</v>
      </c>
    </row>
    <row r="308" spans="1:17" x14ac:dyDescent="0.3">
      <c r="A308" t="s">
        <v>17</v>
      </c>
      <c r="B308" t="str">
        <f>"600584"</f>
        <v>600584</v>
      </c>
      <c r="C308" t="s">
        <v>753</v>
      </c>
      <c r="D308" t="s">
        <v>554</v>
      </c>
      <c r="E308">
        <v>3944500708</v>
      </c>
      <c r="F308">
        <v>3457664714</v>
      </c>
      <c r="G308">
        <v>3004234491</v>
      </c>
      <c r="H308">
        <v>2391304315</v>
      </c>
      <c r="I308">
        <v>2914837595</v>
      </c>
      <c r="J308">
        <v>2182491933</v>
      </c>
      <c r="K308">
        <v>1729633727</v>
      </c>
      <c r="L308">
        <v>740996916</v>
      </c>
      <c r="M308">
        <v>610617246</v>
      </c>
      <c r="N308">
        <v>526128247</v>
      </c>
      <c r="O308">
        <v>423550296</v>
      </c>
      <c r="P308">
        <v>1664</v>
      </c>
      <c r="Q308" t="s">
        <v>754</v>
      </c>
    </row>
    <row r="309" spans="1:17" x14ac:dyDescent="0.3">
      <c r="A309" t="s">
        <v>73</v>
      </c>
      <c r="B309" t="str">
        <f>"000049"</f>
        <v>000049</v>
      </c>
      <c r="C309" t="s">
        <v>755</v>
      </c>
      <c r="D309" t="s">
        <v>125</v>
      </c>
      <c r="E309">
        <v>3938571058</v>
      </c>
      <c r="F309">
        <v>3265157923</v>
      </c>
      <c r="G309">
        <v>2632913921</v>
      </c>
      <c r="H309">
        <v>2826382497</v>
      </c>
      <c r="I309">
        <v>2122287774</v>
      </c>
      <c r="J309">
        <v>1906945639</v>
      </c>
      <c r="K309">
        <v>1136798569</v>
      </c>
      <c r="L309">
        <v>1221326354</v>
      </c>
      <c r="M309">
        <v>983036273</v>
      </c>
      <c r="N309">
        <v>539043643</v>
      </c>
      <c r="O309">
        <v>518663184</v>
      </c>
      <c r="P309">
        <v>41582</v>
      </c>
      <c r="Q309" t="s">
        <v>756</v>
      </c>
    </row>
    <row r="310" spans="1:17" x14ac:dyDescent="0.3">
      <c r="A310" t="s">
        <v>73</v>
      </c>
      <c r="B310" t="str">
        <f>"000166"</f>
        <v>000166</v>
      </c>
      <c r="C310" t="s">
        <v>757</v>
      </c>
      <c r="D310" t="s">
        <v>53</v>
      </c>
      <c r="E310">
        <v>3933578799</v>
      </c>
      <c r="F310">
        <v>3526636127</v>
      </c>
      <c r="G310">
        <v>4029106415</v>
      </c>
      <c r="H310">
        <v>2390394250</v>
      </c>
      <c r="I310">
        <v>1759526161</v>
      </c>
      <c r="J310">
        <v>1655394502</v>
      </c>
      <c r="K310">
        <v>1446241456.78</v>
      </c>
      <c r="L310">
        <v>1744481077.1700001</v>
      </c>
      <c r="M310">
        <v>336052070.19</v>
      </c>
      <c r="P310">
        <v>2819</v>
      </c>
      <c r="Q310" t="s">
        <v>758</v>
      </c>
    </row>
    <row r="311" spans="1:17" x14ac:dyDescent="0.3">
      <c r="A311" t="s">
        <v>17</v>
      </c>
      <c r="B311" t="str">
        <f>"600517"</f>
        <v>600517</v>
      </c>
      <c r="C311" t="s">
        <v>759</v>
      </c>
      <c r="D311" t="s">
        <v>224</v>
      </c>
      <c r="E311">
        <v>3929106834</v>
      </c>
      <c r="F311">
        <v>4054318690</v>
      </c>
      <c r="G311">
        <v>3222987322</v>
      </c>
      <c r="H311">
        <v>4196573323</v>
      </c>
      <c r="I311">
        <v>3200974344</v>
      </c>
      <c r="J311">
        <v>3238243772</v>
      </c>
      <c r="K311">
        <v>3654708756</v>
      </c>
      <c r="L311">
        <v>2143092325</v>
      </c>
      <c r="M311">
        <v>1830508313</v>
      </c>
      <c r="N311">
        <v>1237742146</v>
      </c>
      <c r="O311">
        <v>562733670</v>
      </c>
      <c r="P311">
        <v>246</v>
      </c>
      <c r="Q311" t="s">
        <v>760</v>
      </c>
    </row>
    <row r="312" spans="1:17" x14ac:dyDescent="0.3">
      <c r="A312" t="s">
        <v>17</v>
      </c>
      <c r="B312" t="str">
        <f>"600438"</f>
        <v>600438</v>
      </c>
      <c r="C312" t="s">
        <v>761</v>
      </c>
      <c r="D312" t="s">
        <v>512</v>
      </c>
      <c r="E312">
        <v>3911097451</v>
      </c>
      <c r="F312">
        <v>1326125934</v>
      </c>
      <c r="G312">
        <v>1847529336</v>
      </c>
      <c r="H312">
        <v>1467105365</v>
      </c>
      <c r="I312">
        <v>819899982</v>
      </c>
      <c r="J312">
        <v>698322664</v>
      </c>
      <c r="K312">
        <v>351866872</v>
      </c>
      <c r="L312">
        <v>265878901</v>
      </c>
      <c r="M312">
        <v>257442265</v>
      </c>
      <c r="N312">
        <v>290290542</v>
      </c>
      <c r="O312">
        <v>279785066</v>
      </c>
      <c r="P312">
        <v>2549</v>
      </c>
      <c r="Q312" t="s">
        <v>762</v>
      </c>
    </row>
    <row r="313" spans="1:17" x14ac:dyDescent="0.3">
      <c r="A313" t="s">
        <v>73</v>
      </c>
      <c r="B313" t="str">
        <f>"002048"</f>
        <v>002048</v>
      </c>
      <c r="C313" t="s">
        <v>763</v>
      </c>
      <c r="D313" t="s">
        <v>106</v>
      </c>
      <c r="E313">
        <v>3883746392</v>
      </c>
      <c r="F313">
        <v>3417998276</v>
      </c>
      <c r="G313">
        <v>1549976007</v>
      </c>
      <c r="H313">
        <v>3102347258</v>
      </c>
      <c r="I313">
        <v>2481728614</v>
      </c>
      <c r="J313">
        <v>2847630705</v>
      </c>
      <c r="K313">
        <v>2104613709</v>
      </c>
      <c r="L313">
        <v>1833216674</v>
      </c>
      <c r="M313">
        <v>1633440675</v>
      </c>
      <c r="N313">
        <v>1215645167</v>
      </c>
      <c r="O313">
        <v>685930573</v>
      </c>
      <c r="P313">
        <v>645</v>
      </c>
      <c r="Q313" t="s">
        <v>764</v>
      </c>
    </row>
    <row r="314" spans="1:17" x14ac:dyDescent="0.3">
      <c r="A314" t="s">
        <v>17</v>
      </c>
      <c r="B314" t="str">
        <f>"600491"</f>
        <v>600491</v>
      </c>
      <c r="C314" t="s">
        <v>765</v>
      </c>
      <c r="D314" t="s">
        <v>19</v>
      </c>
      <c r="E314">
        <v>3842207831</v>
      </c>
      <c r="F314">
        <v>2934727986</v>
      </c>
      <c r="G314">
        <v>3912066238</v>
      </c>
      <c r="H314">
        <v>8678552098</v>
      </c>
      <c r="I314">
        <v>8100614375</v>
      </c>
      <c r="J314">
        <v>6765614131</v>
      </c>
      <c r="K314">
        <v>6353952776</v>
      </c>
      <c r="L314">
        <v>4803978078</v>
      </c>
      <c r="M314">
        <v>4217015665</v>
      </c>
      <c r="N314">
        <v>3533822119</v>
      </c>
      <c r="O314">
        <v>2409734516</v>
      </c>
      <c r="P314">
        <v>116</v>
      </c>
      <c r="Q314" t="s">
        <v>766</v>
      </c>
    </row>
    <row r="315" spans="1:17" x14ac:dyDescent="0.3">
      <c r="A315" t="s">
        <v>73</v>
      </c>
      <c r="B315" t="str">
        <f>"002542"</f>
        <v>002542</v>
      </c>
      <c r="C315" t="s">
        <v>767</v>
      </c>
      <c r="D315" t="s">
        <v>39</v>
      </c>
      <c r="E315">
        <v>3835173790</v>
      </c>
      <c r="F315">
        <v>4208920790</v>
      </c>
      <c r="G315">
        <v>2631307067</v>
      </c>
      <c r="H315">
        <v>2059900464</v>
      </c>
      <c r="I315">
        <v>1670048974</v>
      </c>
      <c r="J315">
        <v>1056466239</v>
      </c>
      <c r="K315">
        <v>862005007</v>
      </c>
      <c r="L315">
        <v>797782812</v>
      </c>
      <c r="M315">
        <v>242806615</v>
      </c>
      <c r="N315">
        <v>215745409</v>
      </c>
      <c r="O315">
        <v>73151215</v>
      </c>
      <c r="P315">
        <v>161</v>
      </c>
      <c r="Q315" t="s">
        <v>768</v>
      </c>
    </row>
    <row r="316" spans="1:17" x14ac:dyDescent="0.3">
      <c r="A316" t="s">
        <v>73</v>
      </c>
      <c r="B316" t="str">
        <f>"002301"</f>
        <v>002301</v>
      </c>
      <c r="C316" t="s">
        <v>769</v>
      </c>
      <c r="D316" t="s">
        <v>770</v>
      </c>
      <c r="E316">
        <v>3830270237</v>
      </c>
      <c r="F316">
        <v>3130703569</v>
      </c>
      <c r="G316">
        <v>1775913226</v>
      </c>
      <c r="H316">
        <v>825285531</v>
      </c>
      <c r="I316">
        <v>474661538</v>
      </c>
      <c r="J316">
        <v>363048901</v>
      </c>
      <c r="K316">
        <v>266462060</v>
      </c>
      <c r="L316">
        <v>371745154</v>
      </c>
      <c r="M316">
        <v>380653535</v>
      </c>
      <c r="N316">
        <v>348693648</v>
      </c>
      <c r="O316">
        <v>175183097</v>
      </c>
      <c r="P316">
        <v>202</v>
      </c>
      <c r="Q316" t="s">
        <v>771</v>
      </c>
    </row>
    <row r="317" spans="1:17" x14ac:dyDescent="0.3">
      <c r="A317" t="s">
        <v>17</v>
      </c>
      <c r="B317" t="str">
        <f>"603392"</f>
        <v>603392</v>
      </c>
      <c r="C317" t="s">
        <v>772</v>
      </c>
      <c r="D317" t="s">
        <v>773</v>
      </c>
      <c r="E317">
        <v>3815806780</v>
      </c>
      <c r="F317">
        <v>951395973</v>
      </c>
      <c r="G317">
        <v>253573919</v>
      </c>
      <c r="P317">
        <v>552</v>
      </c>
      <c r="Q317" t="s">
        <v>774</v>
      </c>
    </row>
    <row r="318" spans="1:17" x14ac:dyDescent="0.3">
      <c r="A318" t="s">
        <v>17</v>
      </c>
      <c r="B318" t="str">
        <f>"600486"</f>
        <v>600486</v>
      </c>
      <c r="C318" t="s">
        <v>775</v>
      </c>
      <c r="D318" t="s">
        <v>272</v>
      </c>
      <c r="E318">
        <v>3772540051</v>
      </c>
      <c r="F318">
        <v>2246725983</v>
      </c>
      <c r="G318">
        <v>2435298297</v>
      </c>
      <c r="H318">
        <v>1087280111</v>
      </c>
      <c r="I318">
        <v>977610650</v>
      </c>
      <c r="J318">
        <v>726433092</v>
      </c>
      <c r="K318">
        <v>763557599</v>
      </c>
      <c r="L318">
        <v>516613176</v>
      </c>
      <c r="M318">
        <v>451220281</v>
      </c>
      <c r="N318">
        <v>327017394</v>
      </c>
      <c r="O318">
        <v>242816193</v>
      </c>
      <c r="P318">
        <v>1251</v>
      </c>
      <c r="Q318" t="s">
        <v>776</v>
      </c>
    </row>
    <row r="319" spans="1:17" x14ac:dyDescent="0.3">
      <c r="A319" t="s">
        <v>17</v>
      </c>
      <c r="B319" t="str">
        <f>"600458"</f>
        <v>600458</v>
      </c>
      <c r="C319" t="s">
        <v>777</v>
      </c>
      <c r="D319" t="s">
        <v>778</v>
      </c>
      <c r="E319">
        <v>3762224136</v>
      </c>
      <c r="F319">
        <v>3226722700</v>
      </c>
      <c r="G319">
        <v>1821123424</v>
      </c>
      <c r="H319">
        <v>3214684790</v>
      </c>
      <c r="I319">
        <v>3584301945</v>
      </c>
      <c r="J319">
        <v>3051079534</v>
      </c>
      <c r="K319">
        <v>3238056726</v>
      </c>
      <c r="L319">
        <v>2767077961</v>
      </c>
      <c r="M319">
        <v>1624400644</v>
      </c>
      <c r="N319">
        <v>1495978853</v>
      </c>
      <c r="O319">
        <v>1460101542</v>
      </c>
      <c r="P319">
        <v>244</v>
      </c>
      <c r="Q319" t="s">
        <v>779</v>
      </c>
    </row>
    <row r="320" spans="1:17" x14ac:dyDescent="0.3">
      <c r="A320" t="s">
        <v>73</v>
      </c>
      <c r="B320" t="str">
        <f>"300428"</f>
        <v>300428</v>
      </c>
      <c r="C320" t="s">
        <v>780</v>
      </c>
      <c r="D320" t="s">
        <v>781</v>
      </c>
      <c r="E320">
        <v>3748815673</v>
      </c>
      <c r="F320">
        <v>2658433852</v>
      </c>
      <c r="G320">
        <v>990627606</v>
      </c>
      <c r="H320">
        <v>0</v>
      </c>
      <c r="I320">
        <v>177886970</v>
      </c>
      <c r="J320">
        <v>150118454</v>
      </c>
      <c r="K320">
        <v>134990100</v>
      </c>
      <c r="L320">
        <v>118051333</v>
      </c>
      <c r="M320">
        <v>0</v>
      </c>
      <c r="P320">
        <v>171</v>
      </c>
      <c r="Q320" t="s">
        <v>782</v>
      </c>
    </row>
    <row r="321" spans="1:17" x14ac:dyDescent="0.3">
      <c r="A321" t="s">
        <v>73</v>
      </c>
      <c r="B321" t="str">
        <f>"002061"</f>
        <v>002061</v>
      </c>
      <c r="C321" t="s">
        <v>783</v>
      </c>
      <c r="D321" t="s">
        <v>22</v>
      </c>
      <c r="E321">
        <v>3721989430</v>
      </c>
      <c r="F321">
        <v>2425724534</v>
      </c>
      <c r="G321">
        <v>1400557581</v>
      </c>
      <c r="H321">
        <v>3754686541</v>
      </c>
      <c r="I321">
        <v>2889585326</v>
      </c>
      <c r="J321">
        <v>108196584</v>
      </c>
      <c r="K321">
        <v>122915880</v>
      </c>
      <c r="L321">
        <v>156152708</v>
      </c>
      <c r="M321">
        <v>115495163</v>
      </c>
      <c r="N321">
        <v>85588578</v>
      </c>
      <c r="O321">
        <v>113242846</v>
      </c>
      <c r="P321">
        <v>215</v>
      </c>
      <c r="Q321" t="s">
        <v>784</v>
      </c>
    </row>
    <row r="322" spans="1:17" x14ac:dyDescent="0.3">
      <c r="A322" t="s">
        <v>17</v>
      </c>
      <c r="B322" t="str">
        <f>"601789"</f>
        <v>601789</v>
      </c>
      <c r="C322" t="s">
        <v>785</v>
      </c>
      <c r="D322" t="s">
        <v>19</v>
      </c>
      <c r="E322">
        <v>3704522040</v>
      </c>
      <c r="F322">
        <v>3451056143</v>
      </c>
      <c r="G322">
        <v>3846923756</v>
      </c>
      <c r="H322">
        <v>3660251341</v>
      </c>
      <c r="I322">
        <v>3137673617</v>
      </c>
      <c r="J322">
        <v>3150988934</v>
      </c>
      <c r="K322">
        <v>3062472948</v>
      </c>
      <c r="L322">
        <v>3572001522</v>
      </c>
      <c r="M322">
        <v>2903686013</v>
      </c>
      <c r="N322">
        <v>1962811886</v>
      </c>
      <c r="O322">
        <v>1261695246</v>
      </c>
      <c r="P322">
        <v>147</v>
      </c>
      <c r="Q322" t="s">
        <v>786</v>
      </c>
    </row>
    <row r="323" spans="1:17" x14ac:dyDescent="0.3">
      <c r="A323" t="s">
        <v>73</v>
      </c>
      <c r="B323" t="str">
        <f>"002429"</f>
        <v>002429</v>
      </c>
      <c r="C323" t="s">
        <v>787</v>
      </c>
      <c r="D323" t="s">
        <v>251</v>
      </c>
      <c r="E323">
        <v>3701378798</v>
      </c>
      <c r="F323">
        <v>4222992134</v>
      </c>
      <c r="G323">
        <v>3355014051</v>
      </c>
      <c r="H323">
        <v>1900448234</v>
      </c>
      <c r="I323">
        <v>2399232369</v>
      </c>
      <c r="J323">
        <v>2297990635</v>
      </c>
      <c r="K323">
        <v>1915735749</v>
      </c>
      <c r="L323">
        <v>1002612323</v>
      </c>
      <c r="M323">
        <v>1216774092</v>
      </c>
      <c r="N323">
        <v>669892974</v>
      </c>
      <c r="O323">
        <v>569344752</v>
      </c>
      <c r="P323">
        <v>454</v>
      </c>
      <c r="Q323" t="s">
        <v>788</v>
      </c>
    </row>
    <row r="324" spans="1:17" x14ac:dyDescent="0.3">
      <c r="A324" t="s">
        <v>73</v>
      </c>
      <c r="B324" t="str">
        <f>"000581"</f>
        <v>000581</v>
      </c>
      <c r="C324" t="s">
        <v>789</v>
      </c>
      <c r="D324" t="s">
        <v>122</v>
      </c>
      <c r="E324">
        <v>3698601779</v>
      </c>
      <c r="F324">
        <v>4202650006</v>
      </c>
      <c r="G324">
        <v>2546956058</v>
      </c>
      <c r="H324">
        <v>2616015655</v>
      </c>
      <c r="I324">
        <v>2409458587</v>
      </c>
      <c r="J324">
        <v>2096806797</v>
      </c>
      <c r="K324">
        <v>1631588602</v>
      </c>
      <c r="L324">
        <v>1645076224</v>
      </c>
      <c r="M324">
        <v>1544954219</v>
      </c>
      <c r="N324">
        <v>1307365908</v>
      </c>
      <c r="O324">
        <v>1205877235</v>
      </c>
      <c r="P324">
        <v>1711</v>
      </c>
      <c r="Q324" t="s">
        <v>790</v>
      </c>
    </row>
    <row r="325" spans="1:17" x14ac:dyDescent="0.3">
      <c r="A325" t="s">
        <v>17</v>
      </c>
      <c r="B325" t="str">
        <f>"600545"</f>
        <v>600545</v>
      </c>
      <c r="C325" t="s">
        <v>791</v>
      </c>
      <c r="D325" t="s">
        <v>792</v>
      </c>
      <c r="E325">
        <v>3695066000</v>
      </c>
      <c r="F325">
        <v>4218570000</v>
      </c>
      <c r="G325">
        <v>3733698000</v>
      </c>
      <c r="H325">
        <v>3802224000</v>
      </c>
      <c r="I325">
        <v>2616266000</v>
      </c>
      <c r="J325">
        <v>2794446379</v>
      </c>
      <c r="K325">
        <v>3101946334</v>
      </c>
      <c r="L325">
        <v>2724187809</v>
      </c>
      <c r="M325">
        <v>2006445346</v>
      </c>
      <c r="N325">
        <v>789105152</v>
      </c>
      <c r="O325">
        <v>578450657</v>
      </c>
      <c r="P325">
        <v>134</v>
      </c>
      <c r="Q325" t="s">
        <v>793</v>
      </c>
    </row>
    <row r="326" spans="1:17" x14ac:dyDescent="0.3">
      <c r="A326" t="s">
        <v>73</v>
      </c>
      <c r="B326" t="str">
        <f>"300226"</f>
        <v>300226</v>
      </c>
      <c r="C326" t="s">
        <v>794</v>
      </c>
      <c r="D326" t="s">
        <v>795</v>
      </c>
      <c r="E326">
        <v>3680389695</v>
      </c>
      <c r="F326">
        <v>4399859882</v>
      </c>
      <c r="G326">
        <v>2692843082</v>
      </c>
      <c r="H326">
        <v>1633740023</v>
      </c>
      <c r="I326">
        <v>921890218</v>
      </c>
      <c r="J326">
        <v>330412687</v>
      </c>
      <c r="K326">
        <v>1620440</v>
      </c>
      <c r="L326">
        <v>2931878</v>
      </c>
      <c r="M326">
        <v>2869320</v>
      </c>
      <c r="N326">
        <v>1357105</v>
      </c>
      <c r="O326">
        <v>33120312</v>
      </c>
      <c r="P326">
        <v>253</v>
      </c>
      <c r="Q326" t="s">
        <v>796</v>
      </c>
    </row>
    <row r="327" spans="1:17" x14ac:dyDescent="0.3">
      <c r="A327" t="s">
        <v>17</v>
      </c>
      <c r="B327" t="str">
        <f>"600583"</f>
        <v>600583</v>
      </c>
      <c r="C327" t="s">
        <v>797</v>
      </c>
      <c r="D327" t="s">
        <v>275</v>
      </c>
      <c r="E327">
        <v>3667548900</v>
      </c>
      <c r="F327">
        <v>5324502600</v>
      </c>
      <c r="G327">
        <v>4324577449</v>
      </c>
      <c r="H327">
        <v>2324461410</v>
      </c>
      <c r="I327">
        <v>1880085308</v>
      </c>
      <c r="J327">
        <v>1569927062</v>
      </c>
      <c r="K327">
        <v>3318510532</v>
      </c>
      <c r="L327">
        <v>4387850119</v>
      </c>
      <c r="M327">
        <v>1753576921</v>
      </c>
      <c r="N327">
        <v>2037119285</v>
      </c>
      <c r="O327">
        <v>1331248374</v>
      </c>
      <c r="P327">
        <v>359</v>
      </c>
      <c r="Q327" t="s">
        <v>798</v>
      </c>
    </row>
    <row r="328" spans="1:17" x14ac:dyDescent="0.3">
      <c r="A328" t="s">
        <v>73</v>
      </c>
      <c r="B328" t="str">
        <f>"002373"</f>
        <v>002373</v>
      </c>
      <c r="C328" t="s">
        <v>799</v>
      </c>
      <c r="D328" t="s">
        <v>302</v>
      </c>
      <c r="E328">
        <v>3656547053</v>
      </c>
      <c r="F328">
        <v>3209325506</v>
      </c>
      <c r="G328">
        <v>2644438340</v>
      </c>
      <c r="H328">
        <v>2867223606</v>
      </c>
      <c r="I328">
        <v>1597413218</v>
      </c>
      <c r="J328">
        <v>921107586</v>
      </c>
      <c r="K328">
        <v>914898702</v>
      </c>
      <c r="L328">
        <v>593032105</v>
      </c>
      <c r="M328">
        <v>82718197</v>
      </c>
      <c r="N328">
        <v>148674177</v>
      </c>
      <c r="O328">
        <v>164530888</v>
      </c>
      <c r="P328">
        <v>713</v>
      </c>
      <c r="Q328" t="s">
        <v>800</v>
      </c>
    </row>
    <row r="329" spans="1:17" x14ac:dyDescent="0.3">
      <c r="A329" t="s">
        <v>17</v>
      </c>
      <c r="B329" t="str">
        <f>"600765"</f>
        <v>600765</v>
      </c>
      <c r="C329" t="s">
        <v>801</v>
      </c>
      <c r="D329" t="s">
        <v>130</v>
      </c>
      <c r="E329">
        <v>3647979535</v>
      </c>
      <c r="F329">
        <v>3074220743</v>
      </c>
      <c r="G329">
        <v>3105789352</v>
      </c>
      <c r="H329">
        <v>3333787087</v>
      </c>
      <c r="I329">
        <v>2922369062</v>
      </c>
      <c r="J329">
        <v>3291267853</v>
      </c>
      <c r="K329">
        <v>2757822321</v>
      </c>
      <c r="L329">
        <v>3273004029</v>
      </c>
      <c r="M329">
        <v>2791361726</v>
      </c>
      <c r="N329">
        <v>2740548820</v>
      </c>
      <c r="O329">
        <v>2382539195</v>
      </c>
      <c r="P329">
        <v>355</v>
      </c>
      <c r="Q329" t="s">
        <v>802</v>
      </c>
    </row>
    <row r="330" spans="1:17" x14ac:dyDescent="0.3">
      <c r="A330" t="s">
        <v>17</v>
      </c>
      <c r="B330" t="str">
        <f>"600006"</f>
        <v>600006</v>
      </c>
      <c r="C330" t="s">
        <v>803</v>
      </c>
      <c r="D330" t="s">
        <v>428</v>
      </c>
      <c r="E330">
        <v>3646703450</v>
      </c>
      <c r="F330">
        <v>4719257207</v>
      </c>
      <c r="G330">
        <v>6062157889</v>
      </c>
      <c r="H330">
        <v>6192849632</v>
      </c>
      <c r="I330">
        <v>3894987416</v>
      </c>
      <c r="J330">
        <v>2525447151</v>
      </c>
      <c r="K330">
        <v>2731703601</v>
      </c>
      <c r="L330">
        <v>1253432973</v>
      </c>
      <c r="M330">
        <v>1143673256</v>
      </c>
      <c r="N330">
        <v>985739764</v>
      </c>
      <c r="O330">
        <v>1150597977</v>
      </c>
      <c r="P330">
        <v>469</v>
      </c>
      <c r="Q330" t="s">
        <v>804</v>
      </c>
    </row>
    <row r="331" spans="1:17" x14ac:dyDescent="0.3">
      <c r="A331" t="s">
        <v>17</v>
      </c>
      <c r="B331" t="str">
        <f>"600271"</f>
        <v>600271</v>
      </c>
      <c r="C331" t="s">
        <v>805</v>
      </c>
      <c r="D331" t="s">
        <v>302</v>
      </c>
      <c r="E331">
        <v>3643208743</v>
      </c>
      <c r="F331">
        <v>2935971483</v>
      </c>
      <c r="G331">
        <v>2712903364</v>
      </c>
      <c r="H331">
        <v>2660678955</v>
      </c>
      <c r="I331">
        <v>2051084668</v>
      </c>
      <c r="J331">
        <v>1857951368</v>
      </c>
      <c r="K331">
        <v>1746598913</v>
      </c>
      <c r="L331">
        <v>1304157398</v>
      </c>
      <c r="M331">
        <v>1390145288</v>
      </c>
      <c r="N331">
        <v>966539470</v>
      </c>
      <c r="O331">
        <v>775693666</v>
      </c>
      <c r="P331">
        <v>16700</v>
      </c>
      <c r="Q331" t="s">
        <v>806</v>
      </c>
    </row>
    <row r="332" spans="1:17" x14ac:dyDescent="0.3">
      <c r="A332" t="s">
        <v>73</v>
      </c>
      <c r="B332" t="str">
        <f>"002791"</f>
        <v>002791</v>
      </c>
      <c r="C332" t="s">
        <v>807</v>
      </c>
      <c r="D332" t="s">
        <v>808</v>
      </c>
      <c r="E332">
        <v>3635817852</v>
      </c>
      <c r="F332">
        <v>1988072881</v>
      </c>
      <c r="G332">
        <v>1400412997</v>
      </c>
      <c r="H332">
        <v>1222915441</v>
      </c>
      <c r="I332">
        <v>925876888</v>
      </c>
      <c r="J332">
        <v>707591110</v>
      </c>
      <c r="K332">
        <v>611595011</v>
      </c>
      <c r="L332">
        <v>0</v>
      </c>
      <c r="P332">
        <v>552</v>
      </c>
      <c r="Q332" t="s">
        <v>809</v>
      </c>
    </row>
    <row r="333" spans="1:17" x14ac:dyDescent="0.3">
      <c r="A333" t="s">
        <v>73</v>
      </c>
      <c r="B333" t="str">
        <f>"002047"</f>
        <v>002047</v>
      </c>
      <c r="C333" t="s">
        <v>810</v>
      </c>
      <c r="D333" t="s">
        <v>258</v>
      </c>
      <c r="E333">
        <v>3634565610</v>
      </c>
      <c r="F333">
        <v>2072672003</v>
      </c>
      <c r="G333">
        <v>5930453062</v>
      </c>
      <c r="H333">
        <v>6366532823</v>
      </c>
      <c r="I333">
        <v>5043035002</v>
      </c>
      <c r="J333">
        <v>5739700343</v>
      </c>
      <c r="K333">
        <v>4169201407</v>
      </c>
      <c r="L333">
        <v>2920661891</v>
      </c>
      <c r="M333">
        <v>1875375520</v>
      </c>
      <c r="N333">
        <v>281326860</v>
      </c>
      <c r="O333">
        <v>229065284</v>
      </c>
      <c r="P333">
        <v>103</v>
      </c>
      <c r="Q333" t="s">
        <v>811</v>
      </c>
    </row>
    <row r="334" spans="1:17" x14ac:dyDescent="0.3">
      <c r="A334" t="s">
        <v>17</v>
      </c>
      <c r="B334" t="str">
        <f>"600168"</f>
        <v>600168</v>
      </c>
      <c r="C334" t="s">
        <v>812</v>
      </c>
      <c r="D334" t="s">
        <v>308</v>
      </c>
      <c r="E334">
        <v>3627665162</v>
      </c>
      <c r="F334">
        <v>2343668054</v>
      </c>
      <c r="G334">
        <v>2581380930</v>
      </c>
      <c r="H334">
        <v>2544030620</v>
      </c>
      <c r="I334">
        <v>1890598426</v>
      </c>
      <c r="J334">
        <v>1367755391</v>
      </c>
      <c r="K334">
        <v>920522894</v>
      </c>
      <c r="L334">
        <v>360939648</v>
      </c>
      <c r="M334">
        <v>290529261</v>
      </c>
      <c r="N334">
        <v>50820787</v>
      </c>
      <c r="O334">
        <v>63044658</v>
      </c>
      <c r="P334">
        <v>168</v>
      </c>
      <c r="Q334" t="s">
        <v>813</v>
      </c>
    </row>
    <row r="335" spans="1:17" x14ac:dyDescent="0.3">
      <c r="A335" t="s">
        <v>17</v>
      </c>
      <c r="B335" t="str">
        <f>"600111"</f>
        <v>600111</v>
      </c>
      <c r="C335" t="s">
        <v>814</v>
      </c>
      <c r="D335" t="s">
        <v>815</v>
      </c>
      <c r="E335">
        <v>3601348764</v>
      </c>
      <c r="F335">
        <v>3442176222</v>
      </c>
      <c r="G335">
        <v>2367331132</v>
      </c>
      <c r="H335">
        <v>2344050010</v>
      </c>
      <c r="I335">
        <v>1471766641</v>
      </c>
      <c r="J335">
        <v>1325521461</v>
      </c>
      <c r="K335">
        <v>956044714</v>
      </c>
      <c r="L335">
        <v>1448854391</v>
      </c>
      <c r="M335">
        <v>828184944</v>
      </c>
      <c r="N335">
        <v>1662065630</v>
      </c>
      <c r="O335">
        <v>3145654328</v>
      </c>
      <c r="P335">
        <v>1179</v>
      </c>
      <c r="Q335" t="s">
        <v>816</v>
      </c>
    </row>
    <row r="336" spans="1:17" x14ac:dyDescent="0.3">
      <c r="A336" t="s">
        <v>73</v>
      </c>
      <c r="B336" t="str">
        <f>"002709"</f>
        <v>002709</v>
      </c>
      <c r="C336" t="s">
        <v>817</v>
      </c>
      <c r="D336" t="s">
        <v>561</v>
      </c>
      <c r="E336">
        <v>3597843642</v>
      </c>
      <c r="F336">
        <v>1800446411</v>
      </c>
      <c r="G336">
        <v>886804739</v>
      </c>
      <c r="H336">
        <v>757086071</v>
      </c>
      <c r="I336">
        <v>679329708</v>
      </c>
      <c r="J336">
        <v>551617697</v>
      </c>
      <c r="K336">
        <v>316395619</v>
      </c>
      <c r="L336">
        <v>191391451</v>
      </c>
      <c r="M336">
        <v>142878101</v>
      </c>
      <c r="N336">
        <v>0</v>
      </c>
      <c r="P336">
        <v>1069</v>
      </c>
      <c r="Q336" t="s">
        <v>818</v>
      </c>
    </row>
    <row r="337" spans="1:17" x14ac:dyDescent="0.3">
      <c r="A337" t="s">
        <v>17</v>
      </c>
      <c r="B337" t="str">
        <f>"600418"</f>
        <v>600418</v>
      </c>
      <c r="C337" t="s">
        <v>819</v>
      </c>
      <c r="D337" t="s">
        <v>428</v>
      </c>
      <c r="E337">
        <v>3596204015</v>
      </c>
      <c r="F337">
        <v>4192446486</v>
      </c>
      <c r="G337">
        <v>4977863158</v>
      </c>
      <c r="H337">
        <v>5302522962</v>
      </c>
      <c r="I337">
        <v>5175268634</v>
      </c>
      <c r="J337">
        <v>4463709496</v>
      </c>
      <c r="K337">
        <v>3234563019</v>
      </c>
      <c r="L337">
        <v>1638881831</v>
      </c>
      <c r="M337">
        <v>1121614554</v>
      </c>
      <c r="N337">
        <v>914828104</v>
      </c>
      <c r="O337">
        <v>793954278</v>
      </c>
      <c r="P337">
        <v>429</v>
      </c>
      <c r="Q337" t="s">
        <v>820</v>
      </c>
    </row>
    <row r="338" spans="1:17" x14ac:dyDescent="0.3">
      <c r="A338" t="s">
        <v>73</v>
      </c>
      <c r="B338" t="str">
        <f>"002531"</f>
        <v>002531</v>
      </c>
      <c r="C338" t="s">
        <v>821</v>
      </c>
      <c r="D338" t="s">
        <v>778</v>
      </c>
      <c r="E338">
        <v>3583665971</v>
      </c>
      <c r="F338">
        <v>3034355361</v>
      </c>
      <c r="G338">
        <v>2089050067</v>
      </c>
      <c r="H338">
        <v>-1878640046</v>
      </c>
      <c r="I338">
        <v>1579512947</v>
      </c>
      <c r="J338">
        <v>1084182880</v>
      </c>
      <c r="K338">
        <v>797753708</v>
      </c>
      <c r="L338">
        <v>452659446</v>
      </c>
      <c r="M338">
        <v>466472989</v>
      </c>
      <c r="N338">
        <v>307561673</v>
      </c>
      <c r="O338">
        <v>228770156</v>
      </c>
      <c r="P338">
        <v>599</v>
      </c>
      <c r="Q338" t="s">
        <v>822</v>
      </c>
    </row>
    <row r="339" spans="1:17" x14ac:dyDescent="0.3">
      <c r="A339" t="s">
        <v>73</v>
      </c>
      <c r="B339" t="str">
        <f>"000550"</f>
        <v>000550</v>
      </c>
      <c r="C339" t="s">
        <v>823</v>
      </c>
      <c r="D339" t="s">
        <v>428</v>
      </c>
      <c r="E339">
        <v>3569494364</v>
      </c>
      <c r="F339">
        <v>3391397600</v>
      </c>
      <c r="G339">
        <v>2353753391</v>
      </c>
      <c r="H339">
        <v>2747152207</v>
      </c>
      <c r="I339">
        <v>2070103326</v>
      </c>
      <c r="J339">
        <v>1701898296</v>
      </c>
      <c r="K339">
        <v>1339715253</v>
      </c>
      <c r="L339">
        <v>1026196977</v>
      </c>
      <c r="M339">
        <v>773310194</v>
      </c>
      <c r="N339">
        <v>546174629</v>
      </c>
      <c r="O339">
        <v>305353974</v>
      </c>
      <c r="P339">
        <v>595</v>
      </c>
      <c r="Q339" t="s">
        <v>824</v>
      </c>
    </row>
    <row r="340" spans="1:17" x14ac:dyDescent="0.3">
      <c r="A340" t="s">
        <v>17</v>
      </c>
      <c r="B340" t="str">
        <f>"600853"</f>
        <v>600853</v>
      </c>
      <c r="C340" t="s">
        <v>825</v>
      </c>
      <c r="D340" t="s">
        <v>22</v>
      </c>
      <c r="E340">
        <v>3560960146</v>
      </c>
      <c r="F340">
        <v>3781848939</v>
      </c>
      <c r="G340">
        <v>3399664280</v>
      </c>
      <c r="H340">
        <v>2582314941</v>
      </c>
      <c r="I340">
        <v>2064599755</v>
      </c>
      <c r="J340">
        <v>1771639118</v>
      </c>
      <c r="K340">
        <v>1540047576</v>
      </c>
      <c r="L340">
        <v>1251454989</v>
      </c>
      <c r="M340">
        <v>1130138428</v>
      </c>
      <c r="N340">
        <v>1219351138</v>
      </c>
      <c r="O340">
        <v>941233867</v>
      </c>
      <c r="P340">
        <v>94</v>
      </c>
      <c r="Q340" t="s">
        <v>826</v>
      </c>
    </row>
    <row r="341" spans="1:17" x14ac:dyDescent="0.3">
      <c r="A341" t="s">
        <v>73</v>
      </c>
      <c r="B341" t="str">
        <f>"002129"</f>
        <v>002129</v>
      </c>
      <c r="C341" t="s">
        <v>827</v>
      </c>
      <c r="D341" t="s">
        <v>512</v>
      </c>
      <c r="E341">
        <v>3501577159</v>
      </c>
      <c r="F341">
        <v>2206499456</v>
      </c>
      <c r="G341">
        <v>2017233921</v>
      </c>
      <c r="H341">
        <v>2779712989</v>
      </c>
      <c r="I341">
        <v>1506816949</v>
      </c>
      <c r="J341">
        <v>1155451185</v>
      </c>
      <c r="K341">
        <v>1447107902</v>
      </c>
      <c r="L341">
        <v>1063013863</v>
      </c>
      <c r="M341">
        <v>1384875506</v>
      </c>
      <c r="N341">
        <v>957420854</v>
      </c>
      <c r="O341">
        <v>425634042</v>
      </c>
      <c r="P341">
        <v>1522</v>
      </c>
      <c r="Q341" t="s">
        <v>828</v>
      </c>
    </row>
    <row r="342" spans="1:17" x14ac:dyDescent="0.3">
      <c r="A342" t="s">
        <v>73</v>
      </c>
      <c r="B342" t="str">
        <f>"000040"</f>
        <v>000040</v>
      </c>
      <c r="C342" t="s">
        <v>829</v>
      </c>
      <c r="D342" t="s">
        <v>278</v>
      </c>
      <c r="E342">
        <v>3500961489</v>
      </c>
      <c r="F342">
        <v>3136669639</v>
      </c>
      <c r="G342">
        <v>3111226151</v>
      </c>
      <c r="H342">
        <v>3311598015</v>
      </c>
      <c r="I342">
        <v>2781867772</v>
      </c>
      <c r="J342">
        <v>1211070439</v>
      </c>
      <c r="K342">
        <v>39832450</v>
      </c>
      <c r="L342">
        <v>39831565</v>
      </c>
      <c r="M342">
        <v>5222804</v>
      </c>
      <c r="N342">
        <v>9718013</v>
      </c>
      <c r="O342">
        <v>6962082</v>
      </c>
      <c r="P342">
        <v>220</v>
      </c>
      <c r="Q342" t="s">
        <v>830</v>
      </c>
    </row>
    <row r="343" spans="1:17" x14ac:dyDescent="0.3">
      <c r="A343" t="s">
        <v>73</v>
      </c>
      <c r="B343" t="str">
        <f>"300026"</f>
        <v>300026</v>
      </c>
      <c r="C343" t="s">
        <v>831</v>
      </c>
      <c r="D343" t="s">
        <v>215</v>
      </c>
      <c r="E343">
        <v>3499482892</v>
      </c>
      <c r="F343">
        <v>2761126939</v>
      </c>
      <c r="G343">
        <v>2211479176</v>
      </c>
      <c r="H343">
        <v>1761859895</v>
      </c>
      <c r="I343">
        <v>1542352748</v>
      </c>
      <c r="J343">
        <v>1778468410</v>
      </c>
      <c r="K343">
        <v>1825904787</v>
      </c>
      <c r="L343">
        <v>1061196933</v>
      </c>
      <c r="M343">
        <v>612778077</v>
      </c>
      <c r="N343">
        <v>383707375</v>
      </c>
      <c r="O343">
        <v>173956793</v>
      </c>
      <c r="P343">
        <v>417</v>
      </c>
      <c r="Q343" t="s">
        <v>832</v>
      </c>
    </row>
    <row r="344" spans="1:17" x14ac:dyDescent="0.3">
      <c r="A344" t="s">
        <v>73</v>
      </c>
      <c r="B344" t="str">
        <f>"301039"</f>
        <v>301039</v>
      </c>
      <c r="C344" t="s">
        <v>833</v>
      </c>
      <c r="D344" t="s">
        <v>428</v>
      </c>
      <c r="E344">
        <v>3483045446</v>
      </c>
      <c r="F344">
        <v>3174172289</v>
      </c>
      <c r="P344">
        <v>35</v>
      </c>
      <c r="Q344" t="s">
        <v>834</v>
      </c>
    </row>
    <row r="345" spans="1:17" x14ac:dyDescent="0.3">
      <c r="A345" t="s">
        <v>17</v>
      </c>
      <c r="B345" t="str">
        <f>"688561"</f>
        <v>688561</v>
      </c>
      <c r="C345" t="s">
        <v>835</v>
      </c>
      <c r="D345" t="s">
        <v>404</v>
      </c>
      <c r="E345">
        <v>3471374169</v>
      </c>
      <c r="F345">
        <v>1713070105</v>
      </c>
      <c r="G345">
        <v>923030061</v>
      </c>
      <c r="P345">
        <v>192</v>
      </c>
      <c r="Q345" t="s">
        <v>836</v>
      </c>
    </row>
    <row r="346" spans="1:17" x14ac:dyDescent="0.3">
      <c r="A346" t="s">
        <v>17</v>
      </c>
      <c r="B346" t="str">
        <f>"603737"</f>
        <v>603737</v>
      </c>
      <c r="C346" t="s">
        <v>837</v>
      </c>
      <c r="D346" t="s">
        <v>838</v>
      </c>
      <c r="E346">
        <v>3468537958</v>
      </c>
      <c r="F346">
        <v>2396187289</v>
      </c>
      <c r="G346">
        <v>1180711797</v>
      </c>
      <c r="H346">
        <v>968999970</v>
      </c>
      <c r="I346">
        <v>440607874</v>
      </c>
      <c r="J346">
        <v>273433235</v>
      </c>
      <c r="K346">
        <v>133778987</v>
      </c>
      <c r="L346">
        <v>0</v>
      </c>
      <c r="P346">
        <v>1048</v>
      </c>
      <c r="Q346" t="s">
        <v>839</v>
      </c>
    </row>
    <row r="347" spans="1:17" x14ac:dyDescent="0.3">
      <c r="A347" t="s">
        <v>73</v>
      </c>
      <c r="B347" t="str">
        <f>"002460"</f>
        <v>002460</v>
      </c>
      <c r="C347" t="s">
        <v>840</v>
      </c>
      <c r="D347" t="s">
        <v>841</v>
      </c>
      <c r="E347">
        <v>3464161020</v>
      </c>
      <c r="F347">
        <v>1363392707</v>
      </c>
      <c r="G347">
        <v>970627475</v>
      </c>
      <c r="H347">
        <v>984391560</v>
      </c>
      <c r="I347">
        <v>554213786</v>
      </c>
      <c r="J347">
        <v>406693018</v>
      </c>
      <c r="K347">
        <v>332179875</v>
      </c>
      <c r="L347">
        <v>207203088</v>
      </c>
      <c r="M347">
        <v>200432877</v>
      </c>
      <c r="N347">
        <v>175180183</v>
      </c>
      <c r="O347">
        <v>131448982</v>
      </c>
      <c r="P347">
        <v>2486</v>
      </c>
      <c r="Q347" t="s">
        <v>842</v>
      </c>
    </row>
    <row r="348" spans="1:17" x14ac:dyDescent="0.3">
      <c r="A348" t="s">
        <v>73</v>
      </c>
      <c r="B348" t="str">
        <f>"300413"</f>
        <v>300413</v>
      </c>
      <c r="C348" t="s">
        <v>843</v>
      </c>
      <c r="D348" t="s">
        <v>844</v>
      </c>
      <c r="E348">
        <v>3464053830</v>
      </c>
      <c r="F348">
        <v>3643088867</v>
      </c>
      <c r="G348">
        <v>2890879589</v>
      </c>
      <c r="H348">
        <v>2226042141</v>
      </c>
      <c r="I348">
        <v>205151258</v>
      </c>
      <c r="J348">
        <v>195585887</v>
      </c>
      <c r="K348">
        <v>111253186</v>
      </c>
      <c r="L348">
        <v>20294965</v>
      </c>
      <c r="M348">
        <v>0</v>
      </c>
      <c r="P348">
        <v>1145</v>
      </c>
      <c r="Q348" t="s">
        <v>845</v>
      </c>
    </row>
    <row r="349" spans="1:17" x14ac:dyDescent="0.3">
      <c r="A349" t="s">
        <v>73</v>
      </c>
      <c r="B349" t="str">
        <f>"002156"</f>
        <v>002156</v>
      </c>
      <c r="C349" t="s">
        <v>846</v>
      </c>
      <c r="D349" t="s">
        <v>554</v>
      </c>
      <c r="E349">
        <v>3461408552</v>
      </c>
      <c r="F349">
        <v>2964173646</v>
      </c>
      <c r="G349">
        <v>1758105405</v>
      </c>
      <c r="H349">
        <v>1615502207</v>
      </c>
      <c r="I349">
        <v>1572096633</v>
      </c>
      <c r="J349">
        <v>1212956565</v>
      </c>
      <c r="K349">
        <v>490297438</v>
      </c>
      <c r="L349">
        <v>387896333</v>
      </c>
      <c r="M349">
        <v>356105897</v>
      </c>
      <c r="N349">
        <v>309735768</v>
      </c>
      <c r="O349">
        <v>268980579</v>
      </c>
      <c r="P349">
        <v>770</v>
      </c>
      <c r="Q349" t="s">
        <v>847</v>
      </c>
    </row>
    <row r="350" spans="1:17" x14ac:dyDescent="0.3">
      <c r="A350" t="s">
        <v>17</v>
      </c>
      <c r="B350" t="str">
        <f>"600483"</f>
        <v>600483</v>
      </c>
      <c r="C350" t="s">
        <v>848</v>
      </c>
      <c r="D350" t="s">
        <v>314</v>
      </c>
      <c r="E350">
        <v>3459466835</v>
      </c>
      <c r="F350">
        <v>2716509763</v>
      </c>
      <c r="G350">
        <v>1701144730</v>
      </c>
      <c r="H350">
        <v>1665161916</v>
      </c>
      <c r="I350">
        <v>1409557111</v>
      </c>
      <c r="J350">
        <v>889555859</v>
      </c>
      <c r="K350">
        <v>712781786</v>
      </c>
      <c r="L350">
        <v>685411239</v>
      </c>
      <c r="M350">
        <v>221703299</v>
      </c>
      <c r="N350">
        <v>238432377</v>
      </c>
      <c r="O350">
        <v>299115523</v>
      </c>
      <c r="P350">
        <v>331</v>
      </c>
      <c r="Q350" t="s">
        <v>849</v>
      </c>
    </row>
    <row r="351" spans="1:17" x14ac:dyDescent="0.3">
      <c r="A351" t="s">
        <v>17</v>
      </c>
      <c r="B351" t="str">
        <f>"600150"</f>
        <v>600150</v>
      </c>
      <c r="C351" t="s">
        <v>850</v>
      </c>
      <c r="D351" t="s">
        <v>283</v>
      </c>
      <c r="E351">
        <v>3440738071</v>
      </c>
      <c r="F351">
        <v>3663725583</v>
      </c>
      <c r="G351">
        <v>3488788088</v>
      </c>
      <c r="H351">
        <v>1611264755</v>
      </c>
      <c r="I351">
        <v>1428322522</v>
      </c>
      <c r="J351">
        <v>1214284587</v>
      </c>
      <c r="K351">
        <v>1945188682</v>
      </c>
      <c r="L351">
        <v>2146505890</v>
      </c>
      <c r="M351">
        <v>2057435286</v>
      </c>
      <c r="N351">
        <v>870510879</v>
      </c>
      <c r="O351">
        <v>1000568283</v>
      </c>
      <c r="P351">
        <v>469</v>
      </c>
      <c r="Q351" t="s">
        <v>851</v>
      </c>
    </row>
    <row r="352" spans="1:17" x14ac:dyDescent="0.3">
      <c r="A352" t="s">
        <v>73</v>
      </c>
      <c r="B352" t="str">
        <f>"002929"</f>
        <v>002929</v>
      </c>
      <c r="C352" t="s">
        <v>852</v>
      </c>
      <c r="D352" t="s">
        <v>853</v>
      </c>
      <c r="E352">
        <v>3437724515</v>
      </c>
      <c r="F352">
        <v>1503806040</v>
      </c>
      <c r="G352">
        <v>1889558374</v>
      </c>
      <c r="H352">
        <v>1577470510</v>
      </c>
      <c r="I352">
        <v>1363356437</v>
      </c>
      <c r="J352">
        <v>0</v>
      </c>
      <c r="P352">
        <v>270</v>
      </c>
      <c r="Q352" t="s">
        <v>854</v>
      </c>
    </row>
    <row r="353" spans="1:17" x14ac:dyDescent="0.3">
      <c r="A353" t="s">
        <v>17</v>
      </c>
      <c r="B353" t="str">
        <f>"688778"</f>
        <v>688778</v>
      </c>
      <c r="C353" t="s">
        <v>855</v>
      </c>
      <c r="D353" t="s">
        <v>561</v>
      </c>
      <c r="E353">
        <v>3436873279</v>
      </c>
      <c r="F353">
        <v>1369143049</v>
      </c>
      <c r="P353">
        <v>44</v>
      </c>
      <c r="Q353" t="s">
        <v>856</v>
      </c>
    </row>
    <row r="354" spans="1:17" x14ac:dyDescent="0.3">
      <c r="A354" t="s">
        <v>73</v>
      </c>
      <c r="B354" t="str">
        <f>"002204"</f>
        <v>002204</v>
      </c>
      <c r="C354" t="s">
        <v>857</v>
      </c>
      <c r="D354" t="s">
        <v>311</v>
      </c>
      <c r="E354">
        <v>3417823134</v>
      </c>
      <c r="F354">
        <v>3129239534</v>
      </c>
      <c r="G354">
        <v>2744826313</v>
      </c>
      <c r="H354">
        <v>4949305453</v>
      </c>
      <c r="I354">
        <v>4955689301</v>
      </c>
      <c r="J354">
        <v>5118415967</v>
      </c>
      <c r="K354">
        <v>5594612737</v>
      </c>
      <c r="L354">
        <v>6570328006</v>
      </c>
      <c r="M354">
        <v>6761096060</v>
      </c>
      <c r="N354">
        <v>6470114206</v>
      </c>
      <c r="O354">
        <v>7688807446</v>
      </c>
      <c r="P354">
        <v>137</v>
      </c>
      <c r="Q354" t="s">
        <v>858</v>
      </c>
    </row>
    <row r="355" spans="1:17" x14ac:dyDescent="0.3">
      <c r="A355" t="s">
        <v>17</v>
      </c>
      <c r="B355" t="str">
        <f>"601018"</f>
        <v>601018</v>
      </c>
      <c r="C355" t="s">
        <v>859</v>
      </c>
      <c r="D355" t="s">
        <v>706</v>
      </c>
      <c r="E355">
        <v>3417735000</v>
      </c>
      <c r="F355">
        <v>2945190000</v>
      </c>
      <c r="G355">
        <v>2501504000</v>
      </c>
      <c r="H355">
        <v>2768029000</v>
      </c>
      <c r="I355">
        <v>2539222000</v>
      </c>
      <c r="J355">
        <v>2682033000</v>
      </c>
      <c r="K355">
        <v>2232442000</v>
      </c>
      <c r="L355">
        <v>2002081000</v>
      </c>
      <c r="M355">
        <v>1536443000</v>
      </c>
      <c r="N355">
        <v>1275921000</v>
      </c>
      <c r="O355">
        <v>919429000</v>
      </c>
      <c r="P355">
        <v>335</v>
      </c>
      <c r="Q355" t="s">
        <v>860</v>
      </c>
    </row>
    <row r="356" spans="1:17" x14ac:dyDescent="0.3">
      <c r="A356" t="s">
        <v>73</v>
      </c>
      <c r="B356" t="str">
        <f>"000961"</f>
        <v>000961</v>
      </c>
      <c r="C356" t="s">
        <v>861</v>
      </c>
      <c r="D356" t="s">
        <v>27</v>
      </c>
      <c r="E356">
        <v>3398960021</v>
      </c>
      <c r="F356">
        <v>6389986974</v>
      </c>
      <c r="G356">
        <v>10836346216</v>
      </c>
      <c r="H356">
        <v>8573697152</v>
      </c>
      <c r="I356">
        <v>7639789740</v>
      </c>
      <c r="J356">
        <v>6058685513</v>
      </c>
      <c r="K356">
        <v>6389307557</v>
      </c>
      <c r="L356">
        <v>6290776912</v>
      </c>
      <c r="M356">
        <v>5917972728</v>
      </c>
      <c r="N356">
        <v>4256577699</v>
      </c>
      <c r="O356">
        <v>3065755859</v>
      </c>
      <c r="P356">
        <v>898</v>
      </c>
      <c r="Q356" t="s">
        <v>862</v>
      </c>
    </row>
    <row r="357" spans="1:17" x14ac:dyDescent="0.3">
      <c r="A357" t="s">
        <v>17</v>
      </c>
      <c r="B357" t="str">
        <f>"601899"</f>
        <v>601899</v>
      </c>
      <c r="C357" t="s">
        <v>863</v>
      </c>
      <c r="D357" t="s">
        <v>452</v>
      </c>
      <c r="E357">
        <v>3384791238</v>
      </c>
      <c r="F357">
        <v>1474520587</v>
      </c>
      <c r="G357">
        <v>793106936</v>
      </c>
      <c r="H357">
        <v>915076592</v>
      </c>
      <c r="I357">
        <v>1575042502</v>
      </c>
      <c r="J357">
        <v>756429673</v>
      </c>
      <c r="K357">
        <v>1624743495</v>
      </c>
      <c r="L357">
        <v>1343472221</v>
      </c>
      <c r="M357">
        <v>863600577</v>
      </c>
      <c r="N357">
        <v>1102551128</v>
      </c>
      <c r="O357">
        <v>771764084</v>
      </c>
      <c r="P357">
        <v>2402</v>
      </c>
      <c r="Q357" t="s">
        <v>864</v>
      </c>
    </row>
    <row r="358" spans="1:17" x14ac:dyDescent="0.3">
      <c r="A358" t="s">
        <v>73</v>
      </c>
      <c r="B358" t="str">
        <f>"000903"</f>
        <v>000903</v>
      </c>
      <c r="C358" t="s">
        <v>865</v>
      </c>
      <c r="D358" t="s">
        <v>122</v>
      </c>
      <c r="E358">
        <v>3375643902</v>
      </c>
      <c r="F358">
        <v>2646814189</v>
      </c>
      <c r="G358">
        <v>2765966470</v>
      </c>
      <c r="H358">
        <v>2284134567</v>
      </c>
      <c r="I358">
        <v>1797315341</v>
      </c>
      <c r="J358">
        <v>1220246796</v>
      </c>
      <c r="K358">
        <v>1021500339</v>
      </c>
      <c r="L358">
        <v>964180126</v>
      </c>
      <c r="M358">
        <v>682166108</v>
      </c>
      <c r="N358">
        <v>466920988</v>
      </c>
      <c r="O358">
        <v>426679828</v>
      </c>
      <c r="P358">
        <v>155</v>
      </c>
      <c r="Q358" t="s">
        <v>866</v>
      </c>
    </row>
    <row r="359" spans="1:17" x14ac:dyDescent="0.3">
      <c r="A359" t="s">
        <v>73</v>
      </c>
      <c r="B359" t="str">
        <f>"002030"</f>
        <v>002030</v>
      </c>
      <c r="C359" t="s">
        <v>867</v>
      </c>
      <c r="D359" t="s">
        <v>773</v>
      </c>
      <c r="E359">
        <v>3373712389</v>
      </c>
      <c r="F359">
        <v>2109909628</v>
      </c>
      <c r="G359">
        <v>840938018</v>
      </c>
      <c r="H359">
        <v>730682733</v>
      </c>
      <c r="I359">
        <v>956290570</v>
      </c>
      <c r="J359">
        <v>847183608</v>
      </c>
      <c r="K359">
        <v>754908972</v>
      </c>
      <c r="L359">
        <v>617482604</v>
      </c>
      <c r="M359">
        <v>443013788</v>
      </c>
      <c r="N359">
        <v>314405695</v>
      </c>
      <c r="O359">
        <v>236142944</v>
      </c>
      <c r="P359">
        <v>1177</v>
      </c>
      <c r="Q359" t="s">
        <v>868</v>
      </c>
    </row>
    <row r="360" spans="1:17" x14ac:dyDescent="0.3">
      <c r="A360" t="s">
        <v>73</v>
      </c>
      <c r="B360" t="str">
        <f>"002701"</f>
        <v>002701</v>
      </c>
      <c r="C360" t="s">
        <v>869</v>
      </c>
      <c r="D360" t="s">
        <v>870</v>
      </c>
      <c r="E360">
        <v>3371026988</v>
      </c>
      <c r="F360">
        <v>2791221426</v>
      </c>
      <c r="G360">
        <v>2181919130</v>
      </c>
      <c r="H360">
        <v>1670789329</v>
      </c>
      <c r="I360">
        <v>2313653329</v>
      </c>
      <c r="J360">
        <v>2467222566</v>
      </c>
      <c r="K360">
        <v>2032918274</v>
      </c>
      <c r="L360">
        <v>1636881424</v>
      </c>
      <c r="M360">
        <v>1220903439</v>
      </c>
      <c r="N360">
        <v>1023525702</v>
      </c>
      <c r="O360">
        <v>0</v>
      </c>
      <c r="P360">
        <v>1656</v>
      </c>
      <c r="Q360" t="s">
        <v>871</v>
      </c>
    </row>
    <row r="361" spans="1:17" x14ac:dyDescent="0.3">
      <c r="A361" t="s">
        <v>17</v>
      </c>
      <c r="B361" t="str">
        <f>"601369"</f>
        <v>601369</v>
      </c>
      <c r="C361" t="s">
        <v>872</v>
      </c>
      <c r="D361" t="s">
        <v>873</v>
      </c>
      <c r="E361">
        <v>3343802858</v>
      </c>
      <c r="F361">
        <v>3148381891</v>
      </c>
      <c r="G361">
        <v>3572483490</v>
      </c>
      <c r="H361">
        <v>2871033274</v>
      </c>
      <c r="I361">
        <v>2508790369</v>
      </c>
      <c r="J361">
        <v>2367674687</v>
      </c>
      <c r="K361">
        <v>2692776357</v>
      </c>
      <c r="L361">
        <v>2296049295</v>
      </c>
      <c r="M361">
        <v>2402064242</v>
      </c>
      <c r="N361">
        <v>1951048952</v>
      </c>
      <c r="O361">
        <v>1587951894</v>
      </c>
      <c r="P361">
        <v>217</v>
      </c>
      <c r="Q361" t="s">
        <v>874</v>
      </c>
    </row>
    <row r="362" spans="1:17" x14ac:dyDescent="0.3">
      <c r="A362" t="s">
        <v>73</v>
      </c>
      <c r="B362" t="str">
        <f>"002375"</f>
        <v>002375</v>
      </c>
      <c r="C362" t="s">
        <v>875</v>
      </c>
      <c r="D362" t="s">
        <v>258</v>
      </c>
      <c r="E362">
        <v>3341775672</v>
      </c>
      <c r="F362">
        <v>3655178812</v>
      </c>
      <c r="G362">
        <v>3763822567</v>
      </c>
      <c r="H362">
        <v>11453046780</v>
      </c>
      <c r="I362">
        <v>11331696556</v>
      </c>
      <c r="J362">
        <v>10855101614</v>
      </c>
      <c r="K362">
        <v>10842995771</v>
      </c>
      <c r="L362">
        <v>11263998190</v>
      </c>
      <c r="M362">
        <v>7584001735</v>
      </c>
      <c r="N362">
        <v>5459855663</v>
      </c>
      <c r="O362">
        <v>4082655692</v>
      </c>
      <c r="P362">
        <v>176</v>
      </c>
      <c r="Q362" t="s">
        <v>876</v>
      </c>
    </row>
    <row r="363" spans="1:17" x14ac:dyDescent="0.3">
      <c r="A363" t="s">
        <v>73</v>
      </c>
      <c r="B363" t="str">
        <f>"002544"</f>
        <v>002544</v>
      </c>
      <c r="C363" t="s">
        <v>877</v>
      </c>
      <c r="D363" t="s">
        <v>853</v>
      </c>
      <c r="E363">
        <v>3336026036</v>
      </c>
      <c r="F363">
        <v>3283366862</v>
      </c>
      <c r="G363">
        <v>3399729888</v>
      </c>
      <c r="H363">
        <v>3306006987</v>
      </c>
      <c r="I363">
        <v>2409016368</v>
      </c>
      <c r="J363">
        <v>1220132764</v>
      </c>
      <c r="K363">
        <v>1304906361</v>
      </c>
      <c r="L363">
        <v>995986465</v>
      </c>
      <c r="M363">
        <v>830471041</v>
      </c>
      <c r="N363">
        <v>695656406</v>
      </c>
      <c r="O363">
        <v>492425748</v>
      </c>
      <c r="P363">
        <v>324</v>
      </c>
      <c r="Q363" t="s">
        <v>878</v>
      </c>
    </row>
    <row r="364" spans="1:17" x14ac:dyDescent="0.3">
      <c r="A364" t="s">
        <v>73</v>
      </c>
      <c r="B364" t="str">
        <f>"000957"</f>
        <v>000957</v>
      </c>
      <c r="C364" t="s">
        <v>879</v>
      </c>
      <c r="D364" t="s">
        <v>545</v>
      </c>
      <c r="E364">
        <v>3324080201</v>
      </c>
      <c r="F364">
        <v>2875475836</v>
      </c>
      <c r="G364">
        <v>5783935874</v>
      </c>
      <c r="H364">
        <v>6673952893</v>
      </c>
      <c r="I364">
        <v>6613231044</v>
      </c>
      <c r="J364">
        <v>4279587872</v>
      </c>
      <c r="K364">
        <v>4250145663</v>
      </c>
      <c r="L364">
        <v>1363423835</v>
      </c>
      <c r="M364">
        <v>889818885</v>
      </c>
      <c r="N364">
        <v>954545570</v>
      </c>
      <c r="O364">
        <v>802688851</v>
      </c>
      <c r="P364">
        <v>227</v>
      </c>
      <c r="Q364" t="s">
        <v>880</v>
      </c>
    </row>
    <row r="365" spans="1:17" x14ac:dyDescent="0.3">
      <c r="A365" t="s">
        <v>17</v>
      </c>
      <c r="B365" t="str">
        <f>"603606"</f>
        <v>603606</v>
      </c>
      <c r="C365" t="s">
        <v>881</v>
      </c>
      <c r="D365" t="s">
        <v>515</v>
      </c>
      <c r="E365">
        <v>3323698866</v>
      </c>
      <c r="F365">
        <v>1920561693</v>
      </c>
      <c r="G365">
        <v>1486077711</v>
      </c>
      <c r="H365">
        <v>992305330</v>
      </c>
      <c r="I365">
        <v>822234665</v>
      </c>
      <c r="J365">
        <v>604214433</v>
      </c>
      <c r="K365">
        <v>545950022</v>
      </c>
      <c r="L365">
        <v>514968306</v>
      </c>
      <c r="M365">
        <v>0</v>
      </c>
      <c r="P365">
        <v>1568</v>
      </c>
      <c r="Q365" t="s">
        <v>882</v>
      </c>
    </row>
    <row r="366" spans="1:17" x14ac:dyDescent="0.3">
      <c r="A366" t="s">
        <v>17</v>
      </c>
      <c r="B366" t="str">
        <f>"601608"</f>
        <v>601608</v>
      </c>
      <c r="C366" t="s">
        <v>883</v>
      </c>
      <c r="D366" t="s">
        <v>311</v>
      </c>
      <c r="E366">
        <v>3322891112</v>
      </c>
      <c r="F366">
        <v>2805779038</v>
      </c>
      <c r="G366">
        <v>2678519528</v>
      </c>
      <c r="H366">
        <v>2178064159</v>
      </c>
      <c r="I366">
        <v>2356884547</v>
      </c>
      <c r="J366">
        <v>2890836368</v>
      </c>
      <c r="K366">
        <v>2942722817</v>
      </c>
      <c r="L366">
        <v>2678970039</v>
      </c>
      <c r="M366">
        <v>2393420131</v>
      </c>
      <c r="N366">
        <v>2487674446</v>
      </c>
      <c r="O366">
        <v>0</v>
      </c>
      <c r="P366">
        <v>178</v>
      </c>
      <c r="Q366" t="s">
        <v>884</v>
      </c>
    </row>
    <row r="367" spans="1:17" x14ac:dyDescent="0.3">
      <c r="A367" t="s">
        <v>73</v>
      </c>
      <c r="B367" t="str">
        <f>"000786"</f>
        <v>000786</v>
      </c>
      <c r="C367" t="s">
        <v>885</v>
      </c>
      <c r="D367" t="s">
        <v>808</v>
      </c>
      <c r="E367">
        <v>3316941032</v>
      </c>
      <c r="F367">
        <v>2390090361</v>
      </c>
      <c r="G367">
        <v>1383765050</v>
      </c>
      <c r="H367">
        <v>331306535</v>
      </c>
      <c r="I367">
        <v>302656857</v>
      </c>
      <c r="J367">
        <v>277347128</v>
      </c>
      <c r="K367">
        <v>418505411</v>
      </c>
      <c r="L367">
        <v>434370496</v>
      </c>
      <c r="M367">
        <v>489791832</v>
      </c>
      <c r="N367">
        <v>441177641</v>
      </c>
      <c r="O367">
        <v>386774919</v>
      </c>
      <c r="P367">
        <v>2486</v>
      </c>
      <c r="Q367" t="s">
        <v>886</v>
      </c>
    </row>
    <row r="368" spans="1:17" x14ac:dyDescent="0.3">
      <c r="A368" t="s">
        <v>17</v>
      </c>
      <c r="B368" t="str">
        <f>"603018"</f>
        <v>603018</v>
      </c>
      <c r="C368" t="s">
        <v>887</v>
      </c>
      <c r="D368" t="s">
        <v>661</v>
      </c>
      <c r="E368">
        <v>3308559632</v>
      </c>
      <c r="F368">
        <v>2724065419</v>
      </c>
      <c r="G368">
        <v>1772765222</v>
      </c>
      <c r="H368">
        <v>3298496940</v>
      </c>
      <c r="I368">
        <v>2392061821</v>
      </c>
      <c r="J368">
        <v>1917566476</v>
      </c>
      <c r="K368">
        <v>1640206171</v>
      </c>
      <c r="L368">
        <v>1318354276</v>
      </c>
      <c r="M368">
        <v>1118617025</v>
      </c>
      <c r="P368">
        <v>400</v>
      </c>
      <c r="Q368" t="s">
        <v>888</v>
      </c>
    </row>
    <row r="369" spans="1:17" x14ac:dyDescent="0.3">
      <c r="A369" t="s">
        <v>73</v>
      </c>
      <c r="B369" t="str">
        <f>"002180"</f>
        <v>002180</v>
      </c>
      <c r="C369" t="s">
        <v>889</v>
      </c>
      <c r="D369" t="s">
        <v>890</v>
      </c>
      <c r="E369">
        <v>3307445572</v>
      </c>
      <c r="F369">
        <v>2615726782</v>
      </c>
      <c r="G369">
        <v>2523285704</v>
      </c>
      <c r="H369">
        <v>2507145901</v>
      </c>
      <c r="I369">
        <v>1931953372</v>
      </c>
      <c r="J369">
        <v>2696149209</v>
      </c>
      <c r="K369">
        <v>498905707</v>
      </c>
      <c r="L369">
        <v>63218049</v>
      </c>
      <c r="M369">
        <v>83621891</v>
      </c>
      <c r="N369">
        <v>81834468</v>
      </c>
      <c r="O369">
        <v>70928184</v>
      </c>
      <c r="P369">
        <v>472</v>
      </c>
      <c r="Q369" t="s">
        <v>891</v>
      </c>
    </row>
    <row r="370" spans="1:17" x14ac:dyDescent="0.3">
      <c r="A370" t="s">
        <v>73</v>
      </c>
      <c r="B370" t="str">
        <f>"300073"</f>
        <v>300073</v>
      </c>
      <c r="C370" t="s">
        <v>892</v>
      </c>
      <c r="D370" t="s">
        <v>561</v>
      </c>
      <c r="E370">
        <v>3302081678</v>
      </c>
      <c r="F370">
        <v>1184519245</v>
      </c>
      <c r="G370">
        <v>646352240</v>
      </c>
      <c r="H370">
        <v>1003414264</v>
      </c>
      <c r="I370">
        <v>775461716</v>
      </c>
      <c r="J370">
        <v>472221087</v>
      </c>
      <c r="K370">
        <v>359353643</v>
      </c>
      <c r="L370">
        <v>244205914</v>
      </c>
      <c r="M370">
        <v>165885042</v>
      </c>
      <c r="N370">
        <v>120393249</v>
      </c>
      <c r="O370">
        <v>128049826</v>
      </c>
      <c r="P370">
        <v>826</v>
      </c>
      <c r="Q370" t="s">
        <v>893</v>
      </c>
    </row>
    <row r="371" spans="1:17" x14ac:dyDescent="0.3">
      <c r="A371" t="s">
        <v>17</v>
      </c>
      <c r="B371" t="str">
        <f>"605287"</f>
        <v>605287</v>
      </c>
      <c r="C371" t="s">
        <v>894</v>
      </c>
      <c r="D371" t="s">
        <v>258</v>
      </c>
      <c r="E371">
        <v>3295925705</v>
      </c>
      <c r="F371">
        <v>2397522946</v>
      </c>
      <c r="P371">
        <v>21</v>
      </c>
      <c r="Q371" t="s">
        <v>895</v>
      </c>
    </row>
    <row r="372" spans="1:17" x14ac:dyDescent="0.3">
      <c r="A372" t="s">
        <v>17</v>
      </c>
      <c r="B372" t="str">
        <f>"688779"</f>
        <v>688779</v>
      </c>
      <c r="C372" t="s">
        <v>896</v>
      </c>
      <c r="D372" t="s">
        <v>561</v>
      </c>
      <c r="E372">
        <v>3290780542</v>
      </c>
      <c r="P372">
        <v>53</v>
      </c>
      <c r="Q372" t="s">
        <v>897</v>
      </c>
    </row>
    <row r="373" spans="1:17" x14ac:dyDescent="0.3">
      <c r="A373" t="s">
        <v>73</v>
      </c>
      <c r="B373" t="str">
        <f>"002602"</f>
        <v>002602</v>
      </c>
      <c r="C373" t="s">
        <v>898</v>
      </c>
      <c r="D373" t="s">
        <v>899</v>
      </c>
      <c r="E373">
        <v>3287925160</v>
      </c>
      <c r="F373">
        <v>4222559273</v>
      </c>
      <c r="G373">
        <v>3806683860</v>
      </c>
      <c r="H373">
        <v>1205422839</v>
      </c>
      <c r="I373">
        <v>1175992989</v>
      </c>
      <c r="J373">
        <v>651633273</v>
      </c>
      <c r="K373">
        <v>658328072</v>
      </c>
      <c r="L373">
        <v>484188863</v>
      </c>
      <c r="M373">
        <v>318185572</v>
      </c>
      <c r="N373">
        <v>261454602</v>
      </c>
      <c r="O373">
        <v>258149554</v>
      </c>
      <c r="P373">
        <v>718</v>
      </c>
      <c r="Q373" t="s">
        <v>900</v>
      </c>
    </row>
    <row r="374" spans="1:17" x14ac:dyDescent="0.3">
      <c r="A374" t="s">
        <v>73</v>
      </c>
      <c r="B374" t="str">
        <f>"000547"</f>
        <v>000547</v>
      </c>
      <c r="C374" t="s">
        <v>901</v>
      </c>
      <c r="D374" t="s">
        <v>502</v>
      </c>
      <c r="E374">
        <v>3287098374</v>
      </c>
      <c r="F374">
        <v>2398519495</v>
      </c>
      <c r="G374">
        <v>1873644728</v>
      </c>
      <c r="H374">
        <v>1892123052</v>
      </c>
      <c r="I374">
        <v>1266826171</v>
      </c>
      <c r="J374">
        <v>919264943</v>
      </c>
      <c r="K374">
        <v>551796218</v>
      </c>
      <c r="L374">
        <v>370083741</v>
      </c>
      <c r="M374">
        <v>197647237</v>
      </c>
      <c r="N374">
        <v>183302748</v>
      </c>
      <c r="O374">
        <v>150257485</v>
      </c>
      <c r="P374">
        <v>612</v>
      </c>
      <c r="Q374" t="s">
        <v>902</v>
      </c>
    </row>
    <row r="375" spans="1:17" x14ac:dyDescent="0.3">
      <c r="A375" t="s">
        <v>17</v>
      </c>
      <c r="B375" t="str">
        <f>"601162"</f>
        <v>601162</v>
      </c>
      <c r="C375" t="s">
        <v>903</v>
      </c>
      <c r="D375" t="s">
        <v>53</v>
      </c>
      <c r="E375">
        <v>3266763127</v>
      </c>
      <c r="F375">
        <v>1942990394</v>
      </c>
      <c r="G375">
        <v>869974246</v>
      </c>
      <c r="H375">
        <v>493756187</v>
      </c>
      <c r="I375">
        <v>233151089</v>
      </c>
      <c r="K375">
        <v>4166625</v>
      </c>
      <c r="L375">
        <v>0</v>
      </c>
      <c r="M375">
        <v>0</v>
      </c>
      <c r="P375">
        <v>897</v>
      </c>
      <c r="Q375" t="s">
        <v>904</v>
      </c>
    </row>
    <row r="376" spans="1:17" x14ac:dyDescent="0.3">
      <c r="A376" t="s">
        <v>17</v>
      </c>
      <c r="B376" t="str">
        <f>"600869"</f>
        <v>600869</v>
      </c>
      <c r="C376" t="s">
        <v>905</v>
      </c>
      <c r="D376" t="s">
        <v>515</v>
      </c>
      <c r="E376">
        <v>3265298154</v>
      </c>
      <c r="F376">
        <v>3740015973</v>
      </c>
      <c r="G376">
        <v>4158977960</v>
      </c>
      <c r="H376">
        <v>4517090880</v>
      </c>
      <c r="I376">
        <v>4679595858</v>
      </c>
      <c r="J376">
        <v>4518697016</v>
      </c>
      <c r="K376">
        <v>3843520044</v>
      </c>
      <c r="L376">
        <v>3136821024</v>
      </c>
      <c r="M376">
        <v>2968611949</v>
      </c>
      <c r="N376">
        <v>2872289999</v>
      </c>
      <c r="O376">
        <v>2835924208</v>
      </c>
      <c r="P376">
        <v>206</v>
      </c>
      <c r="Q376" t="s">
        <v>906</v>
      </c>
    </row>
    <row r="377" spans="1:17" x14ac:dyDescent="0.3">
      <c r="A377" t="s">
        <v>73</v>
      </c>
      <c r="B377" t="str">
        <f>"002001"</f>
        <v>002001</v>
      </c>
      <c r="C377" t="s">
        <v>907</v>
      </c>
      <c r="D377" t="s">
        <v>908</v>
      </c>
      <c r="E377">
        <v>3258816633</v>
      </c>
      <c r="F377">
        <v>2505086111</v>
      </c>
      <c r="G377">
        <v>2079431253</v>
      </c>
      <c r="H377">
        <v>1678497633</v>
      </c>
      <c r="I377">
        <v>2587895970</v>
      </c>
      <c r="J377">
        <v>851918062</v>
      </c>
      <c r="K377">
        <v>778555006</v>
      </c>
      <c r="L377">
        <v>777963761</v>
      </c>
      <c r="M377">
        <v>803617186</v>
      </c>
      <c r="N377">
        <v>759019724</v>
      </c>
      <c r="O377">
        <v>659690248</v>
      </c>
      <c r="P377">
        <v>1984</v>
      </c>
      <c r="Q377" t="s">
        <v>909</v>
      </c>
    </row>
    <row r="378" spans="1:17" x14ac:dyDescent="0.3">
      <c r="A378" t="s">
        <v>17</v>
      </c>
      <c r="B378" t="str">
        <f>"603567"</f>
        <v>603567</v>
      </c>
      <c r="C378" t="s">
        <v>910</v>
      </c>
      <c r="D378" t="s">
        <v>215</v>
      </c>
      <c r="E378">
        <v>3254775054</v>
      </c>
      <c r="F378">
        <v>2465661111</v>
      </c>
      <c r="G378">
        <v>1585302485</v>
      </c>
      <c r="H378">
        <v>1497000406</v>
      </c>
      <c r="I378">
        <v>1095698247</v>
      </c>
      <c r="J378">
        <v>688845600</v>
      </c>
      <c r="K378">
        <v>293339663</v>
      </c>
      <c r="L378">
        <v>65046299</v>
      </c>
      <c r="M378">
        <v>0</v>
      </c>
      <c r="P378">
        <v>134</v>
      </c>
      <c r="Q378" t="s">
        <v>911</v>
      </c>
    </row>
    <row r="379" spans="1:17" x14ac:dyDescent="0.3">
      <c r="A379" t="s">
        <v>17</v>
      </c>
      <c r="B379" t="str">
        <f>"688005"</f>
        <v>688005</v>
      </c>
      <c r="C379" t="s">
        <v>912</v>
      </c>
      <c r="D379" t="s">
        <v>561</v>
      </c>
      <c r="E379">
        <v>3248554900</v>
      </c>
      <c r="F379">
        <v>724149103</v>
      </c>
      <c r="G379">
        <v>792007899</v>
      </c>
      <c r="H379">
        <v>1197383990</v>
      </c>
      <c r="P379">
        <v>318</v>
      </c>
      <c r="Q379" t="s">
        <v>913</v>
      </c>
    </row>
    <row r="380" spans="1:17" x14ac:dyDescent="0.3">
      <c r="A380" t="s">
        <v>73</v>
      </c>
      <c r="B380" t="str">
        <f>"000016"</f>
        <v>000016</v>
      </c>
      <c r="C380" t="s">
        <v>914</v>
      </c>
      <c r="D380" t="s">
        <v>251</v>
      </c>
      <c r="E380">
        <v>3241709850</v>
      </c>
      <c r="F380">
        <v>4307128916</v>
      </c>
      <c r="G380">
        <v>4562828526</v>
      </c>
      <c r="H380">
        <v>5123947618</v>
      </c>
      <c r="I380">
        <v>4250342804</v>
      </c>
      <c r="J380">
        <v>2038181138</v>
      </c>
      <c r="K380">
        <v>2112904717</v>
      </c>
      <c r="L380">
        <v>2211159698</v>
      </c>
      <c r="M380">
        <v>1867066659</v>
      </c>
      <c r="N380">
        <v>1918458593</v>
      </c>
      <c r="O380">
        <v>1765098597</v>
      </c>
      <c r="P380">
        <v>266</v>
      </c>
      <c r="Q380" t="s">
        <v>915</v>
      </c>
    </row>
    <row r="381" spans="1:17" x14ac:dyDescent="0.3">
      <c r="A381" t="s">
        <v>17</v>
      </c>
      <c r="B381" t="str">
        <f>"600060"</f>
        <v>600060</v>
      </c>
      <c r="C381" t="s">
        <v>916</v>
      </c>
      <c r="D381" t="s">
        <v>251</v>
      </c>
      <c r="E381">
        <v>3240071287</v>
      </c>
      <c r="F381">
        <v>3261552664</v>
      </c>
      <c r="G381">
        <v>1977247010</v>
      </c>
      <c r="H381">
        <v>2200151131</v>
      </c>
      <c r="I381">
        <v>1973476447</v>
      </c>
      <c r="J381">
        <v>1727711453</v>
      </c>
      <c r="K381">
        <v>1912049361</v>
      </c>
      <c r="L381">
        <v>1635165617</v>
      </c>
      <c r="M381">
        <v>1484250597</v>
      </c>
      <c r="N381">
        <v>1102244610</v>
      </c>
      <c r="O381">
        <v>757653207</v>
      </c>
      <c r="P381">
        <v>532</v>
      </c>
      <c r="Q381" t="s">
        <v>917</v>
      </c>
    </row>
    <row r="382" spans="1:17" x14ac:dyDescent="0.3">
      <c r="A382" t="s">
        <v>17</v>
      </c>
      <c r="B382" t="str">
        <f>"603806"</f>
        <v>603806</v>
      </c>
      <c r="C382" t="s">
        <v>918</v>
      </c>
      <c r="D382" t="s">
        <v>919</v>
      </c>
      <c r="E382">
        <v>3235797725</v>
      </c>
      <c r="F382">
        <v>2488352330</v>
      </c>
      <c r="G382">
        <v>1464242510</v>
      </c>
      <c r="H382">
        <v>1664916120</v>
      </c>
      <c r="I382">
        <v>1064806992</v>
      </c>
      <c r="J382">
        <v>1137342852</v>
      </c>
      <c r="K382">
        <v>914219844</v>
      </c>
      <c r="L382">
        <v>904383665</v>
      </c>
      <c r="M382">
        <v>0</v>
      </c>
      <c r="P382">
        <v>1029</v>
      </c>
      <c r="Q382" t="s">
        <v>920</v>
      </c>
    </row>
    <row r="383" spans="1:17" x14ac:dyDescent="0.3">
      <c r="A383" t="s">
        <v>73</v>
      </c>
      <c r="B383" t="str">
        <f>"002845"</f>
        <v>002845</v>
      </c>
      <c r="C383" t="s">
        <v>921</v>
      </c>
      <c r="D383" t="s">
        <v>97</v>
      </c>
      <c r="E383">
        <v>3223708325</v>
      </c>
      <c r="F383">
        <v>2726450311</v>
      </c>
      <c r="G383">
        <v>1867781157</v>
      </c>
      <c r="H383">
        <v>1206419643</v>
      </c>
      <c r="I383">
        <v>613706182</v>
      </c>
      <c r="J383">
        <v>522012289</v>
      </c>
      <c r="P383">
        <v>222</v>
      </c>
      <c r="Q383" t="s">
        <v>922</v>
      </c>
    </row>
    <row r="384" spans="1:17" x14ac:dyDescent="0.3">
      <c r="A384" t="s">
        <v>17</v>
      </c>
      <c r="B384" t="str">
        <f>"601689"</f>
        <v>601689</v>
      </c>
      <c r="C384" t="s">
        <v>923</v>
      </c>
      <c r="D384" t="s">
        <v>122</v>
      </c>
      <c r="E384">
        <v>3223359889</v>
      </c>
      <c r="F384">
        <v>1941085099</v>
      </c>
      <c r="G384">
        <v>1082677069</v>
      </c>
      <c r="H384">
        <v>1134181206</v>
      </c>
      <c r="I384">
        <v>1354043215</v>
      </c>
      <c r="J384">
        <v>1199802548</v>
      </c>
      <c r="K384">
        <v>671966977</v>
      </c>
      <c r="L384">
        <v>551158074</v>
      </c>
      <c r="M384">
        <v>0</v>
      </c>
      <c r="P384">
        <v>664</v>
      </c>
      <c r="Q384" t="s">
        <v>924</v>
      </c>
    </row>
    <row r="385" spans="1:17" x14ac:dyDescent="0.3">
      <c r="A385" t="s">
        <v>73</v>
      </c>
      <c r="B385" t="str">
        <f>"000021"</f>
        <v>000021</v>
      </c>
      <c r="C385" t="s">
        <v>925</v>
      </c>
      <c r="D385" t="s">
        <v>42</v>
      </c>
      <c r="E385">
        <v>3221184029</v>
      </c>
      <c r="F385">
        <v>2731813628</v>
      </c>
      <c r="G385">
        <v>2363438883</v>
      </c>
      <c r="H385">
        <v>0</v>
      </c>
      <c r="I385">
        <v>1619111531</v>
      </c>
      <c r="J385">
        <v>2007913727</v>
      </c>
      <c r="K385">
        <v>1653884308</v>
      </c>
      <c r="L385">
        <v>2287160515</v>
      </c>
      <c r="M385">
        <v>1729204808</v>
      </c>
      <c r="N385">
        <v>1555130656</v>
      </c>
      <c r="O385">
        <v>1463495654</v>
      </c>
      <c r="P385">
        <v>442</v>
      </c>
      <c r="Q385" t="s">
        <v>926</v>
      </c>
    </row>
    <row r="386" spans="1:17" x14ac:dyDescent="0.3">
      <c r="A386" t="s">
        <v>73</v>
      </c>
      <c r="B386" t="str">
        <f>"000708"</f>
        <v>000708</v>
      </c>
      <c r="C386" t="s">
        <v>927</v>
      </c>
      <c r="D386" t="s">
        <v>928</v>
      </c>
      <c r="E386">
        <v>3220234046</v>
      </c>
      <c r="F386">
        <v>2197337081</v>
      </c>
      <c r="G386">
        <v>2842089725</v>
      </c>
      <c r="H386">
        <v>542961185</v>
      </c>
      <c r="I386">
        <v>425495248</v>
      </c>
      <c r="J386">
        <v>416295582</v>
      </c>
      <c r="K386">
        <v>465175802</v>
      </c>
      <c r="L386">
        <v>463819479</v>
      </c>
      <c r="M386">
        <v>412009521</v>
      </c>
      <c r="N386">
        <v>470243754</v>
      </c>
      <c r="O386">
        <v>354433164</v>
      </c>
      <c r="P386">
        <v>677</v>
      </c>
      <c r="Q386" t="s">
        <v>929</v>
      </c>
    </row>
    <row r="387" spans="1:17" x14ac:dyDescent="0.3">
      <c r="A387" t="s">
        <v>17</v>
      </c>
      <c r="B387" t="str">
        <f>"600590"</f>
        <v>600590</v>
      </c>
      <c r="C387" t="s">
        <v>930</v>
      </c>
      <c r="D387" t="s">
        <v>161</v>
      </c>
      <c r="E387">
        <v>3204067789</v>
      </c>
      <c r="F387">
        <v>3488836926</v>
      </c>
      <c r="G387">
        <v>3655258492</v>
      </c>
      <c r="H387">
        <v>4181990503</v>
      </c>
      <c r="I387">
        <v>3210539805</v>
      </c>
      <c r="J387">
        <v>2271677366</v>
      </c>
      <c r="K387">
        <v>1823916567</v>
      </c>
      <c r="L387">
        <v>1106524312</v>
      </c>
      <c r="M387">
        <v>1050112361</v>
      </c>
      <c r="N387">
        <v>971131190</v>
      </c>
      <c r="O387">
        <v>897796412</v>
      </c>
      <c r="P387">
        <v>168</v>
      </c>
      <c r="Q387" t="s">
        <v>931</v>
      </c>
    </row>
    <row r="388" spans="1:17" x14ac:dyDescent="0.3">
      <c r="A388" t="s">
        <v>17</v>
      </c>
      <c r="B388" t="str">
        <f>"600157"</f>
        <v>600157</v>
      </c>
      <c r="C388" t="s">
        <v>932</v>
      </c>
      <c r="D388" t="s">
        <v>492</v>
      </c>
      <c r="E388">
        <v>3196693460</v>
      </c>
      <c r="F388">
        <v>3176319725</v>
      </c>
      <c r="G388">
        <v>2425227700</v>
      </c>
      <c r="H388">
        <v>2898192040</v>
      </c>
      <c r="I388">
        <v>3749495535</v>
      </c>
      <c r="J388">
        <v>3797494227</v>
      </c>
      <c r="K388">
        <v>4414496146</v>
      </c>
      <c r="L388">
        <v>3528304250</v>
      </c>
      <c r="M388">
        <v>3555801700</v>
      </c>
      <c r="N388">
        <v>1721054205</v>
      </c>
      <c r="O388">
        <v>557254386</v>
      </c>
      <c r="P388">
        <v>226</v>
      </c>
      <c r="Q388" t="s">
        <v>933</v>
      </c>
    </row>
    <row r="389" spans="1:17" x14ac:dyDescent="0.3">
      <c r="A389" t="s">
        <v>17</v>
      </c>
      <c r="B389" t="str">
        <f>"601966"</f>
        <v>601966</v>
      </c>
      <c r="C389" t="s">
        <v>934</v>
      </c>
      <c r="D389" t="s">
        <v>781</v>
      </c>
      <c r="E389">
        <v>3185205008</v>
      </c>
      <c r="F389">
        <v>3537967593</v>
      </c>
      <c r="G389">
        <v>2428504629</v>
      </c>
      <c r="H389">
        <v>2893506305</v>
      </c>
      <c r="I389">
        <v>2557407385</v>
      </c>
      <c r="J389">
        <v>1882866324</v>
      </c>
      <c r="K389">
        <v>0</v>
      </c>
      <c r="L389">
        <v>0</v>
      </c>
      <c r="P389">
        <v>927</v>
      </c>
      <c r="Q389" t="s">
        <v>935</v>
      </c>
    </row>
    <row r="390" spans="1:17" x14ac:dyDescent="0.3">
      <c r="A390" t="s">
        <v>17</v>
      </c>
      <c r="B390" t="str">
        <f>"600268"</f>
        <v>600268</v>
      </c>
      <c r="C390" t="s">
        <v>936</v>
      </c>
      <c r="D390" t="s">
        <v>161</v>
      </c>
      <c r="E390">
        <v>3169302750</v>
      </c>
      <c r="F390">
        <v>3133990876</v>
      </c>
      <c r="G390">
        <v>3331929881</v>
      </c>
      <c r="H390">
        <v>3796543286</v>
      </c>
      <c r="I390">
        <v>4210725936</v>
      </c>
      <c r="J390">
        <v>4567932432</v>
      </c>
      <c r="K390">
        <v>4663347317</v>
      </c>
      <c r="L390">
        <v>4096989827</v>
      </c>
      <c r="M390">
        <v>3969821859</v>
      </c>
      <c r="N390">
        <v>3501959603</v>
      </c>
      <c r="O390">
        <v>2738469416</v>
      </c>
      <c r="P390">
        <v>245</v>
      </c>
      <c r="Q390" t="s">
        <v>937</v>
      </c>
    </row>
    <row r="391" spans="1:17" x14ac:dyDescent="0.3">
      <c r="A391" t="s">
        <v>17</v>
      </c>
      <c r="B391" t="str">
        <f>"688772"</f>
        <v>688772</v>
      </c>
      <c r="C391" t="s">
        <v>938</v>
      </c>
      <c r="D391" t="s">
        <v>125</v>
      </c>
      <c r="E391">
        <v>3157704706</v>
      </c>
      <c r="P391">
        <v>33</v>
      </c>
      <c r="Q391" t="s">
        <v>939</v>
      </c>
    </row>
    <row r="392" spans="1:17" x14ac:dyDescent="0.3">
      <c r="A392" t="s">
        <v>73</v>
      </c>
      <c r="B392" t="str">
        <f>"000090"</f>
        <v>000090</v>
      </c>
      <c r="C392" t="s">
        <v>940</v>
      </c>
      <c r="D392" t="s">
        <v>27</v>
      </c>
      <c r="E392">
        <v>3142137074</v>
      </c>
      <c r="F392">
        <v>2696525412</v>
      </c>
      <c r="G392">
        <v>2511985979</v>
      </c>
      <c r="H392">
        <v>2111298375</v>
      </c>
      <c r="I392">
        <v>1463079367</v>
      </c>
      <c r="J392">
        <v>571629952</v>
      </c>
      <c r="K392">
        <v>408507652</v>
      </c>
      <c r="L392">
        <v>389209402</v>
      </c>
      <c r="M392">
        <v>286789214</v>
      </c>
      <c r="N392">
        <v>181957413</v>
      </c>
      <c r="O392">
        <v>219070205</v>
      </c>
      <c r="P392">
        <v>424</v>
      </c>
      <c r="Q392" t="s">
        <v>941</v>
      </c>
    </row>
    <row r="393" spans="1:17" x14ac:dyDescent="0.3">
      <c r="A393" t="s">
        <v>73</v>
      </c>
      <c r="B393" t="str">
        <f>"002064"</f>
        <v>002064</v>
      </c>
      <c r="C393" t="s">
        <v>942</v>
      </c>
      <c r="D393" t="s">
        <v>943</v>
      </c>
      <c r="E393">
        <v>3123692694</v>
      </c>
      <c r="F393">
        <v>2022280672</v>
      </c>
      <c r="G393">
        <v>1883267291</v>
      </c>
      <c r="H393">
        <v>683976239</v>
      </c>
      <c r="I393">
        <v>552948617</v>
      </c>
      <c r="J393">
        <v>498803721</v>
      </c>
      <c r="K393">
        <v>523334359</v>
      </c>
      <c r="L393">
        <v>368209504</v>
      </c>
      <c r="M393">
        <v>313879213</v>
      </c>
      <c r="N393">
        <v>264379075</v>
      </c>
      <c r="O393">
        <v>208992295</v>
      </c>
      <c r="P393">
        <v>686</v>
      </c>
      <c r="Q393" t="s">
        <v>944</v>
      </c>
    </row>
    <row r="394" spans="1:17" x14ac:dyDescent="0.3">
      <c r="A394" t="s">
        <v>73</v>
      </c>
      <c r="B394" t="str">
        <f>"002398"</f>
        <v>002398</v>
      </c>
      <c r="C394" t="s">
        <v>945</v>
      </c>
      <c r="D394" t="s">
        <v>808</v>
      </c>
      <c r="E394">
        <v>3118242391</v>
      </c>
      <c r="F394">
        <v>2405973569</v>
      </c>
      <c r="G394">
        <v>1806634134</v>
      </c>
      <c r="H394">
        <v>1604239061</v>
      </c>
      <c r="I394">
        <v>1157009851</v>
      </c>
      <c r="J394">
        <v>896466907</v>
      </c>
      <c r="K394">
        <v>896418907</v>
      </c>
      <c r="L394">
        <v>1007291172</v>
      </c>
      <c r="M394">
        <v>1008078307</v>
      </c>
      <c r="N394">
        <v>735001790</v>
      </c>
      <c r="O394">
        <v>432622208</v>
      </c>
      <c r="P394">
        <v>217</v>
      </c>
      <c r="Q394" t="s">
        <v>946</v>
      </c>
    </row>
    <row r="395" spans="1:17" x14ac:dyDescent="0.3">
      <c r="A395" t="s">
        <v>17</v>
      </c>
      <c r="B395" t="str">
        <f>"600029"</f>
        <v>600029</v>
      </c>
      <c r="C395" t="s">
        <v>947</v>
      </c>
      <c r="D395" t="s">
        <v>948</v>
      </c>
      <c r="E395">
        <v>3116000000</v>
      </c>
      <c r="F395">
        <v>3595000000</v>
      </c>
      <c r="G395">
        <v>2895000000</v>
      </c>
      <c r="H395">
        <v>3806000000</v>
      </c>
      <c r="I395">
        <v>3365000000</v>
      </c>
      <c r="J395">
        <v>2965000000</v>
      </c>
      <c r="K395">
        <v>2935000000</v>
      </c>
      <c r="L395">
        <v>3236000000</v>
      </c>
      <c r="M395">
        <v>2651000000</v>
      </c>
      <c r="N395">
        <v>2312000000</v>
      </c>
      <c r="O395">
        <v>2337000000</v>
      </c>
      <c r="P395">
        <v>1137</v>
      </c>
      <c r="Q395" t="s">
        <v>949</v>
      </c>
    </row>
    <row r="396" spans="1:17" x14ac:dyDescent="0.3">
      <c r="A396" t="s">
        <v>73</v>
      </c>
      <c r="B396" t="str">
        <f>"300118"</f>
        <v>300118</v>
      </c>
      <c r="C396" t="s">
        <v>950</v>
      </c>
      <c r="D396" t="s">
        <v>305</v>
      </c>
      <c r="E396">
        <v>3100661758</v>
      </c>
      <c r="F396">
        <v>3252787759</v>
      </c>
      <c r="G396">
        <v>3931850534</v>
      </c>
      <c r="H396">
        <v>3527209971</v>
      </c>
      <c r="I396">
        <v>2868465375</v>
      </c>
      <c r="J396">
        <v>2728289489</v>
      </c>
      <c r="K396">
        <v>2547942645</v>
      </c>
      <c r="L396">
        <v>1732310180</v>
      </c>
      <c r="M396">
        <v>982453733</v>
      </c>
      <c r="N396">
        <v>649815022</v>
      </c>
      <c r="O396">
        <v>874857130</v>
      </c>
      <c r="P396">
        <v>443</v>
      </c>
      <c r="Q396" t="s">
        <v>951</v>
      </c>
    </row>
    <row r="397" spans="1:17" x14ac:dyDescent="0.3">
      <c r="A397" t="s">
        <v>73</v>
      </c>
      <c r="B397" t="str">
        <f>"002228"</f>
        <v>002228</v>
      </c>
      <c r="C397" t="s">
        <v>952</v>
      </c>
      <c r="D397" t="s">
        <v>577</v>
      </c>
      <c r="E397">
        <v>3092845764</v>
      </c>
      <c r="F397">
        <v>2884612352</v>
      </c>
      <c r="G397">
        <v>1911526523</v>
      </c>
      <c r="H397">
        <v>2639200695</v>
      </c>
      <c r="I397">
        <v>1752029396</v>
      </c>
      <c r="J397">
        <v>1073299270</v>
      </c>
      <c r="K397">
        <v>781138718</v>
      </c>
      <c r="L397">
        <v>619778788</v>
      </c>
      <c r="M397">
        <v>599712531</v>
      </c>
      <c r="N397">
        <v>513203254</v>
      </c>
      <c r="O397">
        <v>394522648</v>
      </c>
      <c r="P397">
        <v>290</v>
      </c>
      <c r="Q397" t="s">
        <v>953</v>
      </c>
    </row>
    <row r="398" spans="1:17" x14ac:dyDescent="0.3">
      <c r="A398" t="s">
        <v>73</v>
      </c>
      <c r="B398" t="str">
        <f>"300457"</f>
        <v>300457</v>
      </c>
      <c r="C398" t="s">
        <v>954</v>
      </c>
      <c r="D398" t="s">
        <v>672</v>
      </c>
      <c r="E398">
        <v>3088657984</v>
      </c>
      <c r="F398">
        <v>1655939142</v>
      </c>
      <c r="G398">
        <v>1420242178</v>
      </c>
      <c r="H398">
        <v>1463796051</v>
      </c>
      <c r="I398">
        <v>936683484</v>
      </c>
      <c r="J398">
        <v>625407813</v>
      </c>
      <c r="K398">
        <v>213354922</v>
      </c>
      <c r="L398">
        <v>0</v>
      </c>
      <c r="M398">
        <v>0</v>
      </c>
      <c r="P398">
        <v>359</v>
      </c>
      <c r="Q398" t="s">
        <v>955</v>
      </c>
    </row>
    <row r="399" spans="1:17" x14ac:dyDescent="0.3">
      <c r="A399" t="s">
        <v>73</v>
      </c>
      <c r="B399" t="str">
        <f>"000810"</f>
        <v>000810</v>
      </c>
      <c r="C399" t="s">
        <v>956</v>
      </c>
      <c r="D399" t="s">
        <v>957</v>
      </c>
      <c r="E399">
        <v>3081946247</v>
      </c>
      <c r="F399">
        <v>3056730721</v>
      </c>
      <c r="G399">
        <v>3973937749</v>
      </c>
      <c r="H399">
        <v>4652158124</v>
      </c>
      <c r="I399">
        <v>3747023575</v>
      </c>
      <c r="J399">
        <v>2761332772</v>
      </c>
      <c r="K399">
        <v>2463081118</v>
      </c>
      <c r="L399">
        <v>2045800350</v>
      </c>
      <c r="M399">
        <v>70037158</v>
      </c>
      <c r="N399">
        <v>79856155</v>
      </c>
      <c r="O399">
        <v>107080792</v>
      </c>
      <c r="P399">
        <v>384</v>
      </c>
      <c r="Q399" t="s">
        <v>958</v>
      </c>
    </row>
    <row r="400" spans="1:17" x14ac:dyDescent="0.3">
      <c r="A400" t="s">
        <v>73</v>
      </c>
      <c r="B400" t="str">
        <f>"002498"</f>
        <v>002498</v>
      </c>
      <c r="C400" t="s">
        <v>959</v>
      </c>
      <c r="D400" t="s">
        <v>515</v>
      </c>
      <c r="E400">
        <v>3077303313</v>
      </c>
      <c r="F400">
        <v>2040897337</v>
      </c>
      <c r="G400">
        <v>1886746786</v>
      </c>
      <c r="H400">
        <v>2027107644</v>
      </c>
      <c r="I400">
        <v>2267015854</v>
      </c>
      <c r="J400">
        <v>1835001260</v>
      </c>
      <c r="K400">
        <v>1722157370</v>
      </c>
      <c r="L400">
        <v>1513528367</v>
      </c>
      <c r="M400">
        <v>1576588341</v>
      </c>
      <c r="N400">
        <v>1042084759</v>
      </c>
      <c r="O400">
        <v>843418954</v>
      </c>
      <c r="P400">
        <v>282</v>
      </c>
      <c r="Q400" t="s">
        <v>960</v>
      </c>
    </row>
    <row r="401" spans="1:17" x14ac:dyDescent="0.3">
      <c r="A401" t="s">
        <v>17</v>
      </c>
      <c r="B401" t="str">
        <f>"600048"</f>
        <v>600048</v>
      </c>
      <c r="C401" t="s">
        <v>961</v>
      </c>
      <c r="D401" t="s">
        <v>27</v>
      </c>
      <c r="E401">
        <v>3075690380</v>
      </c>
      <c r="F401">
        <v>2493982941</v>
      </c>
      <c r="G401">
        <v>2331202788</v>
      </c>
      <c r="H401">
        <v>2186221538</v>
      </c>
      <c r="I401">
        <v>2210832577</v>
      </c>
      <c r="J401">
        <v>1432063523</v>
      </c>
      <c r="K401">
        <v>2602144759</v>
      </c>
      <c r="L401">
        <v>2690561877</v>
      </c>
      <c r="M401">
        <v>1788489936</v>
      </c>
      <c r="N401">
        <v>1429713673</v>
      </c>
      <c r="O401">
        <v>1049438377</v>
      </c>
      <c r="P401">
        <v>8844</v>
      </c>
      <c r="Q401" t="s">
        <v>962</v>
      </c>
    </row>
    <row r="402" spans="1:17" x14ac:dyDescent="0.3">
      <c r="A402" t="s">
        <v>17</v>
      </c>
      <c r="B402" t="str">
        <f>"601880"</f>
        <v>601880</v>
      </c>
      <c r="C402" t="s">
        <v>963</v>
      </c>
      <c r="D402" t="s">
        <v>706</v>
      </c>
      <c r="E402">
        <v>3066464099</v>
      </c>
      <c r="F402">
        <v>2511359232</v>
      </c>
      <c r="G402">
        <v>1780105248</v>
      </c>
      <c r="H402">
        <v>1193546998</v>
      </c>
      <c r="I402">
        <v>1261008183</v>
      </c>
      <c r="J402">
        <v>640862334</v>
      </c>
      <c r="K402">
        <v>850950061</v>
      </c>
      <c r="L402">
        <v>1011124414</v>
      </c>
      <c r="M402">
        <v>733153231</v>
      </c>
      <c r="N402">
        <v>611852949</v>
      </c>
      <c r="O402">
        <v>670967057</v>
      </c>
      <c r="P402">
        <v>189</v>
      </c>
      <c r="Q402" t="s">
        <v>964</v>
      </c>
    </row>
    <row r="403" spans="1:17" x14ac:dyDescent="0.3">
      <c r="A403" t="s">
        <v>73</v>
      </c>
      <c r="B403" t="str">
        <f>"000958"</f>
        <v>000958</v>
      </c>
      <c r="C403" t="s">
        <v>965</v>
      </c>
      <c r="D403" t="s">
        <v>71</v>
      </c>
      <c r="E403">
        <v>3062011098</v>
      </c>
      <c r="F403">
        <v>2443292543</v>
      </c>
      <c r="G403">
        <v>823966243</v>
      </c>
      <c r="H403">
        <v>773784651</v>
      </c>
      <c r="I403">
        <v>646022685</v>
      </c>
      <c r="J403">
        <v>378450265</v>
      </c>
      <c r="K403">
        <v>385985668</v>
      </c>
      <c r="L403">
        <v>161278111</v>
      </c>
      <c r="M403">
        <v>107480395</v>
      </c>
      <c r="N403">
        <v>85598166</v>
      </c>
      <c r="O403">
        <v>167528038</v>
      </c>
      <c r="P403">
        <v>162</v>
      </c>
      <c r="Q403" t="s">
        <v>966</v>
      </c>
    </row>
    <row r="404" spans="1:17" x14ac:dyDescent="0.3">
      <c r="A404" t="s">
        <v>17</v>
      </c>
      <c r="B404" t="str">
        <f>"601139"</f>
        <v>601139</v>
      </c>
      <c r="C404" t="s">
        <v>967</v>
      </c>
      <c r="D404" t="s">
        <v>469</v>
      </c>
      <c r="E404">
        <v>3060503483</v>
      </c>
      <c r="F404">
        <v>992209422</v>
      </c>
      <c r="G404">
        <v>779828439</v>
      </c>
      <c r="H404">
        <v>609601807</v>
      </c>
      <c r="I404">
        <v>531696789</v>
      </c>
      <c r="J404">
        <v>445337731</v>
      </c>
      <c r="K404">
        <v>466962846</v>
      </c>
      <c r="L404">
        <v>379049616</v>
      </c>
      <c r="M404">
        <v>363894542</v>
      </c>
      <c r="N404">
        <v>370154354</v>
      </c>
      <c r="O404">
        <v>455927556</v>
      </c>
      <c r="P404">
        <v>476</v>
      </c>
      <c r="Q404" t="s">
        <v>968</v>
      </c>
    </row>
    <row r="405" spans="1:17" x14ac:dyDescent="0.3">
      <c r="A405" t="s">
        <v>17</v>
      </c>
      <c r="B405" t="str">
        <f>"603228"</f>
        <v>603228</v>
      </c>
      <c r="C405" t="s">
        <v>969</v>
      </c>
      <c r="D405" t="s">
        <v>418</v>
      </c>
      <c r="E405">
        <v>3057088705</v>
      </c>
      <c r="F405">
        <v>2481704844</v>
      </c>
      <c r="G405">
        <v>1796089528</v>
      </c>
      <c r="H405">
        <v>1535101821</v>
      </c>
      <c r="I405">
        <v>1162725259</v>
      </c>
      <c r="J405">
        <v>1051310215</v>
      </c>
      <c r="P405">
        <v>1624</v>
      </c>
      <c r="Q405" t="s">
        <v>970</v>
      </c>
    </row>
    <row r="406" spans="1:17" x14ac:dyDescent="0.3">
      <c r="A406" t="s">
        <v>73</v>
      </c>
      <c r="B406" t="str">
        <f>"002798"</f>
        <v>002798</v>
      </c>
      <c r="C406" t="s">
        <v>971</v>
      </c>
      <c r="D406" t="s">
        <v>972</v>
      </c>
      <c r="E406">
        <v>3040772706</v>
      </c>
      <c r="F406">
        <v>3043540468</v>
      </c>
      <c r="G406">
        <v>2618154269</v>
      </c>
      <c r="H406">
        <v>1425129691</v>
      </c>
      <c r="I406">
        <v>983807953</v>
      </c>
      <c r="J406">
        <v>86971873</v>
      </c>
      <c r="K406">
        <v>70308800</v>
      </c>
      <c r="L406">
        <v>0</v>
      </c>
      <c r="P406">
        <v>374</v>
      </c>
      <c r="Q406" t="s">
        <v>973</v>
      </c>
    </row>
    <row r="407" spans="1:17" x14ac:dyDescent="0.3">
      <c r="A407" t="s">
        <v>17</v>
      </c>
      <c r="B407" t="str">
        <f>"603501"</f>
        <v>603501</v>
      </c>
      <c r="C407" t="s">
        <v>974</v>
      </c>
      <c r="D407" t="s">
        <v>890</v>
      </c>
      <c r="E407">
        <v>3031986765</v>
      </c>
      <c r="F407">
        <v>3532316170</v>
      </c>
      <c r="G407">
        <v>2923322548</v>
      </c>
      <c r="H407">
        <v>761527568</v>
      </c>
      <c r="I407">
        <v>998892234</v>
      </c>
      <c r="J407">
        <v>499186623</v>
      </c>
      <c r="P407">
        <v>2200</v>
      </c>
      <c r="Q407" t="s">
        <v>975</v>
      </c>
    </row>
    <row r="408" spans="1:17" x14ac:dyDescent="0.3">
      <c r="A408" t="s">
        <v>17</v>
      </c>
      <c r="B408" t="str">
        <f>"600885"</f>
        <v>600885</v>
      </c>
      <c r="C408" t="s">
        <v>976</v>
      </c>
      <c r="D408" t="s">
        <v>161</v>
      </c>
      <c r="E408">
        <v>3030535620</v>
      </c>
      <c r="F408">
        <v>2636343262</v>
      </c>
      <c r="G408">
        <v>2070433790</v>
      </c>
      <c r="H408">
        <v>2012096111</v>
      </c>
      <c r="I408">
        <v>1853004419</v>
      </c>
      <c r="J408">
        <v>1577533610</v>
      </c>
      <c r="K408">
        <v>1244390532</v>
      </c>
      <c r="L408">
        <v>1049979727</v>
      </c>
      <c r="M408">
        <v>915054679</v>
      </c>
      <c r="N408">
        <v>819231302</v>
      </c>
      <c r="O408">
        <v>66496739</v>
      </c>
      <c r="P408">
        <v>13105</v>
      </c>
      <c r="Q408" t="s">
        <v>977</v>
      </c>
    </row>
    <row r="409" spans="1:17" x14ac:dyDescent="0.3">
      <c r="A409" t="s">
        <v>17</v>
      </c>
      <c r="B409" t="str">
        <f>"600981"</f>
        <v>600981</v>
      </c>
      <c r="C409" t="s">
        <v>978</v>
      </c>
      <c r="D409" t="s">
        <v>299</v>
      </c>
      <c r="E409">
        <v>3029854216</v>
      </c>
      <c r="F409">
        <v>2901149750</v>
      </c>
      <c r="G409">
        <v>2815735580</v>
      </c>
      <c r="H409">
        <v>3359338458</v>
      </c>
      <c r="I409">
        <v>3572722612</v>
      </c>
      <c r="J409">
        <v>4732280194</v>
      </c>
      <c r="K409">
        <v>5179560364</v>
      </c>
      <c r="L409">
        <v>1134143201</v>
      </c>
      <c r="M409">
        <v>1142904896</v>
      </c>
      <c r="N409">
        <v>681326739</v>
      </c>
      <c r="O409">
        <v>604921982</v>
      </c>
      <c r="P409">
        <v>99</v>
      </c>
      <c r="Q409" t="s">
        <v>979</v>
      </c>
    </row>
    <row r="410" spans="1:17" x14ac:dyDescent="0.3">
      <c r="A410" t="s">
        <v>73</v>
      </c>
      <c r="B410" t="str">
        <f>"002226"</f>
        <v>002226</v>
      </c>
      <c r="C410" t="s">
        <v>980</v>
      </c>
      <c r="D410" t="s">
        <v>484</v>
      </c>
      <c r="E410">
        <v>3029525782</v>
      </c>
      <c r="F410">
        <v>2055745566</v>
      </c>
      <c r="G410">
        <v>1709552995</v>
      </c>
      <c r="H410">
        <v>1288210023</v>
      </c>
      <c r="I410">
        <v>1080327175</v>
      </c>
      <c r="J410">
        <v>432688294</v>
      </c>
      <c r="K410">
        <v>392799413</v>
      </c>
      <c r="L410">
        <v>347104156</v>
      </c>
      <c r="M410">
        <v>379069765</v>
      </c>
      <c r="N410">
        <v>212889873</v>
      </c>
      <c r="O410">
        <v>195614262</v>
      </c>
      <c r="P410">
        <v>172</v>
      </c>
      <c r="Q410" t="s">
        <v>981</v>
      </c>
    </row>
    <row r="411" spans="1:17" x14ac:dyDescent="0.3">
      <c r="A411" t="s">
        <v>17</v>
      </c>
      <c r="B411" t="str">
        <f>"600577"</f>
        <v>600577</v>
      </c>
      <c r="C411" t="s">
        <v>982</v>
      </c>
      <c r="D411" t="s">
        <v>515</v>
      </c>
      <c r="E411">
        <v>3025568206</v>
      </c>
      <c r="F411">
        <v>2659338350</v>
      </c>
      <c r="G411">
        <v>1630700948</v>
      </c>
      <c r="H411">
        <v>1906358699</v>
      </c>
      <c r="I411">
        <v>1981610370</v>
      </c>
      <c r="J411">
        <v>1710696839</v>
      </c>
      <c r="K411">
        <v>1171127965</v>
      </c>
      <c r="L411">
        <v>1436915114</v>
      </c>
      <c r="M411">
        <v>1529381156</v>
      </c>
      <c r="N411">
        <v>1272327183</v>
      </c>
      <c r="O411">
        <v>1392099241</v>
      </c>
      <c r="P411">
        <v>247</v>
      </c>
      <c r="Q411" t="s">
        <v>983</v>
      </c>
    </row>
    <row r="412" spans="1:17" x14ac:dyDescent="0.3">
      <c r="A412" t="s">
        <v>17</v>
      </c>
      <c r="B412" t="str">
        <f>"601901"</f>
        <v>601901</v>
      </c>
      <c r="C412" t="s">
        <v>984</v>
      </c>
      <c r="D412" t="s">
        <v>53</v>
      </c>
      <c r="E412">
        <v>3015173234</v>
      </c>
      <c r="F412">
        <v>1072586907</v>
      </c>
      <c r="G412">
        <v>672000303</v>
      </c>
      <c r="H412">
        <v>1673385459</v>
      </c>
      <c r="I412">
        <v>972779078</v>
      </c>
      <c r="J412">
        <v>938273890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931</v>
      </c>
      <c r="Q412" t="s">
        <v>985</v>
      </c>
    </row>
    <row r="413" spans="1:17" x14ac:dyDescent="0.3">
      <c r="A413" t="s">
        <v>73</v>
      </c>
      <c r="B413" t="str">
        <f>"002941"</f>
        <v>002941</v>
      </c>
      <c r="C413" t="s">
        <v>986</v>
      </c>
      <c r="D413" t="s">
        <v>22</v>
      </c>
      <c r="E413">
        <v>3014390478</v>
      </c>
      <c r="F413">
        <v>1879761987</v>
      </c>
      <c r="G413">
        <v>2077684107</v>
      </c>
      <c r="H413">
        <v>3114977360</v>
      </c>
      <c r="I413">
        <v>0</v>
      </c>
      <c r="P413">
        <v>145</v>
      </c>
      <c r="Q413" t="s">
        <v>987</v>
      </c>
    </row>
    <row r="414" spans="1:17" x14ac:dyDescent="0.3">
      <c r="A414" t="s">
        <v>73</v>
      </c>
      <c r="B414" t="str">
        <f>"300355"</f>
        <v>300355</v>
      </c>
      <c r="C414" t="s">
        <v>988</v>
      </c>
      <c r="D414" t="s">
        <v>445</v>
      </c>
      <c r="E414">
        <v>3009543631</v>
      </c>
      <c r="F414">
        <v>2115289576</v>
      </c>
      <c r="G414">
        <v>2390937630</v>
      </c>
      <c r="H414">
        <v>3967639851</v>
      </c>
      <c r="I414">
        <v>5330809349</v>
      </c>
      <c r="J414">
        <v>3172846880</v>
      </c>
      <c r="K414">
        <v>2296766892</v>
      </c>
      <c r="L414">
        <v>1990867637</v>
      </c>
      <c r="M414">
        <v>1433353001</v>
      </c>
      <c r="N414">
        <v>703682023</v>
      </c>
      <c r="O414">
        <v>0</v>
      </c>
      <c r="P414">
        <v>406</v>
      </c>
      <c r="Q414" t="s">
        <v>989</v>
      </c>
    </row>
    <row r="415" spans="1:17" x14ac:dyDescent="0.3">
      <c r="A415" t="s">
        <v>17</v>
      </c>
      <c r="B415" t="str">
        <f>"601718"</f>
        <v>601718</v>
      </c>
      <c r="C415" t="s">
        <v>990</v>
      </c>
      <c r="D415" t="s">
        <v>991</v>
      </c>
      <c r="E415">
        <v>3008530606</v>
      </c>
      <c r="F415">
        <v>2501960428</v>
      </c>
      <c r="G415">
        <v>3082530968</v>
      </c>
      <c r="H415">
        <v>3416154685</v>
      </c>
      <c r="I415">
        <v>3535412361</v>
      </c>
      <c r="J415">
        <v>1759192847</v>
      </c>
      <c r="K415">
        <v>2011567194</v>
      </c>
      <c r="L415">
        <v>1874616977</v>
      </c>
      <c r="M415">
        <v>1617620505</v>
      </c>
      <c r="N415">
        <v>1668528424</v>
      </c>
      <c r="O415">
        <v>1061278517</v>
      </c>
      <c r="P415">
        <v>180</v>
      </c>
      <c r="Q415" t="s">
        <v>992</v>
      </c>
    </row>
    <row r="416" spans="1:17" x14ac:dyDescent="0.3">
      <c r="A416" t="s">
        <v>17</v>
      </c>
      <c r="B416" t="str">
        <f>"601788"</f>
        <v>601788</v>
      </c>
      <c r="C416" t="s">
        <v>993</v>
      </c>
      <c r="D416" t="s">
        <v>53</v>
      </c>
      <c r="E416">
        <v>3005708907</v>
      </c>
      <c r="F416">
        <v>2638873584</v>
      </c>
      <c r="G416">
        <v>0</v>
      </c>
      <c r="H416">
        <v>3992976320</v>
      </c>
      <c r="I416">
        <v>3389877361</v>
      </c>
      <c r="J416">
        <v>2929600943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1149</v>
      </c>
      <c r="Q416" t="s">
        <v>994</v>
      </c>
    </row>
    <row r="417" spans="1:17" x14ac:dyDescent="0.3">
      <c r="A417" t="s">
        <v>73</v>
      </c>
      <c r="B417" t="str">
        <f>"002085"</f>
        <v>002085</v>
      </c>
      <c r="C417" t="s">
        <v>995</v>
      </c>
      <c r="D417" t="s">
        <v>781</v>
      </c>
      <c r="E417">
        <v>2997655990</v>
      </c>
      <c r="F417">
        <v>2297587159</v>
      </c>
      <c r="G417">
        <v>1776824080</v>
      </c>
      <c r="H417">
        <v>2057497018</v>
      </c>
      <c r="I417">
        <v>1839399343</v>
      </c>
      <c r="J417">
        <v>1610816562</v>
      </c>
      <c r="K417">
        <v>1374371460</v>
      </c>
      <c r="L417">
        <v>942095998</v>
      </c>
      <c r="M417">
        <v>873344080</v>
      </c>
      <c r="N417">
        <v>684734809</v>
      </c>
      <c r="O417">
        <v>681770611</v>
      </c>
      <c r="P417">
        <v>1527</v>
      </c>
      <c r="Q417" t="s">
        <v>996</v>
      </c>
    </row>
    <row r="418" spans="1:17" x14ac:dyDescent="0.3">
      <c r="A418" t="s">
        <v>73</v>
      </c>
      <c r="B418" t="str">
        <f>"002221"</f>
        <v>002221</v>
      </c>
      <c r="C418" t="s">
        <v>997</v>
      </c>
      <c r="D418" t="s">
        <v>998</v>
      </c>
      <c r="E418">
        <v>2992664858</v>
      </c>
      <c r="F418">
        <v>2782298879</v>
      </c>
      <c r="G418">
        <v>2930521246</v>
      </c>
      <c r="H418">
        <v>1739046477</v>
      </c>
      <c r="I418">
        <v>1686141037</v>
      </c>
      <c r="J418">
        <v>914591659</v>
      </c>
      <c r="K418">
        <v>773649438</v>
      </c>
      <c r="L418">
        <v>1142945675</v>
      </c>
      <c r="M418">
        <v>664168742</v>
      </c>
      <c r="N418">
        <v>245370559</v>
      </c>
      <c r="O418">
        <v>326427493</v>
      </c>
      <c r="P418">
        <v>390</v>
      </c>
      <c r="Q418" t="s">
        <v>999</v>
      </c>
    </row>
    <row r="419" spans="1:17" x14ac:dyDescent="0.3">
      <c r="A419" t="s">
        <v>17</v>
      </c>
      <c r="B419" t="str">
        <f>"600352"</f>
        <v>600352</v>
      </c>
      <c r="C419" t="s">
        <v>1000</v>
      </c>
      <c r="D419" t="s">
        <v>1001</v>
      </c>
      <c r="E419">
        <v>2991943554</v>
      </c>
      <c r="F419">
        <v>2787039223</v>
      </c>
      <c r="G419">
        <v>3160934889</v>
      </c>
      <c r="H419">
        <v>3703243536</v>
      </c>
      <c r="I419">
        <v>3080008411</v>
      </c>
      <c r="J419">
        <v>2953116782</v>
      </c>
      <c r="K419">
        <v>2455270965</v>
      </c>
      <c r="L419">
        <v>3250729940</v>
      </c>
      <c r="M419">
        <v>3275784943</v>
      </c>
      <c r="N419">
        <v>2351612019</v>
      </c>
      <c r="O419">
        <v>1976837249</v>
      </c>
      <c r="P419">
        <v>1666</v>
      </c>
      <c r="Q419" t="s">
        <v>1002</v>
      </c>
    </row>
    <row r="420" spans="1:17" x14ac:dyDescent="0.3">
      <c r="A420" t="s">
        <v>73</v>
      </c>
      <c r="B420" t="str">
        <f>"300571"</f>
        <v>300571</v>
      </c>
      <c r="C420" t="s">
        <v>1003</v>
      </c>
      <c r="D420" t="s">
        <v>1004</v>
      </c>
      <c r="E420">
        <v>2988244860</v>
      </c>
      <c r="F420">
        <v>1601983609</v>
      </c>
      <c r="G420">
        <v>1099308876</v>
      </c>
      <c r="H420">
        <v>183870599</v>
      </c>
      <c r="I420">
        <v>150627984</v>
      </c>
      <c r="J420">
        <v>91008190</v>
      </c>
      <c r="K420">
        <v>0</v>
      </c>
      <c r="P420">
        <v>2111</v>
      </c>
      <c r="Q420" t="s">
        <v>1005</v>
      </c>
    </row>
    <row r="421" spans="1:17" x14ac:dyDescent="0.3">
      <c r="A421" t="s">
        <v>73</v>
      </c>
      <c r="B421" t="str">
        <f>"002049"</f>
        <v>002049</v>
      </c>
      <c r="C421" t="s">
        <v>1006</v>
      </c>
      <c r="D421" t="s">
        <v>890</v>
      </c>
      <c r="E421">
        <v>2987038288</v>
      </c>
      <c r="F421">
        <v>2119300005</v>
      </c>
      <c r="G421">
        <v>1576029096</v>
      </c>
      <c r="H421">
        <v>1317647060</v>
      </c>
      <c r="I421">
        <v>981697400</v>
      </c>
      <c r="J421">
        <v>752181270</v>
      </c>
      <c r="K421">
        <v>705212811</v>
      </c>
      <c r="L421">
        <v>648145561</v>
      </c>
      <c r="M421">
        <v>469701722</v>
      </c>
      <c r="N421">
        <v>355761253</v>
      </c>
      <c r="O421">
        <v>60978235</v>
      </c>
      <c r="P421">
        <v>4605</v>
      </c>
      <c r="Q421" t="s">
        <v>1007</v>
      </c>
    </row>
    <row r="422" spans="1:17" x14ac:dyDescent="0.3">
      <c r="A422" t="s">
        <v>73</v>
      </c>
      <c r="B422" t="str">
        <f>"000887"</f>
        <v>000887</v>
      </c>
      <c r="C422" t="s">
        <v>1008</v>
      </c>
      <c r="D422" t="s">
        <v>722</v>
      </c>
      <c r="E422">
        <v>2978774971</v>
      </c>
      <c r="F422">
        <v>2766809165</v>
      </c>
      <c r="G422">
        <v>2537360785</v>
      </c>
      <c r="H422">
        <v>2854164605</v>
      </c>
      <c r="I422">
        <v>2842956070</v>
      </c>
      <c r="J422">
        <v>2393646150</v>
      </c>
      <c r="K422">
        <v>1588468480</v>
      </c>
      <c r="L422">
        <v>1340299275</v>
      </c>
      <c r="M422">
        <v>1077778448</v>
      </c>
      <c r="N422">
        <v>898248036</v>
      </c>
      <c r="O422">
        <v>758696488</v>
      </c>
      <c r="P422">
        <v>7118</v>
      </c>
      <c r="Q422" t="s">
        <v>1009</v>
      </c>
    </row>
    <row r="423" spans="1:17" x14ac:dyDescent="0.3">
      <c r="A423" t="s">
        <v>17</v>
      </c>
      <c r="B423" t="str">
        <f>"600098"</f>
        <v>600098</v>
      </c>
      <c r="C423" t="s">
        <v>1010</v>
      </c>
      <c r="D423" t="s">
        <v>71</v>
      </c>
      <c r="E423">
        <v>2958396065</v>
      </c>
      <c r="F423">
        <v>2230448379</v>
      </c>
      <c r="G423">
        <v>1655553887</v>
      </c>
      <c r="H423">
        <v>1259220158</v>
      </c>
      <c r="I423">
        <v>1132454164</v>
      </c>
      <c r="J423">
        <v>1181418304</v>
      </c>
      <c r="K423">
        <v>2070953633</v>
      </c>
      <c r="L423">
        <v>963974150</v>
      </c>
      <c r="M423">
        <v>1090543219</v>
      </c>
      <c r="N423">
        <v>1171386843</v>
      </c>
      <c r="O423">
        <v>1118782048</v>
      </c>
      <c r="P423">
        <v>192</v>
      </c>
      <c r="Q423" t="s">
        <v>1011</v>
      </c>
    </row>
    <row r="424" spans="1:17" x14ac:dyDescent="0.3">
      <c r="A424" t="s">
        <v>73</v>
      </c>
      <c r="B424" t="str">
        <f>"000656"</f>
        <v>000656</v>
      </c>
      <c r="C424" t="s">
        <v>1012</v>
      </c>
      <c r="D424" t="s">
        <v>27</v>
      </c>
      <c r="E424">
        <v>2956298460</v>
      </c>
      <c r="F424">
        <v>3451219346</v>
      </c>
      <c r="G424">
        <v>2313168828</v>
      </c>
      <c r="H424">
        <v>1780338018</v>
      </c>
      <c r="I424">
        <v>1426908092</v>
      </c>
      <c r="J424">
        <v>626407477</v>
      </c>
      <c r="K424">
        <v>636050041</v>
      </c>
      <c r="L424">
        <v>549079875</v>
      </c>
      <c r="M424">
        <v>383575665</v>
      </c>
      <c r="N424">
        <v>188190137</v>
      </c>
      <c r="O424">
        <v>151296971</v>
      </c>
      <c r="P424">
        <v>1065</v>
      </c>
      <c r="Q424" t="s">
        <v>1013</v>
      </c>
    </row>
    <row r="425" spans="1:17" x14ac:dyDescent="0.3">
      <c r="A425" t="s">
        <v>17</v>
      </c>
      <c r="B425" t="str">
        <f>"601108"</f>
        <v>601108</v>
      </c>
      <c r="C425" t="s">
        <v>1014</v>
      </c>
      <c r="D425" t="s">
        <v>53</v>
      </c>
      <c r="E425">
        <v>2946650304</v>
      </c>
      <c r="F425">
        <v>288875587</v>
      </c>
      <c r="G425">
        <v>440911596</v>
      </c>
      <c r="H425">
        <v>425715349</v>
      </c>
      <c r="I425">
        <v>262433652</v>
      </c>
      <c r="J425">
        <v>0</v>
      </c>
      <c r="L425">
        <v>0</v>
      </c>
      <c r="P425">
        <v>980</v>
      </c>
      <c r="Q425" t="s">
        <v>1015</v>
      </c>
    </row>
    <row r="426" spans="1:17" x14ac:dyDescent="0.3">
      <c r="A426" t="s">
        <v>17</v>
      </c>
      <c r="B426" t="str">
        <f>"600525"</f>
        <v>600525</v>
      </c>
      <c r="C426" t="s">
        <v>1016</v>
      </c>
      <c r="D426" t="s">
        <v>224</v>
      </c>
      <c r="E426">
        <v>2941479557</v>
      </c>
      <c r="F426">
        <v>2921441207</v>
      </c>
      <c r="G426">
        <v>2637869235</v>
      </c>
      <c r="H426">
        <v>3314359082</v>
      </c>
      <c r="I426">
        <v>4149398582</v>
      </c>
      <c r="J426">
        <v>3217816168</v>
      </c>
      <c r="K426">
        <v>2582945271</v>
      </c>
      <c r="L426">
        <v>1909893228</v>
      </c>
      <c r="M426">
        <v>1532630541</v>
      </c>
      <c r="N426">
        <v>1443959920</v>
      </c>
      <c r="O426">
        <v>1245172472</v>
      </c>
      <c r="P426">
        <v>254</v>
      </c>
      <c r="Q426" t="s">
        <v>1017</v>
      </c>
    </row>
    <row r="427" spans="1:17" x14ac:dyDescent="0.3">
      <c r="A427" t="s">
        <v>73</v>
      </c>
      <c r="B427" t="str">
        <f>"002583"</f>
        <v>002583</v>
      </c>
      <c r="C427" t="s">
        <v>1018</v>
      </c>
      <c r="D427" t="s">
        <v>189</v>
      </c>
      <c r="E427">
        <v>2941183050</v>
      </c>
      <c r="F427">
        <v>3365022618</v>
      </c>
      <c r="G427">
        <v>4211685234</v>
      </c>
      <c r="H427">
        <v>3568575648</v>
      </c>
      <c r="I427">
        <v>3293352316</v>
      </c>
      <c r="J427">
        <v>2043845700</v>
      </c>
      <c r="K427">
        <v>1341063389</v>
      </c>
      <c r="L427">
        <v>917205272</v>
      </c>
      <c r="M427">
        <v>837919945</v>
      </c>
      <c r="N427">
        <v>680495804</v>
      </c>
      <c r="O427">
        <v>667275010</v>
      </c>
      <c r="P427">
        <v>397</v>
      </c>
      <c r="Q427" t="s">
        <v>1019</v>
      </c>
    </row>
    <row r="428" spans="1:17" x14ac:dyDescent="0.3">
      <c r="A428" t="s">
        <v>73</v>
      </c>
      <c r="B428" t="str">
        <f>"000404"</f>
        <v>000404</v>
      </c>
      <c r="C428" t="s">
        <v>1020</v>
      </c>
      <c r="D428" t="s">
        <v>654</v>
      </c>
      <c r="E428">
        <v>2928138536</v>
      </c>
      <c r="F428">
        <v>2563374558</v>
      </c>
      <c r="G428">
        <v>1757155110</v>
      </c>
      <c r="H428">
        <v>1808505935</v>
      </c>
      <c r="I428">
        <v>1827087624</v>
      </c>
      <c r="J428">
        <v>1699197512</v>
      </c>
      <c r="K428">
        <v>1625539281</v>
      </c>
      <c r="L428">
        <v>1607413262</v>
      </c>
      <c r="M428">
        <v>1455679773</v>
      </c>
      <c r="N428">
        <v>1620598868</v>
      </c>
      <c r="O428">
        <v>1089722363</v>
      </c>
      <c r="P428">
        <v>113</v>
      </c>
      <c r="Q428" t="s">
        <v>1021</v>
      </c>
    </row>
    <row r="429" spans="1:17" x14ac:dyDescent="0.3">
      <c r="A429" t="s">
        <v>73</v>
      </c>
      <c r="B429" t="str">
        <f>"002390"</f>
        <v>002390</v>
      </c>
      <c r="C429" t="s">
        <v>1022</v>
      </c>
      <c r="D429" t="s">
        <v>215</v>
      </c>
      <c r="E429">
        <v>2925042330</v>
      </c>
      <c r="F429">
        <v>2413888502</v>
      </c>
      <c r="G429">
        <v>2606244003</v>
      </c>
      <c r="H429">
        <v>2782701329</v>
      </c>
      <c r="I429">
        <v>2608455082</v>
      </c>
      <c r="J429">
        <v>2417185384</v>
      </c>
      <c r="K429">
        <v>1436541654</v>
      </c>
      <c r="L429">
        <v>1106386685</v>
      </c>
      <c r="M429">
        <v>638587824</v>
      </c>
      <c r="N429">
        <v>150063199</v>
      </c>
      <c r="O429">
        <v>121024513</v>
      </c>
      <c r="P429">
        <v>272</v>
      </c>
      <c r="Q429" t="s">
        <v>1023</v>
      </c>
    </row>
    <row r="430" spans="1:17" x14ac:dyDescent="0.3">
      <c r="A430" t="s">
        <v>17</v>
      </c>
      <c r="B430" t="str">
        <f>"600380"</f>
        <v>600380</v>
      </c>
      <c r="C430" t="s">
        <v>1024</v>
      </c>
      <c r="D430" t="s">
        <v>348</v>
      </c>
      <c r="E430">
        <v>2897888909</v>
      </c>
      <c r="F430">
        <v>2542705967</v>
      </c>
      <c r="G430">
        <v>2284839703</v>
      </c>
      <c r="H430">
        <v>0</v>
      </c>
      <c r="I430">
        <v>2069130579</v>
      </c>
      <c r="J430">
        <v>2062196544</v>
      </c>
      <c r="K430">
        <v>1786341590</v>
      </c>
      <c r="L430">
        <v>1767205372</v>
      </c>
      <c r="M430">
        <v>1494303080</v>
      </c>
      <c r="N430">
        <v>1213516426</v>
      </c>
      <c r="O430">
        <v>964176460</v>
      </c>
      <c r="P430">
        <v>966</v>
      </c>
      <c r="Q430" t="s">
        <v>1025</v>
      </c>
    </row>
    <row r="431" spans="1:17" x14ac:dyDescent="0.3">
      <c r="A431" t="s">
        <v>17</v>
      </c>
      <c r="B431" t="str">
        <f>"600887"</f>
        <v>600887</v>
      </c>
      <c r="C431" t="s">
        <v>1026</v>
      </c>
      <c r="D431" t="s">
        <v>1027</v>
      </c>
      <c r="E431">
        <v>2889507847</v>
      </c>
      <c r="F431">
        <v>1834196954</v>
      </c>
      <c r="G431">
        <v>1891035601</v>
      </c>
      <c r="H431">
        <v>1406137940</v>
      </c>
      <c r="I431">
        <v>990723294</v>
      </c>
      <c r="J431">
        <v>879016063</v>
      </c>
      <c r="K431">
        <v>725833314</v>
      </c>
      <c r="L431">
        <v>678233747</v>
      </c>
      <c r="M431">
        <v>369035172</v>
      </c>
      <c r="N431">
        <v>311125655</v>
      </c>
      <c r="O431">
        <v>303635228</v>
      </c>
      <c r="P431">
        <v>72799</v>
      </c>
      <c r="Q431" t="s">
        <v>1028</v>
      </c>
    </row>
    <row r="432" spans="1:17" x14ac:dyDescent="0.3">
      <c r="A432" t="s">
        <v>17</v>
      </c>
      <c r="B432" t="str">
        <f>"688660"</f>
        <v>688660</v>
      </c>
      <c r="C432" t="s">
        <v>1029</v>
      </c>
      <c r="D432" t="s">
        <v>136</v>
      </c>
      <c r="E432">
        <v>2888942912</v>
      </c>
      <c r="F432">
        <v>5145751418</v>
      </c>
      <c r="P432">
        <v>54</v>
      </c>
      <c r="Q432" t="s">
        <v>1030</v>
      </c>
    </row>
    <row r="433" spans="1:17" x14ac:dyDescent="0.3">
      <c r="A433" t="s">
        <v>73</v>
      </c>
      <c r="B433" t="str">
        <f>"000988"</f>
        <v>000988</v>
      </c>
      <c r="C433" t="s">
        <v>1031</v>
      </c>
      <c r="D433" t="s">
        <v>499</v>
      </c>
      <c r="E433">
        <v>2884600229</v>
      </c>
      <c r="F433">
        <v>2062622282</v>
      </c>
      <c r="G433">
        <v>1959015134</v>
      </c>
      <c r="H433">
        <v>1876984473</v>
      </c>
      <c r="I433">
        <v>2183310285</v>
      </c>
      <c r="J433">
        <v>1673559002</v>
      </c>
      <c r="K433">
        <v>1233268687</v>
      </c>
      <c r="L433">
        <v>1015826326</v>
      </c>
      <c r="M433">
        <v>908223268</v>
      </c>
      <c r="N433">
        <v>875881760</v>
      </c>
      <c r="O433">
        <v>712473576</v>
      </c>
      <c r="P433">
        <v>710</v>
      </c>
      <c r="Q433" t="s">
        <v>1032</v>
      </c>
    </row>
    <row r="434" spans="1:17" x14ac:dyDescent="0.3">
      <c r="A434" t="s">
        <v>73</v>
      </c>
      <c r="B434" t="str">
        <f>"000733"</f>
        <v>000733</v>
      </c>
      <c r="C434" t="s">
        <v>1033</v>
      </c>
      <c r="D434" t="s">
        <v>502</v>
      </c>
      <c r="E434">
        <v>2868178244</v>
      </c>
      <c r="F434">
        <v>2200062448</v>
      </c>
      <c r="G434">
        <v>2032412318</v>
      </c>
      <c r="H434">
        <v>2289679963</v>
      </c>
      <c r="I434">
        <v>2054903112</v>
      </c>
      <c r="J434">
        <v>2302826199</v>
      </c>
      <c r="K434">
        <v>1566719478</v>
      </c>
      <c r="L434">
        <v>1152798518</v>
      </c>
      <c r="M434">
        <v>1186852449</v>
      </c>
      <c r="N434">
        <v>943936628</v>
      </c>
      <c r="O434">
        <v>848995926</v>
      </c>
      <c r="P434">
        <v>489</v>
      </c>
      <c r="Q434" t="s">
        <v>1034</v>
      </c>
    </row>
    <row r="435" spans="1:17" x14ac:dyDescent="0.3">
      <c r="A435" t="s">
        <v>17</v>
      </c>
      <c r="B435" t="str">
        <f>"600420"</f>
        <v>600420</v>
      </c>
      <c r="C435" t="s">
        <v>1035</v>
      </c>
      <c r="D435" t="s">
        <v>348</v>
      </c>
      <c r="E435">
        <v>2841064106</v>
      </c>
      <c r="F435">
        <v>2421445646</v>
      </c>
      <c r="G435">
        <v>2542820698</v>
      </c>
      <c r="H435">
        <v>1777218815</v>
      </c>
      <c r="I435">
        <v>1766791340</v>
      </c>
      <c r="J435">
        <v>1480575902</v>
      </c>
      <c r="K435">
        <v>273093598</v>
      </c>
      <c r="L435">
        <v>347684881</v>
      </c>
      <c r="M435">
        <v>268713889</v>
      </c>
      <c r="N435">
        <v>289277927</v>
      </c>
      <c r="O435">
        <v>223979989</v>
      </c>
      <c r="P435">
        <v>381</v>
      </c>
      <c r="Q435" t="s">
        <v>1036</v>
      </c>
    </row>
    <row r="436" spans="1:17" x14ac:dyDescent="0.3">
      <c r="A436" t="s">
        <v>73</v>
      </c>
      <c r="B436" t="str">
        <f>"002126"</f>
        <v>002126</v>
      </c>
      <c r="C436" t="s">
        <v>1037</v>
      </c>
      <c r="D436" t="s">
        <v>122</v>
      </c>
      <c r="E436">
        <v>2838738349</v>
      </c>
      <c r="F436">
        <v>2463388658</v>
      </c>
      <c r="G436">
        <v>2059508253</v>
      </c>
      <c r="H436">
        <v>1872864474</v>
      </c>
      <c r="I436">
        <v>1590222163</v>
      </c>
      <c r="J436">
        <v>1126753258</v>
      </c>
      <c r="K436">
        <v>899272650</v>
      </c>
      <c r="L436">
        <v>774280981</v>
      </c>
      <c r="M436">
        <v>639814967</v>
      </c>
      <c r="N436">
        <v>500221943</v>
      </c>
      <c r="O436">
        <v>520575069</v>
      </c>
      <c r="P436">
        <v>450</v>
      </c>
      <c r="Q436" t="s">
        <v>1038</v>
      </c>
    </row>
    <row r="437" spans="1:17" x14ac:dyDescent="0.3">
      <c r="A437" t="s">
        <v>17</v>
      </c>
      <c r="B437" t="str">
        <f>"600996"</f>
        <v>600996</v>
      </c>
      <c r="C437" t="s">
        <v>1039</v>
      </c>
      <c r="D437" t="s">
        <v>1040</v>
      </c>
      <c r="E437">
        <v>2835373716</v>
      </c>
      <c r="F437">
        <v>2448073107</v>
      </c>
      <c r="G437">
        <v>712983544</v>
      </c>
      <c r="H437">
        <v>1710534441</v>
      </c>
      <c r="I437">
        <v>1058944016</v>
      </c>
      <c r="J437">
        <v>292010820</v>
      </c>
      <c r="P437">
        <v>244</v>
      </c>
      <c r="Q437" t="s">
        <v>1041</v>
      </c>
    </row>
    <row r="438" spans="1:17" x14ac:dyDescent="0.3">
      <c r="A438" t="s">
        <v>73</v>
      </c>
      <c r="B438" t="str">
        <f>"301035"</f>
        <v>301035</v>
      </c>
      <c r="C438" t="s">
        <v>1042</v>
      </c>
      <c r="D438" t="s">
        <v>272</v>
      </c>
      <c r="E438">
        <v>2830006972</v>
      </c>
      <c r="F438">
        <v>1839346346</v>
      </c>
      <c r="P438">
        <v>40</v>
      </c>
      <c r="Q438" t="s">
        <v>1043</v>
      </c>
    </row>
    <row r="439" spans="1:17" x14ac:dyDescent="0.3">
      <c r="A439" t="s">
        <v>73</v>
      </c>
      <c r="B439" t="str">
        <f>"000488"</f>
        <v>000488</v>
      </c>
      <c r="C439" t="s">
        <v>1044</v>
      </c>
      <c r="D439" t="s">
        <v>644</v>
      </c>
      <c r="E439">
        <v>2826882124</v>
      </c>
      <c r="F439">
        <v>2131776278</v>
      </c>
      <c r="G439">
        <v>2585913010</v>
      </c>
      <c r="H439">
        <v>3660081657</v>
      </c>
      <c r="I439">
        <v>3869956801</v>
      </c>
      <c r="J439">
        <v>3793252084</v>
      </c>
      <c r="K439">
        <v>3724327434</v>
      </c>
      <c r="L439">
        <v>3349037199</v>
      </c>
      <c r="M439">
        <v>2741686700</v>
      </c>
      <c r="N439">
        <v>3337174707</v>
      </c>
      <c r="O439">
        <v>3485841509</v>
      </c>
      <c r="P439">
        <v>1270</v>
      </c>
      <c r="Q439" t="s">
        <v>1045</v>
      </c>
    </row>
    <row r="440" spans="1:17" x14ac:dyDescent="0.3">
      <c r="A440" t="s">
        <v>73</v>
      </c>
      <c r="B440" t="str">
        <f>"002078"</f>
        <v>002078</v>
      </c>
      <c r="C440" t="s">
        <v>1046</v>
      </c>
      <c r="D440" t="s">
        <v>644</v>
      </c>
      <c r="E440">
        <v>2804417116</v>
      </c>
      <c r="F440">
        <v>2853422772</v>
      </c>
      <c r="G440">
        <v>2617744931</v>
      </c>
      <c r="H440">
        <v>1976840133</v>
      </c>
      <c r="I440">
        <v>1832976524</v>
      </c>
      <c r="J440">
        <v>1125995712</v>
      </c>
      <c r="K440">
        <v>1163134002</v>
      </c>
      <c r="L440">
        <v>985466398</v>
      </c>
      <c r="M440">
        <v>682960243</v>
      </c>
      <c r="N440">
        <v>948391339</v>
      </c>
      <c r="O440">
        <v>627896195</v>
      </c>
      <c r="P440">
        <v>1103</v>
      </c>
      <c r="Q440" t="s">
        <v>1047</v>
      </c>
    </row>
    <row r="441" spans="1:17" x14ac:dyDescent="0.3">
      <c r="A441" t="s">
        <v>17</v>
      </c>
      <c r="B441" t="str">
        <f>"600388"</f>
        <v>600388</v>
      </c>
      <c r="C441" t="s">
        <v>1048</v>
      </c>
      <c r="D441" t="s">
        <v>629</v>
      </c>
      <c r="E441">
        <v>2797241512</v>
      </c>
      <c r="F441">
        <v>2639198034</v>
      </c>
      <c r="G441">
        <v>2559213143</v>
      </c>
      <c r="H441">
        <v>2979739133</v>
      </c>
      <c r="I441">
        <v>2121158187</v>
      </c>
      <c r="J441">
        <v>1895527674</v>
      </c>
      <c r="K441">
        <v>1815531802</v>
      </c>
      <c r="L441">
        <v>1577044738</v>
      </c>
      <c r="M441">
        <v>1373466754</v>
      </c>
      <c r="N441">
        <v>1193517108</v>
      </c>
      <c r="O441">
        <v>900055708</v>
      </c>
      <c r="P441">
        <v>815</v>
      </c>
      <c r="Q441" t="s">
        <v>1049</v>
      </c>
    </row>
    <row r="442" spans="1:17" x14ac:dyDescent="0.3">
      <c r="A442" t="s">
        <v>17</v>
      </c>
      <c r="B442" t="str">
        <f>"600742"</f>
        <v>600742</v>
      </c>
      <c r="C442" t="s">
        <v>1050</v>
      </c>
      <c r="D442" t="s">
        <v>106</v>
      </c>
      <c r="E442">
        <v>2788980612</v>
      </c>
      <c r="F442">
        <v>3785370183</v>
      </c>
      <c r="G442">
        <v>2207915703</v>
      </c>
      <c r="H442">
        <v>1097905956</v>
      </c>
      <c r="I442">
        <v>856046810</v>
      </c>
      <c r="J442">
        <v>964193107</v>
      </c>
      <c r="K442">
        <v>759376321</v>
      </c>
      <c r="L442">
        <v>672030527</v>
      </c>
      <c r="M442">
        <v>545006260</v>
      </c>
      <c r="N442">
        <v>421787470</v>
      </c>
      <c r="O442">
        <v>459759488</v>
      </c>
      <c r="P442">
        <v>417</v>
      </c>
      <c r="Q442" t="s">
        <v>1051</v>
      </c>
    </row>
    <row r="443" spans="1:17" x14ac:dyDescent="0.3">
      <c r="A443" t="s">
        <v>73</v>
      </c>
      <c r="B443" t="str">
        <f>"000851"</f>
        <v>000851</v>
      </c>
      <c r="C443" t="s">
        <v>1052</v>
      </c>
      <c r="D443" t="s">
        <v>189</v>
      </c>
      <c r="E443">
        <v>2777404507</v>
      </c>
      <c r="F443">
        <v>4114182543</v>
      </c>
      <c r="G443">
        <v>3926946322</v>
      </c>
      <c r="H443">
        <v>2458090611</v>
      </c>
      <c r="I443">
        <v>1096411498</v>
      </c>
      <c r="J443">
        <v>1648720529</v>
      </c>
      <c r="K443">
        <v>1221517319</v>
      </c>
      <c r="L443">
        <v>1274211474</v>
      </c>
      <c r="M443">
        <v>1233463871</v>
      </c>
      <c r="N443">
        <v>1097271030</v>
      </c>
      <c r="O443">
        <v>709631461</v>
      </c>
      <c r="P443">
        <v>224</v>
      </c>
      <c r="Q443" t="s">
        <v>1053</v>
      </c>
    </row>
    <row r="444" spans="1:17" x14ac:dyDescent="0.3">
      <c r="A444" t="s">
        <v>73</v>
      </c>
      <c r="B444" t="str">
        <f>"200771"</f>
        <v>200771</v>
      </c>
      <c r="C444" t="s">
        <v>1054</v>
      </c>
      <c r="E444">
        <v>2773280701.3119998</v>
      </c>
      <c r="F444">
        <v>2077139936.7590001</v>
      </c>
      <c r="G444">
        <v>2233264681.9727998</v>
      </c>
      <c r="H444">
        <v>2428546586.625</v>
      </c>
      <c r="I444">
        <v>2374381744.1985002</v>
      </c>
      <c r="J444">
        <v>2087203903.5381999</v>
      </c>
      <c r="K444">
        <v>2451086499.3983002</v>
      </c>
      <c r="L444">
        <v>2924975460</v>
      </c>
      <c r="M444">
        <v>2618106968.0767999</v>
      </c>
      <c r="N444">
        <v>2458967009.8188</v>
      </c>
      <c r="O444">
        <v>2280992363.415</v>
      </c>
      <c r="P444">
        <v>65</v>
      </c>
      <c r="Q444" t="s">
        <v>1055</v>
      </c>
    </row>
    <row r="445" spans="1:17" x14ac:dyDescent="0.3">
      <c r="A445" t="s">
        <v>17</v>
      </c>
      <c r="B445" t="str">
        <f>"601058"</f>
        <v>601058</v>
      </c>
      <c r="C445" t="s">
        <v>1056</v>
      </c>
      <c r="D445" t="s">
        <v>781</v>
      </c>
      <c r="E445">
        <v>2762852241</v>
      </c>
      <c r="F445">
        <v>1990622192</v>
      </c>
      <c r="G445">
        <v>1765618189</v>
      </c>
      <c r="H445">
        <v>1750043507</v>
      </c>
      <c r="I445">
        <v>1478649972</v>
      </c>
      <c r="J445">
        <v>1566844538</v>
      </c>
      <c r="K445">
        <v>1329188555</v>
      </c>
      <c r="L445">
        <v>1499305723</v>
      </c>
      <c r="M445">
        <v>1421556363</v>
      </c>
      <c r="N445">
        <v>960244018</v>
      </c>
      <c r="O445">
        <v>605856594</v>
      </c>
      <c r="P445">
        <v>589</v>
      </c>
      <c r="Q445" t="s">
        <v>1057</v>
      </c>
    </row>
    <row r="446" spans="1:17" x14ac:dyDescent="0.3">
      <c r="A446" t="s">
        <v>17</v>
      </c>
      <c r="B446" t="str">
        <f>"603618"</f>
        <v>603618</v>
      </c>
      <c r="C446" t="s">
        <v>1058</v>
      </c>
      <c r="D446" t="s">
        <v>515</v>
      </c>
      <c r="E446">
        <v>2759186361</v>
      </c>
      <c r="F446">
        <v>2126167010</v>
      </c>
      <c r="G446">
        <v>1912854952</v>
      </c>
      <c r="H446">
        <v>1783367788</v>
      </c>
      <c r="I446">
        <v>1501195031</v>
      </c>
      <c r="J446">
        <v>1306840705</v>
      </c>
      <c r="K446">
        <v>1106117807</v>
      </c>
      <c r="L446">
        <v>953831500</v>
      </c>
      <c r="M446">
        <v>0</v>
      </c>
      <c r="P446">
        <v>169</v>
      </c>
      <c r="Q446" t="s">
        <v>1059</v>
      </c>
    </row>
    <row r="447" spans="1:17" x14ac:dyDescent="0.3">
      <c r="A447" t="s">
        <v>73</v>
      </c>
      <c r="B447" t="str">
        <f>"000999"</f>
        <v>000999</v>
      </c>
      <c r="C447" t="s">
        <v>1060</v>
      </c>
      <c r="D447" t="s">
        <v>215</v>
      </c>
      <c r="E447">
        <v>2752964526</v>
      </c>
      <c r="F447">
        <v>2781604794</v>
      </c>
      <c r="G447">
        <v>2602448011</v>
      </c>
      <c r="H447">
        <v>2241566693</v>
      </c>
      <c r="I447">
        <v>1993015697</v>
      </c>
      <c r="J447">
        <v>1543112321</v>
      </c>
      <c r="K447">
        <v>1076311967</v>
      </c>
      <c r="L447">
        <v>697881911</v>
      </c>
      <c r="M447">
        <v>691246912</v>
      </c>
      <c r="N447">
        <v>590484422</v>
      </c>
      <c r="O447">
        <v>580102874</v>
      </c>
      <c r="P447">
        <v>5773</v>
      </c>
      <c r="Q447" t="s">
        <v>1061</v>
      </c>
    </row>
    <row r="448" spans="1:17" x14ac:dyDescent="0.3">
      <c r="A448" t="s">
        <v>73</v>
      </c>
      <c r="B448" t="str">
        <f>"002916"</f>
        <v>002916</v>
      </c>
      <c r="C448" t="s">
        <v>1062</v>
      </c>
      <c r="D448" t="s">
        <v>418</v>
      </c>
      <c r="E448">
        <v>2743780464</v>
      </c>
      <c r="F448">
        <v>2184713735</v>
      </c>
      <c r="G448">
        <v>1934147782</v>
      </c>
      <c r="H448">
        <v>1624209014</v>
      </c>
      <c r="I448">
        <v>1060339215</v>
      </c>
      <c r="J448">
        <v>0</v>
      </c>
      <c r="P448">
        <v>2552</v>
      </c>
      <c r="Q448" t="s">
        <v>1063</v>
      </c>
    </row>
    <row r="449" spans="1:17" x14ac:dyDescent="0.3">
      <c r="A449" t="s">
        <v>73</v>
      </c>
      <c r="B449" t="str">
        <f>"002408"</f>
        <v>002408</v>
      </c>
      <c r="C449" t="s">
        <v>1064</v>
      </c>
      <c r="D449" t="s">
        <v>998</v>
      </c>
      <c r="E449">
        <v>2739359407</v>
      </c>
      <c r="F449">
        <v>2585356577</v>
      </c>
      <c r="G449">
        <v>1671386557</v>
      </c>
      <c r="H449">
        <v>1787779961</v>
      </c>
      <c r="I449">
        <v>394814171</v>
      </c>
      <c r="J449">
        <v>337139426</v>
      </c>
      <c r="K449">
        <v>306794652</v>
      </c>
      <c r="L449">
        <v>187229343</v>
      </c>
      <c r="M449">
        <v>222049323</v>
      </c>
      <c r="N449">
        <v>273901433</v>
      </c>
      <c r="O449">
        <v>217780153</v>
      </c>
      <c r="P449">
        <v>317</v>
      </c>
      <c r="Q449" t="s">
        <v>1065</v>
      </c>
    </row>
    <row r="450" spans="1:17" x14ac:dyDescent="0.3">
      <c r="A450" t="s">
        <v>17</v>
      </c>
      <c r="B450" t="str">
        <f>"601908"</f>
        <v>601908</v>
      </c>
      <c r="C450" t="s">
        <v>1066</v>
      </c>
      <c r="D450" t="s">
        <v>278</v>
      </c>
      <c r="E450">
        <v>2731857384</v>
      </c>
      <c r="F450">
        <v>2311485434</v>
      </c>
      <c r="G450">
        <v>1872806728</v>
      </c>
      <c r="H450">
        <v>1625081946</v>
      </c>
      <c r="I450">
        <v>1181472855</v>
      </c>
      <c r="J450">
        <v>639931880</v>
      </c>
      <c r="K450">
        <v>529813282</v>
      </c>
      <c r="L450">
        <v>444121931</v>
      </c>
      <c r="M450">
        <v>216791697</v>
      </c>
      <c r="N450">
        <v>351851833</v>
      </c>
      <c r="O450">
        <v>692624698</v>
      </c>
      <c r="P450">
        <v>318</v>
      </c>
      <c r="Q450" t="s">
        <v>1067</v>
      </c>
    </row>
    <row r="451" spans="1:17" x14ac:dyDescent="0.3">
      <c r="A451" t="s">
        <v>73</v>
      </c>
      <c r="B451" t="str">
        <f>"002128"</f>
        <v>002128</v>
      </c>
      <c r="C451" t="s">
        <v>1068</v>
      </c>
      <c r="D451" t="s">
        <v>218</v>
      </c>
      <c r="E451">
        <v>2724983420</v>
      </c>
      <c r="F451">
        <v>2643636035</v>
      </c>
      <c r="G451">
        <v>3278231555</v>
      </c>
      <c r="H451">
        <v>4525732041</v>
      </c>
      <c r="I451">
        <v>3322080478</v>
      </c>
      <c r="J451">
        <v>2478305402</v>
      </c>
      <c r="K451">
        <v>2941724233</v>
      </c>
      <c r="L451">
        <v>2728490990</v>
      </c>
      <c r="M451">
        <v>2494027218</v>
      </c>
      <c r="N451">
        <v>2023682157</v>
      </c>
      <c r="O451">
        <v>1761465648</v>
      </c>
      <c r="P451">
        <v>1050</v>
      </c>
      <c r="Q451" t="s">
        <v>1069</v>
      </c>
    </row>
    <row r="452" spans="1:17" x14ac:dyDescent="0.3">
      <c r="A452" t="s">
        <v>73</v>
      </c>
      <c r="B452" t="str">
        <f>"000158"</f>
        <v>000158</v>
      </c>
      <c r="C452" t="s">
        <v>1070</v>
      </c>
      <c r="D452" t="s">
        <v>302</v>
      </c>
      <c r="E452">
        <v>2724019314</v>
      </c>
      <c r="F452">
        <v>1918052302</v>
      </c>
      <c r="G452">
        <v>1221873572</v>
      </c>
      <c r="H452">
        <v>2371797879</v>
      </c>
      <c r="I452">
        <v>2190184473</v>
      </c>
      <c r="J452">
        <v>1794053079</v>
      </c>
      <c r="K452">
        <v>1648688266</v>
      </c>
      <c r="L452">
        <v>87480604</v>
      </c>
      <c r="M452">
        <v>86279466</v>
      </c>
      <c r="N452">
        <v>127573438</v>
      </c>
      <c r="O452">
        <v>124989525</v>
      </c>
      <c r="P452">
        <v>295</v>
      </c>
      <c r="Q452" t="s">
        <v>1071</v>
      </c>
    </row>
    <row r="453" spans="1:17" x14ac:dyDescent="0.3">
      <c r="A453" t="s">
        <v>17</v>
      </c>
      <c r="B453" t="str">
        <f>"600010"</f>
        <v>600010</v>
      </c>
      <c r="C453" t="s">
        <v>1072</v>
      </c>
      <c r="D453" t="s">
        <v>221</v>
      </c>
      <c r="E453">
        <v>2719373108</v>
      </c>
      <c r="F453">
        <v>3657010041</v>
      </c>
      <c r="G453">
        <v>2732047154</v>
      </c>
      <c r="H453">
        <v>3387994991</v>
      </c>
      <c r="I453">
        <v>3333387945</v>
      </c>
      <c r="J453">
        <v>1768065789</v>
      </c>
      <c r="K453">
        <v>1312615763</v>
      </c>
      <c r="L453">
        <v>1266684708</v>
      </c>
      <c r="M453">
        <v>1070874050</v>
      </c>
      <c r="N453">
        <v>1364275953</v>
      </c>
      <c r="O453">
        <v>719599971</v>
      </c>
      <c r="P453">
        <v>623</v>
      </c>
      <c r="Q453" t="s">
        <v>1073</v>
      </c>
    </row>
    <row r="454" spans="1:17" x14ac:dyDescent="0.3">
      <c r="A454" t="s">
        <v>17</v>
      </c>
      <c r="B454" t="str">
        <f>"603815"</f>
        <v>603815</v>
      </c>
      <c r="C454" t="s">
        <v>1074</v>
      </c>
      <c r="D454" t="s">
        <v>22</v>
      </c>
      <c r="E454">
        <v>2717593697</v>
      </c>
      <c r="F454">
        <v>1939842897</v>
      </c>
      <c r="G454">
        <v>1715526107</v>
      </c>
      <c r="P454">
        <v>85</v>
      </c>
      <c r="Q454" t="s">
        <v>1075</v>
      </c>
    </row>
    <row r="455" spans="1:17" x14ac:dyDescent="0.3">
      <c r="A455" t="s">
        <v>73</v>
      </c>
      <c r="B455" t="str">
        <f>"002171"</f>
        <v>002171</v>
      </c>
      <c r="C455" t="s">
        <v>1076</v>
      </c>
      <c r="D455" t="s">
        <v>452</v>
      </c>
      <c r="E455">
        <v>2692497980</v>
      </c>
      <c r="F455">
        <v>1984121592</v>
      </c>
      <c r="G455">
        <v>1547525241</v>
      </c>
      <c r="H455">
        <v>1115794034</v>
      </c>
      <c r="I455">
        <v>780116047</v>
      </c>
      <c r="J455">
        <v>667421649</v>
      </c>
      <c r="K455">
        <v>475987682</v>
      </c>
      <c r="L455">
        <v>517957343</v>
      </c>
      <c r="M455">
        <v>266183184</v>
      </c>
      <c r="N455">
        <v>204310747</v>
      </c>
      <c r="O455">
        <v>110101558</v>
      </c>
      <c r="P455">
        <v>237</v>
      </c>
      <c r="Q455" t="s">
        <v>1077</v>
      </c>
    </row>
    <row r="456" spans="1:17" x14ac:dyDescent="0.3">
      <c r="A456" t="s">
        <v>73</v>
      </c>
      <c r="B456" t="str">
        <f>"300296"</f>
        <v>300296</v>
      </c>
      <c r="C456" t="s">
        <v>1078</v>
      </c>
      <c r="D456" t="s">
        <v>737</v>
      </c>
      <c r="E456">
        <v>2685082086</v>
      </c>
      <c r="F456">
        <v>2192267917</v>
      </c>
      <c r="G456">
        <v>2821002851</v>
      </c>
      <c r="H456">
        <v>2799059276</v>
      </c>
      <c r="I456">
        <v>1983902661</v>
      </c>
      <c r="J456">
        <v>1768204784</v>
      </c>
      <c r="K456">
        <v>1217510253</v>
      </c>
      <c r="L456">
        <v>537619643</v>
      </c>
      <c r="M456">
        <v>380891107</v>
      </c>
      <c r="N456">
        <v>301613434</v>
      </c>
      <c r="O456">
        <v>157532615</v>
      </c>
      <c r="P456">
        <v>1699</v>
      </c>
      <c r="Q456" t="s">
        <v>1079</v>
      </c>
    </row>
    <row r="457" spans="1:17" x14ac:dyDescent="0.3">
      <c r="A457" t="s">
        <v>73</v>
      </c>
      <c r="B457" t="str">
        <f>"300115"</f>
        <v>300115</v>
      </c>
      <c r="C457" t="s">
        <v>1080</v>
      </c>
      <c r="D457" t="s">
        <v>42</v>
      </c>
      <c r="E457">
        <v>2680590201</v>
      </c>
      <c r="F457">
        <v>1916878848</v>
      </c>
      <c r="G457">
        <v>950412534</v>
      </c>
      <c r="H457">
        <v>1468781250</v>
      </c>
      <c r="I457">
        <v>1250432890</v>
      </c>
      <c r="J457">
        <v>1171727132</v>
      </c>
      <c r="K457">
        <v>915617604</v>
      </c>
      <c r="L457">
        <v>821675004</v>
      </c>
      <c r="M457">
        <v>368550378</v>
      </c>
      <c r="N457">
        <v>241347760</v>
      </c>
      <c r="O457">
        <v>168549931</v>
      </c>
      <c r="P457">
        <v>870</v>
      </c>
      <c r="Q457" t="s">
        <v>1081</v>
      </c>
    </row>
    <row r="458" spans="1:17" x14ac:dyDescent="0.3">
      <c r="A458" t="s">
        <v>73</v>
      </c>
      <c r="B458" t="str">
        <f>"300476"</f>
        <v>300476</v>
      </c>
      <c r="C458" t="s">
        <v>1082</v>
      </c>
      <c r="D458" t="s">
        <v>418</v>
      </c>
      <c r="E458">
        <v>2673640119</v>
      </c>
      <c r="F458">
        <v>2336491361</v>
      </c>
      <c r="G458">
        <v>1476277919</v>
      </c>
      <c r="H458">
        <v>1127366855</v>
      </c>
      <c r="I458">
        <v>1097384341</v>
      </c>
      <c r="J458">
        <v>592447540</v>
      </c>
      <c r="K458">
        <v>506129360</v>
      </c>
      <c r="L458">
        <v>0</v>
      </c>
      <c r="M458">
        <v>0</v>
      </c>
      <c r="P458">
        <v>633</v>
      </c>
      <c r="Q458" t="s">
        <v>1083</v>
      </c>
    </row>
    <row r="459" spans="1:17" x14ac:dyDescent="0.3">
      <c r="A459" t="s">
        <v>73</v>
      </c>
      <c r="B459" t="str">
        <f>"002920"</f>
        <v>002920</v>
      </c>
      <c r="C459" t="s">
        <v>1084</v>
      </c>
      <c r="D459" t="s">
        <v>795</v>
      </c>
      <c r="E459">
        <v>2672424199</v>
      </c>
      <c r="F459">
        <v>1842954769</v>
      </c>
      <c r="G459">
        <v>941656382</v>
      </c>
      <c r="H459">
        <v>986193412</v>
      </c>
      <c r="I459">
        <v>1207640308</v>
      </c>
      <c r="P459">
        <v>688</v>
      </c>
      <c r="Q459" t="s">
        <v>1085</v>
      </c>
    </row>
    <row r="460" spans="1:17" x14ac:dyDescent="0.3">
      <c r="A460" t="s">
        <v>17</v>
      </c>
      <c r="B460" t="str">
        <f>"600703"</f>
        <v>600703</v>
      </c>
      <c r="C460" t="s">
        <v>1086</v>
      </c>
      <c r="D460" t="s">
        <v>737</v>
      </c>
      <c r="E460">
        <v>2666910767</v>
      </c>
      <c r="F460">
        <v>2688578550</v>
      </c>
      <c r="G460">
        <v>2290338343</v>
      </c>
      <c r="H460">
        <v>2545898800</v>
      </c>
      <c r="I460">
        <v>2269259399</v>
      </c>
      <c r="J460">
        <v>2190554270</v>
      </c>
      <c r="K460">
        <v>1513654170</v>
      </c>
      <c r="L460">
        <v>1263151554</v>
      </c>
      <c r="M460">
        <v>960794152</v>
      </c>
      <c r="N460">
        <v>770570057</v>
      </c>
      <c r="O460">
        <v>448239154</v>
      </c>
      <c r="P460">
        <v>2761</v>
      </c>
      <c r="Q460" t="s">
        <v>1087</v>
      </c>
    </row>
    <row r="461" spans="1:17" x14ac:dyDescent="0.3">
      <c r="A461" t="s">
        <v>73</v>
      </c>
      <c r="B461" t="str">
        <f>"002465"</f>
        <v>002465</v>
      </c>
      <c r="C461" t="s">
        <v>1088</v>
      </c>
      <c r="D461" t="s">
        <v>502</v>
      </c>
      <c r="E461">
        <v>2665559283</v>
      </c>
      <c r="F461">
        <v>2341768260</v>
      </c>
      <c r="G461">
        <v>2578076421</v>
      </c>
      <c r="H461">
        <v>2388320687</v>
      </c>
      <c r="I461">
        <v>2216348754</v>
      </c>
      <c r="J461">
        <v>2532406470</v>
      </c>
      <c r="K461">
        <v>1843482868</v>
      </c>
      <c r="L461">
        <v>1405445681</v>
      </c>
      <c r="M461">
        <v>1228459939</v>
      </c>
      <c r="N461">
        <v>514550243</v>
      </c>
      <c r="O461">
        <v>428373453</v>
      </c>
      <c r="P461">
        <v>544</v>
      </c>
      <c r="Q461" t="s">
        <v>1089</v>
      </c>
    </row>
    <row r="462" spans="1:17" x14ac:dyDescent="0.3">
      <c r="A462" t="s">
        <v>73</v>
      </c>
      <c r="B462" t="str">
        <f>"002743"</f>
        <v>002743</v>
      </c>
      <c r="C462" t="s">
        <v>1090</v>
      </c>
      <c r="D462" t="s">
        <v>711</v>
      </c>
      <c r="E462">
        <v>2661750274</v>
      </c>
      <c r="F462">
        <v>2454532537</v>
      </c>
      <c r="G462">
        <v>1865480239</v>
      </c>
      <c r="H462">
        <v>0</v>
      </c>
      <c r="I462">
        <v>1326448406</v>
      </c>
      <c r="J462">
        <v>1139355746</v>
      </c>
      <c r="K462">
        <v>1008858153</v>
      </c>
      <c r="L462">
        <v>584836216</v>
      </c>
      <c r="M462">
        <v>0</v>
      </c>
      <c r="P462">
        <v>77</v>
      </c>
      <c r="Q462" t="s">
        <v>1091</v>
      </c>
    </row>
    <row r="463" spans="1:17" x14ac:dyDescent="0.3">
      <c r="A463" t="s">
        <v>73</v>
      </c>
      <c r="B463" t="str">
        <f>"002439"</f>
        <v>002439</v>
      </c>
      <c r="C463" t="s">
        <v>1092</v>
      </c>
      <c r="D463" t="s">
        <v>404</v>
      </c>
      <c r="E463">
        <v>2661652049</v>
      </c>
      <c r="F463">
        <v>2420379916</v>
      </c>
      <c r="G463">
        <v>1757179571</v>
      </c>
      <c r="H463">
        <v>1373433748</v>
      </c>
      <c r="I463">
        <v>1147709526</v>
      </c>
      <c r="J463">
        <v>948913374</v>
      </c>
      <c r="K463">
        <v>651131445</v>
      </c>
      <c r="L463">
        <v>546931765</v>
      </c>
      <c r="M463">
        <v>364571114</v>
      </c>
      <c r="N463">
        <v>320698639</v>
      </c>
      <c r="O463">
        <v>284156476</v>
      </c>
      <c r="P463">
        <v>1190</v>
      </c>
      <c r="Q463" t="s">
        <v>1093</v>
      </c>
    </row>
    <row r="464" spans="1:17" x14ac:dyDescent="0.3">
      <c r="A464" t="s">
        <v>17</v>
      </c>
      <c r="B464" t="str">
        <f>"600025"</f>
        <v>600025</v>
      </c>
      <c r="C464" t="s">
        <v>1094</v>
      </c>
      <c r="D464" t="s">
        <v>290</v>
      </c>
      <c r="E464">
        <v>2653189894</v>
      </c>
      <c r="F464">
        <v>2166774579</v>
      </c>
      <c r="G464">
        <v>2326944466</v>
      </c>
      <c r="H464">
        <v>3190786870</v>
      </c>
      <c r="I464">
        <v>1794475612</v>
      </c>
      <c r="J464">
        <v>0</v>
      </c>
      <c r="P464">
        <v>766</v>
      </c>
      <c r="Q464" t="s">
        <v>1095</v>
      </c>
    </row>
    <row r="465" spans="1:17" x14ac:dyDescent="0.3">
      <c r="A465" t="s">
        <v>73</v>
      </c>
      <c r="B465" t="str">
        <f>"000701"</f>
        <v>000701</v>
      </c>
      <c r="C465" t="s">
        <v>1096</v>
      </c>
      <c r="D465" t="s">
        <v>651</v>
      </c>
      <c r="E465">
        <v>2651188051</v>
      </c>
      <c r="F465">
        <v>3017688103</v>
      </c>
      <c r="G465">
        <v>4307098689</v>
      </c>
      <c r="H465">
        <v>6954458703</v>
      </c>
      <c r="I465">
        <v>5640896159</v>
      </c>
      <c r="J465">
        <v>5369591401</v>
      </c>
      <c r="K465">
        <v>3757581752</v>
      </c>
      <c r="L465">
        <v>1967313827</v>
      </c>
      <c r="M465">
        <v>2069632749</v>
      </c>
      <c r="N465">
        <v>960628491</v>
      </c>
      <c r="O465">
        <v>550449627</v>
      </c>
      <c r="P465">
        <v>120</v>
      </c>
      <c r="Q465" t="s">
        <v>1097</v>
      </c>
    </row>
    <row r="466" spans="1:17" x14ac:dyDescent="0.3">
      <c r="A466" t="s">
        <v>17</v>
      </c>
      <c r="B466" t="str">
        <f>"600370"</f>
        <v>600370</v>
      </c>
      <c r="C466" t="s">
        <v>1098</v>
      </c>
      <c r="D466" t="s">
        <v>1099</v>
      </c>
      <c r="E466">
        <v>2648961859</v>
      </c>
      <c r="F466">
        <v>1779955457</v>
      </c>
      <c r="G466">
        <v>70407829</v>
      </c>
      <c r="H466">
        <v>139924061</v>
      </c>
      <c r="I466">
        <v>133122223</v>
      </c>
      <c r="J466">
        <v>113284661</v>
      </c>
      <c r="K466">
        <v>91853183</v>
      </c>
      <c r="L466">
        <v>108838537</v>
      </c>
      <c r="M466">
        <v>98942818</v>
      </c>
      <c r="N466">
        <v>154431341</v>
      </c>
      <c r="O466">
        <v>143560162</v>
      </c>
      <c r="P466">
        <v>101</v>
      </c>
      <c r="Q466" t="s">
        <v>1100</v>
      </c>
    </row>
    <row r="467" spans="1:17" x14ac:dyDescent="0.3">
      <c r="A467" t="s">
        <v>17</v>
      </c>
      <c r="B467" t="str">
        <f>"605222"</f>
        <v>605222</v>
      </c>
      <c r="C467" t="s">
        <v>1101</v>
      </c>
      <c r="D467" t="s">
        <v>515</v>
      </c>
      <c r="E467">
        <v>2648520154</v>
      </c>
      <c r="F467">
        <v>1882070533</v>
      </c>
      <c r="G467">
        <v>1181705425</v>
      </c>
      <c r="P467">
        <v>110</v>
      </c>
      <c r="Q467" t="s">
        <v>1102</v>
      </c>
    </row>
    <row r="468" spans="1:17" x14ac:dyDescent="0.3">
      <c r="A468" t="s">
        <v>73</v>
      </c>
      <c r="B468" t="str">
        <f>"002471"</f>
        <v>002471</v>
      </c>
      <c r="C468" t="s">
        <v>1103</v>
      </c>
      <c r="D468" t="s">
        <v>515</v>
      </c>
      <c r="E468">
        <v>2648434610</v>
      </c>
      <c r="F468">
        <v>2257377142</v>
      </c>
      <c r="G468">
        <v>2120888336</v>
      </c>
      <c r="H468">
        <v>3228571494</v>
      </c>
      <c r="I468">
        <v>3219956090</v>
      </c>
      <c r="J468">
        <v>2893284922</v>
      </c>
      <c r="K468">
        <v>2868775349</v>
      </c>
      <c r="L468">
        <v>2182807981</v>
      </c>
      <c r="M468">
        <v>2242582152</v>
      </c>
      <c r="N468">
        <v>1615361492</v>
      </c>
      <c r="O468">
        <v>868900841</v>
      </c>
      <c r="P468">
        <v>92</v>
      </c>
      <c r="Q468" t="s">
        <v>1104</v>
      </c>
    </row>
    <row r="469" spans="1:17" x14ac:dyDescent="0.3">
      <c r="A469" t="s">
        <v>73</v>
      </c>
      <c r="B469" t="str">
        <f>"002015"</f>
        <v>002015</v>
      </c>
      <c r="C469" t="s">
        <v>1105</v>
      </c>
      <c r="D469" t="s">
        <v>1106</v>
      </c>
      <c r="E469">
        <v>2631418952</v>
      </c>
      <c r="F469">
        <v>1828569698</v>
      </c>
      <c r="G469">
        <v>1697930995</v>
      </c>
      <c r="H469">
        <v>112223227</v>
      </c>
      <c r="I469">
        <v>44585472</v>
      </c>
      <c r="J469">
        <v>21621885</v>
      </c>
      <c r="K469">
        <v>7447449</v>
      </c>
      <c r="L469">
        <v>120625358</v>
      </c>
      <c r="M469">
        <v>26795654</v>
      </c>
      <c r="N469">
        <v>31906017</v>
      </c>
      <c r="O469">
        <v>57100911</v>
      </c>
      <c r="P469">
        <v>239</v>
      </c>
      <c r="Q469" t="s">
        <v>1107</v>
      </c>
    </row>
    <row r="470" spans="1:17" x14ac:dyDescent="0.3">
      <c r="A470" t="s">
        <v>73</v>
      </c>
      <c r="B470" t="str">
        <f>"002025"</f>
        <v>002025</v>
      </c>
      <c r="C470" t="s">
        <v>1108</v>
      </c>
      <c r="D470" t="s">
        <v>502</v>
      </c>
      <c r="E470">
        <v>2620931972</v>
      </c>
      <c r="F470">
        <v>2497836737</v>
      </c>
      <c r="G470">
        <v>2039419507</v>
      </c>
      <c r="H470">
        <v>1888752820</v>
      </c>
      <c r="I470">
        <v>1504708093</v>
      </c>
      <c r="J470">
        <v>1272653806</v>
      </c>
      <c r="K470">
        <v>986018355</v>
      </c>
      <c r="L470">
        <v>913964833</v>
      </c>
      <c r="M470">
        <v>731886594</v>
      </c>
      <c r="N470">
        <v>559519982</v>
      </c>
      <c r="O470">
        <v>434505252</v>
      </c>
      <c r="P470">
        <v>468</v>
      </c>
      <c r="Q470" t="s">
        <v>1109</v>
      </c>
    </row>
    <row r="471" spans="1:17" x14ac:dyDescent="0.3">
      <c r="A471" t="s">
        <v>73</v>
      </c>
      <c r="B471" t="str">
        <f>"002489"</f>
        <v>002489</v>
      </c>
      <c r="C471" t="s">
        <v>1110</v>
      </c>
      <c r="D471" t="s">
        <v>1111</v>
      </c>
      <c r="E471">
        <v>2614819338</v>
      </c>
      <c r="F471">
        <v>2347864383</v>
      </c>
      <c r="G471">
        <v>1677770259</v>
      </c>
      <c r="H471">
        <v>1636187672</v>
      </c>
      <c r="I471">
        <v>1382362967</v>
      </c>
      <c r="J471">
        <v>1397562160</v>
      </c>
      <c r="K471">
        <v>1120971448</v>
      </c>
      <c r="L471">
        <v>1085321294</v>
      </c>
      <c r="M471">
        <v>827897096</v>
      </c>
      <c r="N471">
        <v>809385466</v>
      </c>
      <c r="O471">
        <v>547515052</v>
      </c>
      <c r="P471">
        <v>206</v>
      </c>
      <c r="Q471" t="s">
        <v>1112</v>
      </c>
    </row>
    <row r="472" spans="1:17" x14ac:dyDescent="0.3">
      <c r="A472" t="s">
        <v>73</v>
      </c>
      <c r="B472" t="str">
        <f>"000778"</f>
        <v>000778</v>
      </c>
      <c r="C472" t="s">
        <v>1113</v>
      </c>
      <c r="D472" t="s">
        <v>1114</v>
      </c>
      <c r="E472">
        <v>2603907974</v>
      </c>
      <c r="F472">
        <v>2176139652</v>
      </c>
      <c r="G472">
        <v>2319360327</v>
      </c>
      <c r="H472">
        <v>2045873685</v>
      </c>
      <c r="I472">
        <v>2002269717</v>
      </c>
      <c r="J472">
        <v>1842760549</v>
      </c>
      <c r="K472">
        <v>1862766839</v>
      </c>
      <c r="L472">
        <v>1930790622</v>
      </c>
      <c r="M472">
        <v>1762999567</v>
      </c>
      <c r="N472">
        <v>1471315817</v>
      </c>
      <c r="O472">
        <v>1171353027</v>
      </c>
      <c r="P472">
        <v>674</v>
      </c>
      <c r="Q472" t="s">
        <v>1115</v>
      </c>
    </row>
    <row r="473" spans="1:17" x14ac:dyDescent="0.3">
      <c r="A473" t="s">
        <v>73</v>
      </c>
      <c r="B473" t="str">
        <f>"002028"</f>
        <v>002028</v>
      </c>
      <c r="C473" t="s">
        <v>1116</v>
      </c>
      <c r="D473" t="s">
        <v>224</v>
      </c>
      <c r="E473">
        <v>2598417716</v>
      </c>
      <c r="F473">
        <v>2440065218</v>
      </c>
      <c r="G473">
        <v>2535338234</v>
      </c>
      <c r="H473">
        <v>2360584013</v>
      </c>
      <c r="I473">
        <v>2125662964</v>
      </c>
      <c r="J473">
        <v>2143042693</v>
      </c>
      <c r="K473">
        <v>1970543512</v>
      </c>
      <c r="L473">
        <v>1838479722</v>
      </c>
      <c r="M473">
        <v>1417891529</v>
      </c>
      <c r="N473">
        <v>1164661878</v>
      </c>
      <c r="O473">
        <v>809826631</v>
      </c>
      <c r="P473">
        <v>603</v>
      </c>
      <c r="Q473" t="s">
        <v>1117</v>
      </c>
    </row>
    <row r="474" spans="1:17" x14ac:dyDescent="0.3">
      <c r="A474" t="s">
        <v>73</v>
      </c>
      <c r="B474" t="str">
        <f>"300383"</f>
        <v>300383</v>
      </c>
      <c r="C474" t="s">
        <v>1118</v>
      </c>
      <c r="D474" t="s">
        <v>302</v>
      </c>
      <c r="E474">
        <v>2585450563</v>
      </c>
      <c r="F474">
        <v>2087961693</v>
      </c>
      <c r="G474">
        <v>2359455152</v>
      </c>
      <c r="H474">
        <v>1977957991</v>
      </c>
      <c r="I474">
        <v>1424926409</v>
      </c>
      <c r="J474">
        <v>844673977</v>
      </c>
      <c r="K474">
        <v>268669549</v>
      </c>
      <c r="L474">
        <v>77379614</v>
      </c>
      <c r="M474">
        <v>37768137</v>
      </c>
      <c r="N474">
        <v>0</v>
      </c>
      <c r="P474">
        <v>2115</v>
      </c>
      <c r="Q474" t="s">
        <v>1119</v>
      </c>
    </row>
    <row r="475" spans="1:17" x14ac:dyDescent="0.3">
      <c r="A475" t="s">
        <v>73</v>
      </c>
      <c r="B475" t="str">
        <f>"002002"</f>
        <v>002002</v>
      </c>
      <c r="C475" t="s">
        <v>1120</v>
      </c>
      <c r="D475" t="s">
        <v>641</v>
      </c>
      <c r="E475">
        <v>2583275704</v>
      </c>
      <c r="F475">
        <v>1918399912</v>
      </c>
      <c r="G475">
        <v>2023190101</v>
      </c>
      <c r="H475">
        <v>1864775691</v>
      </c>
      <c r="I475">
        <v>1468319734</v>
      </c>
      <c r="J475">
        <v>1300461431</v>
      </c>
      <c r="K475">
        <v>844856141</v>
      </c>
      <c r="L475">
        <v>558621980</v>
      </c>
      <c r="M475">
        <v>301910836</v>
      </c>
      <c r="N475">
        <v>23841959</v>
      </c>
      <c r="O475">
        <v>23692888</v>
      </c>
      <c r="P475">
        <v>451</v>
      </c>
      <c r="Q475" t="s">
        <v>1121</v>
      </c>
    </row>
    <row r="476" spans="1:17" x14ac:dyDescent="0.3">
      <c r="A476" t="s">
        <v>73</v>
      </c>
      <c r="B476" t="str">
        <f>"000008"</f>
        <v>000008</v>
      </c>
      <c r="C476" t="s">
        <v>1122</v>
      </c>
      <c r="D476" t="s">
        <v>47</v>
      </c>
      <c r="E476">
        <v>2576615098</v>
      </c>
      <c r="F476">
        <v>2671910852</v>
      </c>
      <c r="G476">
        <v>3370763087</v>
      </c>
      <c r="H476">
        <v>2922973526</v>
      </c>
      <c r="I476">
        <v>2279836509</v>
      </c>
      <c r="J476">
        <v>1525264853</v>
      </c>
      <c r="K476">
        <v>1153336872</v>
      </c>
      <c r="L476">
        <v>402889550</v>
      </c>
      <c r="M476">
        <v>5967743</v>
      </c>
      <c r="N476">
        <v>9664593</v>
      </c>
      <c r="O476">
        <v>707037</v>
      </c>
      <c r="P476">
        <v>301</v>
      </c>
      <c r="Q476" t="s">
        <v>1123</v>
      </c>
    </row>
    <row r="477" spans="1:17" x14ac:dyDescent="0.3">
      <c r="A477" t="s">
        <v>73</v>
      </c>
      <c r="B477" t="str">
        <f>"002004"</f>
        <v>002004</v>
      </c>
      <c r="C477" t="s">
        <v>1124</v>
      </c>
      <c r="D477" t="s">
        <v>348</v>
      </c>
      <c r="E477">
        <v>2571528344</v>
      </c>
      <c r="F477">
        <v>2177709657</v>
      </c>
      <c r="G477">
        <v>2589764599</v>
      </c>
      <c r="H477">
        <v>2423446169</v>
      </c>
      <c r="I477">
        <v>2643819684</v>
      </c>
      <c r="J477">
        <v>2331517540</v>
      </c>
      <c r="K477">
        <v>1658450920</v>
      </c>
      <c r="L477">
        <v>1157612846</v>
      </c>
      <c r="M477">
        <v>1193812628</v>
      </c>
      <c r="N477">
        <v>1017110055</v>
      </c>
      <c r="O477">
        <v>493761866</v>
      </c>
      <c r="P477">
        <v>328</v>
      </c>
      <c r="Q477" t="s">
        <v>1125</v>
      </c>
    </row>
    <row r="478" spans="1:17" x14ac:dyDescent="0.3">
      <c r="A478" t="s">
        <v>73</v>
      </c>
      <c r="B478" t="str">
        <f>"002325"</f>
        <v>002325</v>
      </c>
      <c r="C478" t="s">
        <v>1126</v>
      </c>
      <c r="D478" t="s">
        <v>258</v>
      </c>
      <c r="E478">
        <v>2550258549</v>
      </c>
      <c r="F478">
        <v>2355317496</v>
      </c>
      <c r="G478">
        <v>6019352725</v>
      </c>
      <c r="H478">
        <v>5795329806</v>
      </c>
      <c r="I478">
        <v>4236193391</v>
      </c>
      <c r="J478">
        <v>4350698861</v>
      </c>
      <c r="K478">
        <v>4057161406</v>
      </c>
      <c r="L478">
        <v>3406148571</v>
      </c>
      <c r="M478">
        <v>2853845019</v>
      </c>
      <c r="N478">
        <v>1658901184</v>
      </c>
      <c r="O478">
        <v>943277012</v>
      </c>
      <c r="P478">
        <v>171</v>
      </c>
      <c r="Q478" t="s">
        <v>1127</v>
      </c>
    </row>
    <row r="479" spans="1:17" x14ac:dyDescent="0.3">
      <c r="A479" t="s">
        <v>73</v>
      </c>
      <c r="B479" t="str">
        <f>"000600"</f>
        <v>000600</v>
      </c>
      <c r="C479" t="s">
        <v>1128</v>
      </c>
      <c r="D479" t="s">
        <v>71</v>
      </c>
      <c r="E479">
        <v>2542867196</v>
      </c>
      <c r="F479">
        <v>1982583576</v>
      </c>
      <c r="G479">
        <v>1545568573</v>
      </c>
      <c r="H479">
        <v>1645892036</v>
      </c>
      <c r="I479">
        <v>1550183706</v>
      </c>
      <c r="J479">
        <v>1276937256</v>
      </c>
      <c r="K479">
        <v>1036239403</v>
      </c>
      <c r="L479">
        <v>929926669</v>
      </c>
      <c r="M479">
        <v>1101530320</v>
      </c>
      <c r="N479">
        <v>711399348</v>
      </c>
      <c r="O479">
        <v>728476256</v>
      </c>
      <c r="P479">
        <v>312</v>
      </c>
      <c r="Q479" t="s">
        <v>1129</v>
      </c>
    </row>
    <row r="480" spans="1:17" x14ac:dyDescent="0.3">
      <c r="A480" t="s">
        <v>73</v>
      </c>
      <c r="B480" t="str">
        <f>"002036"</f>
        <v>002036</v>
      </c>
      <c r="C480" t="s">
        <v>1130</v>
      </c>
      <c r="D480" t="s">
        <v>477</v>
      </c>
      <c r="E480">
        <v>2542487515</v>
      </c>
      <c r="F480">
        <v>2167366473</v>
      </c>
      <c r="G480">
        <v>1447495302</v>
      </c>
      <c r="H480">
        <v>1526508502</v>
      </c>
      <c r="I480">
        <v>1087659487</v>
      </c>
      <c r="J480">
        <v>903763809</v>
      </c>
      <c r="K480">
        <v>364801736</v>
      </c>
      <c r="L480">
        <v>93510443</v>
      </c>
      <c r="M480">
        <v>72724961</v>
      </c>
      <c r="N480">
        <v>74982885</v>
      </c>
      <c r="O480">
        <v>82079475</v>
      </c>
      <c r="P480">
        <v>548</v>
      </c>
      <c r="Q480" t="s">
        <v>1131</v>
      </c>
    </row>
    <row r="481" spans="1:17" x14ac:dyDescent="0.3">
      <c r="A481" t="s">
        <v>73</v>
      </c>
      <c r="B481" t="str">
        <f>"300142"</f>
        <v>300142</v>
      </c>
      <c r="C481" t="s">
        <v>1132</v>
      </c>
      <c r="D481" t="s">
        <v>182</v>
      </c>
      <c r="E481">
        <v>2541080345</v>
      </c>
      <c r="F481">
        <v>2015255592</v>
      </c>
      <c r="G481">
        <v>450358721</v>
      </c>
      <c r="H481">
        <v>403468244</v>
      </c>
      <c r="I481">
        <v>310111931</v>
      </c>
      <c r="J481">
        <v>235314049</v>
      </c>
      <c r="K481">
        <v>618874157</v>
      </c>
      <c r="L481">
        <v>471948153</v>
      </c>
      <c r="M481">
        <v>640846807</v>
      </c>
      <c r="N481">
        <v>480142747</v>
      </c>
      <c r="O481">
        <v>322560488</v>
      </c>
      <c r="P481">
        <v>1230</v>
      </c>
      <c r="Q481" t="s">
        <v>1133</v>
      </c>
    </row>
    <row r="482" spans="1:17" x14ac:dyDescent="0.3">
      <c r="A482" t="s">
        <v>73</v>
      </c>
      <c r="B482" t="str">
        <f>"002822"</f>
        <v>002822</v>
      </c>
      <c r="C482" t="s">
        <v>1134</v>
      </c>
      <c r="D482" t="s">
        <v>258</v>
      </c>
      <c r="E482">
        <v>2510015757</v>
      </c>
      <c r="F482">
        <v>2517609025</v>
      </c>
      <c r="G482">
        <v>3393714298</v>
      </c>
      <c r="H482">
        <v>2929723510</v>
      </c>
      <c r="I482">
        <v>2552993698</v>
      </c>
      <c r="J482">
        <v>1978778630</v>
      </c>
      <c r="P482">
        <v>134</v>
      </c>
      <c r="Q482" t="s">
        <v>1135</v>
      </c>
    </row>
    <row r="483" spans="1:17" x14ac:dyDescent="0.3">
      <c r="A483" t="s">
        <v>17</v>
      </c>
      <c r="B483" t="str">
        <f>"600096"</f>
        <v>600096</v>
      </c>
      <c r="C483" t="s">
        <v>1136</v>
      </c>
      <c r="D483" t="s">
        <v>1137</v>
      </c>
      <c r="E483">
        <v>2506832880</v>
      </c>
      <c r="F483">
        <v>3157639263</v>
      </c>
      <c r="G483">
        <v>3960949535</v>
      </c>
      <c r="H483">
        <v>4851394449</v>
      </c>
      <c r="I483">
        <v>4061780766</v>
      </c>
      <c r="J483">
        <v>6690529937</v>
      </c>
      <c r="K483">
        <v>4527363997</v>
      </c>
      <c r="L483">
        <v>3826368129</v>
      </c>
      <c r="M483">
        <v>3346741448</v>
      </c>
      <c r="N483">
        <v>1302335050</v>
      </c>
      <c r="O483">
        <v>1009548574</v>
      </c>
      <c r="P483">
        <v>390</v>
      </c>
      <c r="Q483" t="s">
        <v>1138</v>
      </c>
    </row>
    <row r="484" spans="1:17" x14ac:dyDescent="0.3">
      <c r="A484" t="s">
        <v>17</v>
      </c>
      <c r="B484" t="str">
        <f>"603680"</f>
        <v>603680</v>
      </c>
      <c r="C484" t="s">
        <v>1139</v>
      </c>
      <c r="D484" t="s">
        <v>47</v>
      </c>
      <c r="E484">
        <v>2503626798</v>
      </c>
      <c r="F484">
        <v>2635770894</v>
      </c>
      <c r="G484">
        <v>2371267966</v>
      </c>
      <c r="H484">
        <v>2147008475</v>
      </c>
      <c r="I484">
        <v>1894305911</v>
      </c>
      <c r="J484">
        <v>0</v>
      </c>
      <c r="P484">
        <v>81</v>
      </c>
      <c r="Q484" t="s">
        <v>1140</v>
      </c>
    </row>
    <row r="485" spans="1:17" x14ac:dyDescent="0.3">
      <c r="A485" t="s">
        <v>73</v>
      </c>
      <c r="B485" t="str">
        <f>"002056"</f>
        <v>002056</v>
      </c>
      <c r="C485" t="s">
        <v>1141</v>
      </c>
      <c r="D485" t="s">
        <v>1142</v>
      </c>
      <c r="E485">
        <v>2500301485</v>
      </c>
      <c r="F485">
        <v>1806993259</v>
      </c>
      <c r="G485">
        <v>1350641108</v>
      </c>
      <c r="H485">
        <v>1219951685</v>
      </c>
      <c r="I485">
        <v>1056892142</v>
      </c>
      <c r="J485">
        <v>728785710</v>
      </c>
      <c r="K485">
        <v>643630785</v>
      </c>
      <c r="L485">
        <v>608289790</v>
      </c>
      <c r="M485">
        <v>570554274</v>
      </c>
      <c r="N485">
        <v>581441420</v>
      </c>
      <c r="O485">
        <v>670271631</v>
      </c>
      <c r="P485">
        <v>783</v>
      </c>
      <c r="Q485" t="s">
        <v>1143</v>
      </c>
    </row>
    <row r="486" spans="1:17" x14ac:dyDescent="0.3">
      <c r="A486" t="s">
        <v>17</v>
      </c>
      <c r="B486" t="str">
        <f>"600623"</f>
        <v>600623</v>
      </c>
      <c r="C486" t="s">
        <v>1144</v>
      </c>
      <c r="D486" t="s">
        <v>1145</v>
      </c>
      <c r="E486">
        <v>2497589535</v>
      </c>
      <c r="F486">
        <v>2603959776</v>
      </c>
      <c r="G486">
        <v>2381836917</v>
      </c>
      <c r="H486">
        <v>2567114751</v>
      </c>
      <c r="I486">
        <v>2222724450</v>
      </c>
      <c r="J486">
        <v>2675347456</v>
      </c>
      <c r="K486">
        <v>2221784060</v>
      </c>
      <c r="L486">
        <v>1817717347</v>
      </c>
      <c r="M486">
        <v>1366685198</v>
      </c>
      <c r="N486">
        <v>1238251873</v>
      </c>
      <c r="O486">
        <v>1076253083</v>
      </c>
      <c r="P486">
        <v>241</v>
      </c>
      <c r="Q486" t="s">
        <v>1146</v>
      </c>
    </row>
    <row r="487" spans="1:17" x14ac:dyDescent="0.3">
      <c r="A487" t="s">
        <v>73</v>
      </c>
      <c r="B487" t="str">
        <f>"002608"</f>
        <v>002608</v>
      </c>
      <c r="C487" t="s">
        <v>1147</v>
      </c>
      <c r="D487" t="s">
        <v>71</v>
      </c>
      <c r="E487">
        <v>2497277217</v>
      </c>
      <c r="F487">
        <v>2411087537</v>
      </c>
      <c r="G487">
        <v>1791158097</v>
      </c>
      <c r="H487">
        <v>1868259648</v>
      </c>
      <c r="I487">
        <v>2387978235</v>
      </c>
      <c r="J487">
        <v>1394498967</v>
      </c>
      <c r="K487">
        <v>10679473</v>
      </c>
      <c r="L487">
        <v>188922381</v>
      </c>
      <c r="M487">
        <v>534158750</v>
      </c>
      <c r="N487">
        <v>298044999</v>
      </c>
      <c r="O487">
        <v>137979014</v>
      </c>
      <c r="P487">
        <v>138</v>
      </c>
      <c r="Q487" t="s">
        <v>1148</v>
      </c>
    </row>
    <row r="488" spans="1:17" x14ac:dyDescent="0.3">
      <c r="A488" t="s">
        <v>17</v>
      </c>
      <c r="B488" t="str">
        <f>"600845"</f>
        <v>600845</v>
      </c>
      <c r="C488" t="s">
        <v>1149</v>
      </c>
      <c r="D488" t="s">
        <v>302</v>
      </c>
      <c r="E488">
        <v>2487833557</v>
      </c>
      <c r="F488">
        <v>1556397538</v>
      </c>
      <c r="G488">
        <v>1164402234</v>
      </c>
      <c r="H488">
        <v>1830871761</v>
      </c>
      <c r="I488">
        <v>1935072015</v>
      </c>
      <c r="J488">
        <v>1917858799</v>
      </c>
      <c r="K488">
        <v>1949692184</v>
      </c>
      <c r="L488">
        <v>2067255506</v>
      </c>
      <c r="M488">
        <v>1963182435</v>
      </c>
      <c r="N488">
        <v>1707367358</v>
      </c>
      <c r="O488">
        <v>1421066195</v>
      </c>
      <c r="P488">
        <v>1594</v>
      </c>
      <c r="Q488" t="s">
        <v>1150</v>
      </c>
    </row>
    <row r="489" spans="1:17" x14ac:dyDescent="0.3">
      <c r="A489" t="s">
        <v>73</v>
      </c>
      <c r="B489" t="str">
        <f>"200541"</f>
        <v>200541</v>
      </c>
      <c r="C489" t="s">
        <v>1151</v>
      </c>
      <c r="E489">
        <v>2457865317.1859999</v>
      </c>
      <c r="F489">
        <v>1113694595.9790001</v>
      </c>
      <c r="G489">
        <v>697486723.16219997</v>
      </c>
      <c r="H489">
        <v>990382724.99820006</v>
      </c>
      <c r="I489">
        <v>1199943215.372</v>
      </c>
      <c r="J489">
        <v>915112768.37759995</v>
      </c>
      <c r="K489">
        <v>656980782.97599995</v>
      </c>
      <c r="L489">
        <v>488686046.25</v>
      </c>
      <c r="M489">
        <v>545231034.824</v>
      </c>
      <c r="N489">
        <v>560916386.51639998</v>
      </c>
      <c r="O489">
        <v>425454336.52200001</v>
      </c>
      <c r="P489">
        <v>119</v>
      </c>
      <c r="Q489" t="s">
        <v>1152</v>
      </c>
    </row>
    <row r="490" spans="1:17" x14ac:dyDescent="0.3">
      <c r="A490" t="s">
        <v>17</v>
      </c>
      <c r="B490" t="str">
        <f>"603659"</f>
        <v>603659</v>
      </c>
      <c r="C490" t="s">
        <v>1153</v>
      </c>
      <c r="D490" t="s">
        <v>561</v>
      </c>
      <c r="E490">
        <v>2457000761</v>
      </c>
      <c r="F490">
        <v>1646948148</v>
      </c>
      <c r="G490">
        <v>1073910469</v>
      </c>
      <c r="H490">
        <v>1144034740</v>
      </c>
      <c r="I490">
        <v>707414726</v>
      </c>
      <c r="J490">
        <v>472288313</v>
      </c>
      <c r="P490">
        <v>1047</v>
      </c>
      <c r="Q490" t="s">
        <v>1154</v>
      </c>
    </row>
    <row r="491" spans="1:17" x14ac:dyDescent="0.3">
      <c r="A491" t="s">
        <v>73</v>
      </c>
      <c r="B491" t="str">
        <f>"000155"</f>
        <v>000155</v>
      </c>
      <c r="C491" t="s">
        <v>1155</v>
      </c>
      <c r="D491" t="s">
        <v>133</v>
      </c>
      <c r="E491">
        <v>2453398296</v>
      </c>
      <c r="F491">
        <v>1554498298</v>
      </c>
      <c r="G491">
        <v>1133604592</v>
      </c>
      <c r="H491">
        <v>1390574587</v>
      </c>
      <c r="I491">
        <v>1322383437</v>
      </c>
      <c r="J491">
        <v>713211887</v>
      </c>
      <c r="K491">
        <v>34756246</v>
      </c>
      <c r="L491">
        <v>36151940</v>
      </c>
      <c r="M491">
        <v>43620881</v>
      </c>
      <c r="N491">
        <v>40839647</v>
      </c>
      <c r="O491">
        <v>28995406</v>
      </c>
      <c r="P491">
        <v>309</v>
      </c>
      <c r="Q491" t="s">
        <v>1156</v>
      </c>
    </row>
    <row r="492" spans="1:17" x14ac:dyDescent="0.3">
      <c r="A492" t="s">
        <v>17</v>
      </c>
      <c r="B492" t="str">
        <f>"600129"</f>
        <v>600129</v>
      </c>
      <c r="C492" t="s">
        <v>1157</v>
      </c>
      <c r="D492" t="s">
        <v>215</v>
      </c>
      <c r="E492">
        <v>2450037888</v>
      </c>
      <c r="F492">
        <v>2210650868</v>
      </c>
      <c r="G492">
        <v>1857425039</v>
      </c>
      <c r="H492">
        <v>1583040514</v>
      </c>
      <c r="I492">
        <v>1345105553</v>
      </c>
      <c r="J492">
        <v>930292908</v>
      </c>
      <c r="K492">
        <v>923488950</v>
      </c>
      <c r="L492">
        <v>933950265</v>
      </c>
      <c r="M492">
        <v>737514431</v>
      </c>
      <c r="N492">
        <v>501661390</v>
      </c>
      <c r="O492">
        <v>385596746</v>
      </c>
      <c r="P492">
        <v>283</v>
      </c>
      <c r="Q492" t="s">
        <v>1158</v>
      </c>
    </row>
    <row r="493" spans="1:17" x14ac:dyDescent="0.3">
      <c r="A493" t="s">
        <v>17</v>
      </c>
      <c r="B493" t="str">
        <f>"600422"</f>
        <v>600422</v>
      </c>
      <c r="C493" t="s">
        <v>1159</v>
      </c>
      <c r="D493" t="s">
        <v>215</v>
      </c>
      <c r="E493">
        <v>2433120175</v>
      </c>
      <c r="F493">
        <v>1603477959</v>
      </c>
      <c r="G493">
        <v>1316387356</v>
      </c>
      <c r="H493">
        <v>1336886392</v>
      </c>
      <c r="I493">
        <v>1172225179</v>
      </c>
      <c r="J493">
        <v>794732716</v>
      </c>
      <c r="K493">
        <v>613329970</v>
      </c>
      <c r="L493">
        <v>490172312</v>
      </c>
      <c r="M493">
        <v>458104865</v>
      </c>
      <c r="N493">
        <v>399918627</v>
      </c>
      <c r="O493">
        <v>292706009</v>
      </c>
      <c r="P493">
        <v>452</v>
      </c>
      <c r="Q493" t="s">
        <v>1160</v>
      </c>
    </row>
    <row r="494" spans="1:17" x14ac:dyDescent="0.3">
      <c r="A494" t="s">
        <v>73</v>
      </c>
      <c r="B494" t="str">
        <f>"002601"</f>
        <v>002601</v>
      </c>
      <c r="C494" t="s">
        <v>1161</v>
      </c>
      <c r="D494" t="s">
        <v>1162</v>
      </c>
      <c r="E494">
        <v>2431476993</v>
      </c>
      <c r="F494">
        <v>1442527856</v>
      </c>
      <c r="G494">
        <v>1958865788</v>
      </c>
      <c r="H494">
        <v>1361300995</v>
      </c>
      <c r="I494">
        <v>1267016578</v>
      </c>
      <c r="J494">
        <v>1027392633</v>
      </c>
      <c r="K494">
        <v>381462921</v>
      </c>
      <c r="L494">
        <v>487474856</v>
      </c>
      <c r="M494">
        <v>311045423</v>
      </c>
      <c r="N494">
        <v>214693152</v>
      </c>
      <c r="O494">
        <v>129110044</v>
      </c>
      <c r="P494">
        <v>1262</v>
      </c>
      <c r="Q494" t="s">
        <v>1163</v>
      </c>
    </row>
    <row r="495" spans="1:17" x14ac:dyDescent="0.3">
      <c r="A495" t="s">
        <v>73</v>
      </c>
      <c r="B495" t="str">
        <f>"002309"</f>
        <v>002309</v>
      </c>
      <c r="C495" t="s">
        <v>1164</v>
      </c>
      <c r="D495" t="s">
        <v>305</v>
      </c>
      <c r="E495">
        <v>2430251028</v>
      </c>
      <c r="F495">
        <v>3253339561</v>
      </c>
      <c r="G495">
        <v>4994711037</v>
      </c>
      <c r="H495">
        <v>9376507233</v>
      </c>
      <c r="I495">
        <v>9105380471</v>
      </c>
      <c r="J495">
        <v>6005015003</v>
      </c>
      <c r="K495">
        <v>7852323657</v>
      </c>
      <c r="L495">
        <v>4658769787</v>
      </c>
      <c r="M495">
        <v>4858645645</v>
      </c>
      <c r="N495">
        <v>3605120230</v>
      </c>
      <c r="O495">
        <v>2482874236</v>
      </c>
      <c r="P495">
        <v>284</v>
      </c>
      <c r="Q495" t="s">
        <v>1165</v>
      </c>
    </row>
    <row r="496" spans="1:17" x14ac:dyDescent="0.3">
      <c r="A496" t="s">
        <v>17</v>
      </c>
      <c r="B496" t="str">
        <f>"600118"</f>
        <v>600118</v>
      </c>
      <c r="C496" t="s">
        <v>1166</v>
      </c>
      <c r="D496" t="s">
        <v>433</v>
      </c>
      <c r="E496">
        <v>2416547783</v>
      </c>
      <c r="F496">
        <v>2485866942</v>
      </c>
      <c r="G496">
        <v>2258723563</v>
      </c>
      <c r="H496">
        <v>3606439263</v>
      </c>
      <c r="I496">
        <v>3113599716</v>
      </c>
      <c r="J496">
        <v>3427333681</v>
      </c>
      <c r="K496">
        <v>3188756273</v>
      </c>
      <c r="L496">
        <v>2909596619</v>
      </c>
      <c r="M496">
        <v>2682667046</v>
      </c>
      <c r="N496">
        <v>1533611960</v>
      </c>
      <c r="O496">
        <v>1224178170</v>
      </c>
      <c r="P496">
        <v>3372</v>
      </c>
      <c r="Q496" t="s">
        <v>1167</v>
      </c>
    </row>
    <row r="497" spans="1:17" x14ac:dyDescent="0.3">
      <c r="A497" t="s">
        <v>73</v>
      </c>
      <c r="B497" t="str">
        <f>"000970"</f>
        <v>000970</v>
      </c>
      <c r="C497" t="s">
        <v>1168</v>
      </c>
      <c r="D497" t="s">
        <v>1142</v>
      </c>
      <c r="E497">
        <v>2401864195</v>
      </c>
      <c r="F497">
        <v>1565569502</v>
      </c>
      <c r="G497">
        <v>1005901289</v>
      </c>
      <c r="H497">
        <v>1076011564</v>
      </c>
      <c r="I497">
        <v>960930950</v>
      </c>
      <c r="J497">
        <v>1023856696</v>
      </c>
      <c r="K497">
        <v>759456025</v>
      </c>
      <c r="L497">
        <v>831614813</v>
      </c>
      <c r="M497">
        <v>901166113</v>
      </c>
      <c r="N497">
        <v>756120675</v>
      </c>
      <c r="O497">
        <v>1044957870</v>
      </c>
      <c r="P497">
        <v>364</v>
      </c>
      <c r="Q497" t="s">
        <v>1169</v>
      </c>
    </row>
    <row r="498" spans="1:17" x14ac:dyDescent="0.3">
      <c r="A498" t="s">
        <v>73</v>
      </c>
      <c r="B498" t="str">
        <f>"300212"</f>
        <v>300212</v>
      </c>
      <c r="C498" t="s">
        <v>1170</v>
      </c>
      <c r="D498" t="s">
        <v>302</v>
      </c>
      <c r="E498">
        <v>2399561966</v>
      </c>
      <c r="F498">
        <v>2808551008</v>
      </c>
      <c r="G498">
        <v>1521028563</v>
      </c>
      <c r="H498">
        <v>2514554235</v>
      </c>
      <c r="I498">
        <v>1226535498</v>
      </c>
      <c r="J498">
        <v>981390410</v>
      </c>
      <c r="K498">
        <v>470285071</v>
      </c>
      <c r="L498">
        <v>307064311</v>
      </c>
      <c r="M498">
        <v>212174061</v>
      </c>
      <c r="N498">
        <v>170945006</v>
      </c>
      <c r="O498">
        <v>122439194</v>
      </c>
      <c r="P498">
        <v>389</v>
      </c>
      <c r="Q498" t="s">
        <v>1171</v>
      </c>
    </row>
    <row r="499" spans="1:17" x14ac:dyDescent="0.3">
      <c r="A499" t="s">
        <v>17</v>
      </c>
      <c r="B499" t="str">
        <f>"600874"</f>
        <v>600874</v>
      </c>
      <c r="C499" t="s">
        <v>1172</v>
      </c>
      <c r="D499" t="s">
        <v>308</v>
      </c>
      <c r="E499">
        <v>2394606000</v>
      </c>
      <c r="F499">
        <v>2302841000</v>
      </c>
      <c r="G499">
        <v>2809343000</v>
      </c>
      <c r="H499">
        <v>2217344000</v>
      </c>
      <c r="I499">
        <v>2259698000</v>
      </c>
      <c r="J499">
        <v>2119595000</v>
      </c>
      <c r="K499">
        <v>1522167000</v>
      </c>
      <c r="L499">
        <v>2341977000</v>
      </c>
      <c r="M499">
        <v>2304841000</v>
      </c>
      <c r="N499">
        <v>1815219000</v>
      </c>
      <c r="O499">
        <v>1346925000</v>
      </c>
      <c r="P499">
        <v>201</v>
      </c>
      <c r="Q499" t="s">
        <v>1173</v>
      </c>
    </row>
    <row r="500" spans="1:17" x14ac:dyDescent="0.3">
      <c r="A500" t="s">
        <v>73</v>
      </c>
      <c r="B500" t="str">
        <f>"002027"</f>
        <v>002027</v>
      </c>
      <c r="C500" t="s">
        <v>1174</v>
      </c>
      <c r="D500" t="s">
        <v>1175</v>
      </c>
      <c r="E500">
        <v>2382900014</v>
      </c>
      <c r="F500">
        <v>3503897249</v>
      </c>
      <c r="G500">
        <v>3726766663</v>
      </c>
      <c r="H500">
        <v>4073479240</v>
      </c>
      <c r="I500">
        <v>3088944806</v>
      </c>
      <c r="J500">
        <v>1940103093</v>
      </c>
      <c r="K500">
        <v>2050240604</v>
      </c>
      <c r="L500">
        <v>25234963</v>
      </c>
      <c r="M500">
        <v>16596730</v>
      </c>
      <c r="N500">
        <v>132115123</v>
      </c>
      <c r="O500">
        <v>128669210</v>
      </c>
      <c r="P500">
        <v>5235</v>
      </c>
      <c r="Q500" t="s">
        <v>1176</v>
      </c>
    </row>
    <row r="501" spans="1:17" x14ac:dyDescent="0.3">
      <c r="A501" t="s">
        <v>17</v>
      </c>
      <c r="B501" t="str">
        <f>"603836"</f>
        <v>603836</v>
      </c>
      <c r="C501" t="s">
        <v>1177</v>
      </c>
      <c r="D501" t="s">
        <v>174</v>
      </c>
      <c r="E501">
        <v>2381326776</v>
      </c>
      <c r="F501">
        <v>1303149729</v>
      </c>
      <c r="P501">
        <v>29</v>
      </c>
      <c r="Q501" t="s">
        <v>1178</v>
      </c>
    </row>
    <row r="502" spans="1:17" x14ac:dyDescent="0.3">
      <c r="A502" t="s">
        <v>73</v>
      </c>
      <c r="B502" t="str">
        <f>"301200"</f>
        <v>301200</v>
      </c>
      <c r="C502" t="s">
        <v>1179</v>
      </c>
      <c r="E502">
        <v>2376080739</v>
      </c>
      <c r="P502">
        <v>13</v>
      </c>
      <c r="Q502" t="s">
        <v>1180</v>
      </c>
    </row>
    <row r="503" spans="1:17" x14ac:dyDescent="0.3">
      <c r="A503" t="s">
        <v>17</v>
      </c>
      <c r="B503" t="str">
        <f>"603997"</f>
        <v>603997</v>
      </c>
      <c r="C503" t="s">
        <v>1181</v>
      </c>
      <c r="D503" t="s">
        <v>106</v>
      </c>
      <c r="E503">
        <v>2376044433</v>
      </c>
      <c r="F503">
        <v>2692623413</v>
      </c>
      <c r="G503">
        <v>1792610858</v>
      </c>
      <c r="H503">
        <v>468926155</v>
      </c>
      <c r="I503">
        <v>446642009</v>
      </c>
      <c r="J503">
        <v>349057376</v>
      </c>
      <c r="K503">
        <v>247602239</v>
      </c>
      <c r="L503">
        <v>251048223</v>
      </c>
      <c r="M503">
        <v>0</v>
      </c>
      <c r="P503">
        <v>248</v>
      </c>
      <c r="Q503" t="s">
        <v>1182</v>
      </c>
    </row>
    <row r="504" spans="1:17" x14ac:dyDescent="0.3">
      <c r="A504" t="s">
        <v>17</v>
      </c>
      <c r="B504" t="str">
        <f>"600629"</f>
        <v>600629</v>
      </c>
      <c r="C504" t="s">
        <v>1183</v>
      </c>
      <c r="D504" t="s">
        <v>661</v>
      </c>
      <c r="E504">
        <v>2373852655</v>
      </c>
      <c r="F504">
        <v>2339178890</v>
      </c>
      <c r="G504">
        <v>1915618702</v>
      </c>
      <c r="H504">
        <v>1804973264</v>
      </c>
      <c r="I504">
        <v>1377487258</v>
      </c>
      <c r="J504">
        <v>1191675559</v>
      </c>
      <c r="K504">
        <v>984611591</v>
      </c>
      <c r="L504">
        <v>178870183</v>
      </c>
      <c r="M504">
        <v>223831764</v>
      </c>
      <c r="N504">
        <v>341900724</v>
      </c>
      <c r="O504">
        <v>288670834</v>
      </c>
      <c r="P504">
        <v>151</v>
      </c>
      <c r="Q504" t="s">
        <v>1184</v>
      </c>
    </row>
    <row r="505" spans="1:17" x14ac:dyDescent="0.3">
      <c r="A505" t="s">
        <v>73</v>
      </c>
      <c r="B505" t="str">
        <f>"002032"</f>
        <v>002032</v>
      </c>
      <c r="C505" t="s">
        <v>1185</v>
      </c>
      <c r="D505" t="s">
        <v>1186</v>
      </c>
      <c r="E505">
        <v>2365987900</v>
      </c>
      <c r="F505">
        <v>2091283322</v>
      </c>
      <c r="G505">
        <v>1298757278</v>
      </c>
      <c r="H505">
        <v>1719153595</v>
      </c>
      <c r="I505">
        <v>1406651267</v>
      </c>
      <c r="J505">
        <v>1157053549</v>
      </c>
      <c r="K505">
        <v>1163171117</v>
      </c>
      <c r="L505">
        <v>1192307774</v>
      </c>
      <c r="M505">
        <v>759687634</v>
      </c>
      <c r="N505">
        <v>677684868</v>
      </c>
      <c r="O505">
        <v>689174658</v>
      </c>
      <c r="P505">
        <v>52892</v>
      </c>
      <c r="Q505" t="s">
        <v>1187</v>
      </c>
    </row>
    <row r="506" spans="1:17" x14ac:dyDescent="0.3">
      <c r="A506" t="s">
        <v>17</v>
      </c>
      <c r="B506" t="str">
        <f>"600637"</f>
        <v>600637</v>
      </c>
      <c r="C506" t="s">
        <v>1188</v>
      </c>
      <c r="D506" t="s">
        <v>1040</v>
      </c>
      <c r="E506">
        <v>2365472307</v>
      </c>
      <c r="F506">
        <v>2195919293</v>
      </c>
      <c r="G506">
        <v>2596372300</v>
      </c>
      <c r="H506">
        <v>2145443639</v>
      </c>
      <c r="I506">
        <v>2155090450</v>
      </c>
      <c r="J506">
        <v>3531397814</v>
      </c>
      <c r="K506">
        <v>2858313385</v>
      </c>
      <c r="L506">
        <v>1324458457</v>
      </c>
      <c r="M506">
        <v>933025012</v>
      </c>
      <c r="N506">
        <v>397209062</v>
      </c>
      <c r="O506">
        <v>261728831</v>
      </c>
      <c r="P506">
        <v>442</v>
      </c>
      <c r="Q506" t="s">
        <v>1189</v>
      </c>
    </row>
    <row r="507" spans="1:17" x14ac:dyDescent="0.3">
      <c r="A507" t="s">
        <v>73</v>
      </c>
      <c r="B507" t="str">
        <f>"000010"</f>
        <v>000010</v>
      </c>
      <c r="C507" t="s">
        <v>1190</v>
      </c>
      <c r="D507" t="s">
        <v>445</v>
      </c>
      <c r="E507">
        <v>2364779657</v>
      </c>
      <c r="F507">
        <v>1796234382</v>
      </c>
      <c r="G507">
        <v>1471285051</v>
      </c>
      <c r="H507">
        <v>792158774</v>
      </c>
      <c r="I507">
        <v>326164485</v>
      </c>
      <c r="J507">
        <v>270991896</v>
      </c>
      <c r="K507">
        <v>416809360</v>
      </c>
      <c r="L507">
        <v>74537986</v>
      </c>
      <c r="M507">
        <v>60915929</v>
      </c>
      <c r="N507">
        <v>75910659</v>
      </c>
      <c r="O507">
        <v>67635782</v>
      </c>
      <c r="P507">
        <v>93</v>
      </c>
      <c r="Q507" t="s">
        <v>1191</v>
      </c>
    </row>
    <row r="508" spans="1:17" x14ac:dyDescent="0.3">
      <c r="A508" t="s">
        <v>17</v>
      </c>
      <c r="B508" t="str">
        <f>"600348"</f>
        <v>600348</v>
      </c>
      <c r="C508" t="s">
        <v>1192</v>
      </c>
      <c r="D508" t="s">
        <v>492</v>
      </c>
      <c r="E508">
        <v>2362042912</v>
      </c>
      <c r="F508">
        <v>3560164458</v>
      </c>
      <c r="G508">
        <v>3420963947</v>
      </c>
      <c r="H508">
        <v>3211781869</v>
      </c>
      <c r="I508">
        <v>3156031744</v>
      </c>
      <c r="J508">
        <v>4301241433</v>
      </c>
      <c r="K508">
        <v>5043707841</v>
      </c>
      <c r="L508">
        <v>4130152557</v>
      </c>
      <c r="M508">
        <v>3131834533</v>
      </c>
      <c r="N508">
        <v>3514760017</v>
      </c>
      <c r="O508">
        <v>3904259764</v>
      </c>
      <c r="P508">
        <v>1285</v>
      </c>
      <c r="Q508" t="s">
        <v>1193</v>
      </c>
    </row>
    <row r="509" spans="1:17" x14ac:dyDescent="0.3">
      <c r="A509" t="s">
        <v>17</v>
      </c>
      <c r="B509" t="str">
        <f>"603019"</f>
        <v>603019</v>
      </c>
      <c r="C509" t="s">
        <v>1194</v>
      </c>
      <c r="D509" t="s">
        <v>158</v>
      </c>
      <c r="E509">
        <v>2359799359</v>
      </c>
      <c r="F509">
        <v>2913477810</v>
      </c>
      <c r="G509">
        <v>1921623287</v>
      </c>
      <c r="H509">
        <v>2129843903</v>
      </c>
      <c r="I509">
        <v>1894950044</v>
      </c>
      <c r="J509">
        <v>1230791477</v>
      </c>
      <c r="K509">
        <v>1055932945</v>
      </c>
      <c r="L509">
        <v>403638759</v>
      </c>
      <c r="M509">
        <v>0</v>
      </c>
      <c r="P509">
        <v>1206</v>
      </c>
      <c r="Q509" t="s">
        <v>1195</v>
      </c>
    </row>
    <row r="510" spans="1:17" x14ac:dyDescent="0.3">
      <c r="A510" t="s">
        <v>17</v>
      </c>
      <c r="B510" t="str">
        <f>"600556"</f>
        <v>600556</v>
      </c>
      <c r="C510" t="s">
        <v>1196</v>
      </c>
      <c r="D510" t="s">
        <v>425</v>
      </c>
      <c r="E510">
        <v>2359228359</v>
      </c>
      <c r="F510">
        <v>1526348606</v>
      </c>
      <c r="G510">
        <v>853895394</v>
      </c>
      <c r="H510">
        <v>30124728</v>
      </c>
      <c r="I510">
        <v>37262283</v>
      </c>
      <c r="J510">
        <v>16853586</v>
      </c>
      <c r="K510">
        <v>31145759</v>
      </c>
      <c r="L510">
        <v>23673986</v>
      </c>
      <c r="M510">
        <v>9209412</v>
      </c>
      <c r="N510">
        <v>4494391</v>
      </c>
      <c r="O510">
        <v>0</v>
      </c>
      <c r="P510">
        <v>218</v>
      </c>
      <c r="Q510" t="s">
        <v>1197</v>
      </c>
    </row>
    <row r="511" spans="1:17" x14ac:dyDescent="0.3">
      <c r="A511" t="s">
        <v>17</v>
      </c>
      <c r="B511" t="str">
        <f>"601200"</f>
        <v>601200</v>
      </c>
      <c r="C511" t="s">
        <v>1198</v>
      </c>
      <c r="D511" t="s">
        <v>623</v>
      </c>
      <c r="E511">
        <v>2358136568</v>
      </c>
      <c r="F511">
        <v>1841820791</v>
      </c>
      <c r="G511">
        <v>1141595246</v>
      </c>
      <c r="H511">
        <v>836003037</v>
      </c>
      <c r="I511">
        <v>680026654</v>
      </c>
      <c r="J511">
        <v>500718382</v>
      </c>
      <c r="K511">
        <v>0</v>
      </c>
      <c r="P511">
        <v>326</v>
      </c>
      <c r="Q511" t="s">
        <v>1199</v>
      </c>
    </row>
    <row r="512" spans="1:17" x14ac:dyDescent="0.3">
      <c r="A512" t="s">
        <v>73</v>
      </c>
      <c r="B512" t="str">
        <f>"000415"</f>
        <v>000415</v>
      </c>
      <c r="C512" t="s">
        <v>1200</v>
      </c>
      <c r="D512" t="s">
        <v>1201</v>
      </c>
      <c r="E512">
        <v>2355477000</v>
      </c>
      <c r="F512">
        <v>4069228000</v>
      </c>
      <c r="G512">
        <v>4107118000</v>
      </c>
      <c r="H512">
        <v>2928223000</v>
      </c>
      <c r="I512">
        <v>2148563000</v>
      </c>
      <c r="J512">
        <v>1470903000</v>
      </c>
      <c r="K512">
        <v>1230460000</v>
      </c>
      <c r="L512">
        <v>979954000</v>
      </c>
      <c r="M512">
        <v>648217000</v>
      </c>
      <c r="N512">
        <v>197197608</v>
      </c>
      <c r="O512">
        <v>67107950</v>
      </c>
      <c r="P512">
        <v>256</v>
      </c>
      <c r="Q512" t="s">
        <v>1202</v>
      </c>
    </row>
    <row r="513" spans="1:17" x14ac:dyDescent="0.3">
      <c r="A513" t="s">
        <v>73</v>
      </c>
      <c r="B513" t="str">
        <f>"000671"</f>
        <v>000671</v>
      </c>
      <c r="C513" t="s">
        <v>1203</v>
      </c>
      <c r="D513" t="s">
        <v>27</v>
      </c>
      <c r="E513">
        <v>2354999377</v>
      </c>
      <c r="F513">
        <v>1341285047</v>
      </c>
      <c r="G513">
        <v>795800709</v>
      </c>
      <c r="H513">
        <v>817110902</v>
      </c>
      <c r="I513">
        <v>449992137</v>
      </c>
      <c r="J513">
        <v>505406293</v>
      </c>
      <c r="K513">
        <v>505455691</v>
      </c>
      <c r="L513">
        <v>342881438</v>
      </c>
      <c r="M513">
        <v>439786884</v>
      </c>
      <c r="N513">
        <v>88514590</v>
      </c>
      <c r="O513">
        <v>196620764</v>
      </c>
      <c r="P513">
        <v>1192</v>
      </c>
      <c r="Q513" t="s">
        <v>1204</v>
      </c>
    </row>
    <row r="514" spans="1:17" x14ac:dyDescent="0.3">
      <c r="A514" t="s">
        <v>73</v>
      </c>
      <c r="B514" t="str">
        <f>"002416"</f>
        <v>002416</v>
      </c>
      <c r="C514" t="s">
        <v>1205</v>
      </c>
      <c r="D514" t="s">
        <v>1206</v>
      </c>
      <c r="E514">
        <v>2348280467</v>
      </c>
      <c r="F514">
        <v>1596481991</v>
      </c>
      <c r="G514">
        <v>1784194294</v>
      </c>
      <c r="H514">
        <v>1199038241</v>
      </c>
      <c r="I514">
        <v>1831246194</v>
      </c>
      <c r="J514">
        <v>991012504</v>
      </c>
      <c r="K514">
        <v>1245129054</v>
      </c>
      <c r="L514">
        <v>972320039</v>
      </c>
      <c r="M514">
        <v>1878723369</v>
      </c>
      <c r="N514">
        <v>859943050</v>
      </c>
      <c r="O514">
        <v>1276324828</v>
      </c>
      <c r="P514">
        <v>251</v>
      </c>
      <c r="Q514" t="s">
        <v>1207</v>
      </c>
    </row>
    <row r="515" spans="1:17" x14ac:dyDescent="0.3">
      <c r="A515" t="s">
        <v>73</v>
      </c>
      <c r="B515" t="str">
        <f>"001914"</f>
        <v>001914</v>
      </c>
      <c r="C515" t="s">
        <v>1208</v>
      </c>
      <c r="D515" t="s">
        <v>1209</v>
      </c>
      <c r="E515">
        <v>2343680017</v>
      </c>
      <c r="F515">
        <v>1743976186</v>
      </c>
      <c r="G515">
        <v>1588064973</v>
      </c>
      <c r="H515">
        <v>973530806</v>
      </c>
      <c r="I515">
        <v>746380764</v>
      </c>
      <c r="J515">
        <v>585338975</v>
      </c>
      <c r="K515">
        <v>532353621</v>
      </c>
      <c r="L515">
        <v>439325516</v>
      </c>
      <c r="M515">
        <v>461321220</v>
      </c>
      <c r="N515">
        <v>346228268</v>
      </c>
      <c r="O515">
        <v>303439205</v>
      </c>
      <c r="P515">
        <v>264</v>
      </c>
      <c r="Q515" t="s">
        <v>1210</v>
      </c>
    </row>
    <row r="516" spans="1:17" x14ac:dyDescent="0.3">
      <c r="A516" t="s">
        <v>73</v>
      </c>
      <c r="B516" t="str">
        <f>"300197"</f>
        <v>300197</v>
      </c>
      <c r="C516" t="s">
        <v>1211</v>
      </c>
      <c r="D516" t="s">
        <v>445</v>
      </c>
      <c r="E516">
        <v>2339712682</v>
      </c>
      <c r="F516">
        <v>2142228381</v>
      </c>
      <c r="G516">
        <v>1289604727</v>
      </c>
      <c r="H516">
        <v>843201022</v>
      </c>
      <c r="I516">
        <v>820317929</v>
      </c>
      <c r="J516">
        <v>506877018</v>
      </c>
      <c r="K516">
        <v>278000981</v>
      </c>
      <c r="L516">
        <v>160610749</v>
      </c>
      <c r="M516">
        <v>83219395</v>
      </c>
      <c r="N516">
        <v>48000771</v>
      </c>
      <c r="O516">
        <v>45368132</v>
      </c>
      <c r="P516">
        <v>356</v>
      </c>
      <c r="Q516" t="s">
        <v>1212</v>
      </c>
    </row>
    <row r="517" spans="1:17" x14ac:dyDescent="0.3">
      <c r="A517" t="s">
        <v>73</v>
      </c>
      <c r="B517" t="str">
        <f>"300297"</f>
        <v>300297</v>
      </c>
      <c r="C517" t="s">
        <v>1213</v>
      </c>
      <c r="D517" t="s">
        <v>302</v>
      </c>
      <c r="E517">
        <v>2338848671</v>
      </c>
      <c r="F517">
        <v>3044544409</v>
      </c>
      <c r="G517">
        <v>3331101021</v>
      </c>
      <c r="H517">
        <v>2988519685</v>
      </c>
      <c r="I517">
        <v>2123744958</v>
      </c>
      <c r="J517">
        <v>1460261761</v>
      </c>
      <c r="K517">
        <v>717276605</v>
      </c>
      <c r="L517">
        <v>364436855</v>
      </c>
      <c r="M517">
        <v>251061770</v>
      </c>
      <c r="N517">
        <v>224493535</v>
      </c>
      <c r="O517">
        <v>133328730</v>
      </c>
      <c r="P517">
        <v>342</v>
      </c>
      <c r="Q517" t="s">
        <v>1214</v>
      </c>
    </row>
    <row r="518" spans="1:17" x14ac:dyDescent="0.3">
      <c r="A518" t="s">
        <v>73</v>
      </c>
      <c r="B518" t="str">
        <f>"000070"</f>
        <v>000070</v>
      </c>
      <c r="C518" t="s">
        <v>1215</v>
      </c>
      <c r="D518" t="s">
        <v>208</v>
      </c>
      <c r="E518">
        <v>2332704264</v>
      </c>
      <c r="F518">
        <v>2340614244</v>
      </c>
      <c r="G518">
        <v>2417247521</v>
      </c>
      <c r="H518">
        <v>2412421979</v>
      </c>
      <c r="I518">
        <v>2018858856</v>
      </c>
      <c r="J518">
        <v>1608036585</v>
      </c>
      <c r="K518">
        <v>1334856813</v>
      </c>
      <c r="L518">
        <v>776247375</v>
      </c>
      <c r="M518">
        <v>546860662</v>
      </c>
      <c r="N518">
        <v>415619395</v>
      </c>
      <c r="O518">
        <v>434679708</v>
      </c>
      <c r="P518">
        <v>334</v>
      </c>
      <c r="Q518" t="s">
        <v>1216</v>
      </c>
    </row>
    <row r="519" spans="1:17" x14ac:dyDescent="0.3">
      <c r="A519" t="s">
        <v>17</v>
      </c>
      <c r="B519" t="str">
        <f>"603876"</f>
        <v>603876</v>
      </c>
      <c r="C519" t="s">
        <v>1217</v>
      </c>
      <c r="D519" t="s">
        <v>616</v>
      </c>
      <c r="E519">
        <v>2329934685</v>
      </c>
      <c r="F519">
        <v>1915486788</v>
      </c>
      <c r="G519">
        <v>1837633247</v>
      </c>
      <c r="H519">
        <v>1649715665</v>
      </c>
      <c r="I519">
        <v>1426131086</v>
      </c>
      <c r="P519">
        <v>143</v>
      </c>
      <c r="Q519" t="s">
        <v>1218</v>
      </c>
    </row>
    <row r="520" spans="1:17" x14ac:dyDescent="0.3">
      <c r="A520" t="s">
        <v>73</v>
      </c>
      <c r="B520" t="str">
        <f>"002249"</f>
        <v>002249</v>
      </c>
      <c r="C520" t="s">
        <v>1219</v>
      </c>
      <c r="D520" t="s">
        <v>689</v>
      </c>
      <c r="E520">
        <v>2326622411</v>
      </c>
      <c r="F520">
        <v>2269818335</v>
      </c>
      <c r="G520">
        <v>1801529673</v>
      </c>
      <c r="H520">
        <v>3229824670</v>
      </c>
      <c r="I520">
        <v>2434604987</v>
      </c>
      <c r="J520">
        <v>2026692077</v>
      </c>
      <c r="K520">
        <v>1349759891</v>
      </c>
      <c r="L520">
        <v>939590944</v>
      </c>
      <c r="M520">
        <v>906693178</v>
      </c>
      <c r="N520">
        <v>571217894</v>
      </c>
      <c r="O520">
        <v>459604254</v>
      </c>
      <c r="P520">
        <v>338</v>
      </c>
      <c r="Q520" t="s">
        <v>1220</v>
      </c>
    </row>
    <row r="521" spans="1:17" x14ac:dyDescent="0.3">
      <c r="A521" t="s">
        <v>17</v>
      </c>
      <c r="B521" t="str">
        <f>"600562"</f>
        <v>600562</v>
      </c>
      <c r="C521" t="s">
        <v>1221</v>
      </c>
      <c r="D521" t="s">
        <v>502</v>
      </c>
      <c r="E521">
        <v>2325030395</v>
      </c>
      <c r="F521">
        <v>3258925319</v>
      </c>
      <c r="G521">
        <v>669957459</v>
      </c>
      <c r="H521">
        <v>537021080</v>
      </c>
      <c r="I521">
        <v>529505312</v>
      </c>
      <c r="J521">
        <v>500093030</v>
      </c>
      <c r="K521">
        <v>527220119</v>
      </c>
      <c r="L521">
        <v>329418485</v>
      </c>
      <c r="M521">
        <v>288611414</v>
      </c>
      <c r="N521">
        <v>53477629</v>
      </c>
      <c r="O521">
        <v>44381157</v>
      </c>
      <c r="P521">
        <v>283</v>
      </c>
      <c r="Q521" t="s">
        <v>1222</v>
      </c>
    </row>
    <row r="522" spans="1:17" x14ac:dyDescent="0.3">
      <c r="A522" t="s">
        <v>73</v>
      </c>
      <c r="B522" t="str">
        <f>"000597"</f>
        <v>000597</v>
      </c>
      <c r="C522" t="s">
        <v>1223</v>
      </c>
      <c r="D522" t="s">
        <v>348</v>
      </c>
      <c r="E522">
        <v>2323820317</v>
      </c>
      <c r="F522">
        <v>1996480267</v>
      </c>
      <c r="G522">
        <v>2026626648</v>
      </c>
      <c r="H522">
        <v>2186818057</v>
      </c>
      <c r="I522">
        <v>2002621360</v>
      </c>
      <c r="J522">
        <v>1247252408</v>
      </c>
      <c r="K522">
        <v>1010276124</v>
      </c>
      <c r="L522">
        <v>947518736</v>
      </c>
      <c r="M522">
        <v>750625091</v>
      </c>
      <c r="N522">
        <v>617552499</v>
      </c>
      <c r="O522">
        <v>654275270</v>
      </c>
      <c r="P522">
        <v>131</v>
      </c>
      <c r="Q522" t="s">
        <v>1224</v>
      </c>
    </row>
    <row r="523" spans="1:17" x14ac:dyDescent="0.3">
      <c r="A523" t="s">
        <v>17</v>
      </c>
      <c r="B523" t="str">
        <f>"600375"</f>
        <v>600375</v>
      </c>
      <c r="C523" t="s">
        <v>1225</v>
      </c>
      <c r="D523" t="s">
        <v>75</v>
      </c>
      <c r="E523">
        <v>2323230436</v>
      </c>
      <c r="F523">
        <v>2758287080</v>
      </c>
      <c r="G523">
        <v>2484938828</v>
      </c>
      <c r="H523">
        <v>3083808071</v>
      </c>
      <c r="I523">
        <v>2358872183</v>
      </c>
      <c r="J523">
        <v>1935823903</v>
      </c>
      <c r="K523">
        <v>1227295683</v>
      </c>
      <c r="L523">
        <v>1481326097</v>
      </c>
      <c r="M523">
        <v>1472268059</v>
      </c>
      <c r="N523">
        <v>1110760875</v>
      </c>
      <c r="O523">
        <v>700854659</v>
      </c>
      <c r="P523">
        <v>87</v>
      </c>
      <c r="Q523" t="s">
        <v>1226</v>
      </c>
    </row>
    <row r="524" spans="1:17" x14ac:dyDescent="0.3">
      <c r="A524" t="s">
        <v>17</v>
      </c>
      <c r="B524" t="str">
        <f>"600585"</f>
        <v>600585</v>
      </c>
      <c r="C524" t="s">
        <v>1227</v>
      </c>
      <c r="D524" t="s">
        <v>90</v>
      </c>
      <c r="E524">
        <v>2306253099</v>
      </c>
      <c r="F524">
        <v>1019615722</v>
      </c>
      <c r="G524">
        <v>1158266110</v>
      </c>
      <c r="H524">
        <v>1171010680</v>
      </c>
      <c r="I524">
        <v>1028577614</v>
      </c>
      <c r="J524">
        <v>520734322</v>
      </c>
      <c r="K524">
        <v>528457521</v>
      </c>
      <c r="L524">
        <v>375108881</v>
      </c>
      <c r="M524">
        <v>389158789</v>
      </c>
      <c r="N524">
        <v>189620375</v>
      </c>
      <c r="O524">
        <v>257232208</v>
      </c>
      <c r="P524">
        <v>8410</v>
      </c>
      <c r="Q524" t="s">
        <v>1228</v>
      </c>
    </row>
    <row r="525" spans="1:17" x14ac:dyDescent="0.3">
      <c r="A525" t="s">
        <v>73</v>
      </c>
      <c r="B525" t="str">
        <f>"000543"</f>
        <v>000543</v>
      </c>
      <c r="C525" t="s">
        <v>1229</v>
      </c>
      <c r="D525" t="s">
        <v>71</v>
      </c>
      <c r="E525">
        <v>2296923270</v>
      </c>
      <c r="F525">
        <v>1502232018</v>
      </c>
      <c r="G525">
        <v>1445078853</v>
      </c>
      <c r="H525">
        <v>1482445335</v>
      </c>
      <c r="I525">
        <v>1144540682</v>
      </c>
      <c r="J525">
        <v>1180407035</v>
      </c>
      <c r="K525">
        <v>1016516838</v>
      </c>
      <c r="L525">
        <v>1330379217</v>
      </c>
      <c r="M525">
        <v>1253963639</v>
      </c>
      <c r="N525">
        <v>790714749</v>
      </c>
      <c r="O525">
        <v>593029480</v>
      </c>
      <c r="P525">
        <v>322</v>
      </c>
      <c r="Q525" t="s">
        <v>1230</v>
      </c>
    </row>
    <row r="526" spans="1:17" x14ac:dyDescent="0.3">
      <c r="A526" t="s">
        <v>73</v>
      </c>
      <c r="B526" t="str">
        <f>"000555"</f>
        <v>000555</v>
      </c>
      <c r="C526" t="s">
        <v>1231</v>
      </c>
      <c r="D526" t="s">
        <v>302</v>
      </c>
      <c r="E526">
        <v>2294466635</v>
      </c>
      <c r="F526">
        <v>2009699081</v>
      </c>
      <c r="G526">
        <v>2754720438</v>
      </c>
      <c r="H526">
        <v>3573201842</v>
      </c>
      <c r="I526">
        <v>3389800037</v>
      </c>
      <c r="J526">
        <v>2885114475</v>
      </c>
      <c r="K526">
        <v>2902928393</v>
      </c>
      <c r="L526">
        <v>2232096475</v>
      </c>
      <c r="M526">
        <v>2534174574</v>
      </c>
      <c r="N526">
        <v>0</v>
      </c>
      <c r="O526">
        <v>0</v>
      </c>
      <c r="P526">
        <v>374</v>
      </c>
      <c r="Q526" t="s">
        <v>1232</v>
      </c>
    </row>
    <row r="527" spans="1:17" x14ac:dyDescent="0.3">
      <c r="A527" t="s">
        <v>73</v>
      </c>
      <c r="B527" t="str">
        <f>"002586"</f>
        <v>002586</v>
      </c>
      <c r="C527" t="s">
        <v>1233</v>
      </c>
      <c r="D527" t="s">
        <v>22</v>
      </c>
      <c r="E527">
        <v>2293061875</v>
      </c>
      <c r="F527">
        <v>1295619192</v>
      </c>
      <c r="G527">
        <v>2003995123</v>
      </c>
      <c r="H527">
        <v>1762704840</v>
      </c>
      <c r="I527">
        <v>1040649693</v>
      </c>
      <c r="J527">
        <v>829926650</v>
      </c>
      <c r="K527">
        <v>733524156</v>
      </c>
      <c r="L527">
        <v>666950817</v>
      </c>
      <c r="M527">
        <v>695731251</v>
      </c>
      <c r="N527">
        <v>568502203</v>
      </c>
      <c r="O527">
        <v>486800879</v>
      </c>
      <c r="P527">
        <v>62</v>
      </c>
      <c r="Q527" t="s">
        <v>1234</v>
      </c>
    </row>
    <row r="528" spans="1:17" x14ac:dyDescent="0.3">
      <c r="A528" t="s">
        <v>17</v>
      </c>
      <c r="B528" t="str">
        <f>"600316"</f>
        <v>600316</v>
      </c>
      <c r="C528" t="s">
        <v>1235</v>
      </c>
      <c r="D528" t="s">
        <v>130</v>
      </c>
      <c r="E528">
        <v>2283448054</v>
      </c>
      <c r="F528">
        <v>624932242</v>
      </c>
      <c r="G528">
        <v>2206234160</v>
      </c>
      <c r="H528">
        <v>273909986</v>
      </c>
      <c r="I528">
        <v>1635106692</v>
      </c>
      <c r="J528">
        <v>1197009833</v>
      </c>
      <c r="K528">
        <v>1304933606</v>
      </c>
      <c r="L528">
        <v>1766377117</v>
      </c>
      <c r="M528">
        <v>1165570157</v>
      </c>
      <c r="N528">
        <v>735141289</v>
      </c>
      <c r="O528">
        <v>571356153</v>
      </c>
      <c r="P528">
        <v>387</v>
      </c>
      <c r="Q528" t="s">
        <v>1236</v>
      </c>
    </row>
    <row r="529" spans="1:17" x14ac:dyDescent="0.3">
      <c r="A529" t="s">
        <v>17</v>
      </c>
      <c r="B529" t="str">
        <f>"600812"</f>
        <v>600812</v>
      </c>
      <c r="C529" t="s">
        <v>1237</v>
      </c>
      <c r="D529" t="s">
        <v>348</v>
      </c>
      <c r="E529">
        <v>2282587987</v>
      </c>
      <c r="F529">
        <v>2158556366</v>
      </c>
      <c r="G529">
        <v>1558156873</v>
      </c>
      <c r="H529">
        <v>1288741820</v>
      </c>
      <c r="I529">
        <v>1422229082</v>
      </c>
      <c r="J529">
        <v>1468500157</v>
      </c>
      <c r="K529">
        <v>1452322298</v>
      </c>
      <c r="L529">
        <v>1420083654</v>
      </c>
      <c r="M529">
        <v>1843795787</v>
      </c>
      <c r="N529">
        <v>1266459083</v>
      </c>
      <c r="O529">
        <v>1377604859</v>
      </c>
      <c r="P529">
        <v>226</v>
      </c>
      <c r="Q529" t="s">
        <v>1238</v>
      </c>
    </row>
    <row r="530" spans="1:17" x14ac:dyDescent="0.3">
      <c r="A530" t="s">
        <v>17</v>
      </c>
      <c r="B530" t="str">
        <f>"600459"</f>
        <v>600459</v>
      </c>
      <c r="C530" t="s">
        <v>1239</v>
      </c>
      <c r="D530" t="s">
        <v>1240</v>
      </c>
      <c r="E530">
        <v>2278837189</v>
      </c>
      <c r="F530">
        <v>2031204844</v>
      </c>
      <c r="G530">
        <v>1113881953</v>
      </c>
      <c r="H530">
        <v>1425138979</v>
      </c>
      <c r="I530">
        <v>902412775</v>
      </c>
      <c r="J530">
        <v>588383220</v>
      </c>
      <c r="K530">
        <v>823621734</v>
      </c>
      <c r="L530">
        <v>486039465</v>
      </c>
      <c r="M530">
        <v>467999939</v>
      </c>
      <c r="N530">
        <v>360670919</v>
      </c>
      <c r="O530">
        <v>366402192</v>
      </c>
      <c r="P530">
        <v>308</v>
      </c>
      <c r="Q530" t="s">
        <v>1241</v>
      </c>
    </row>
    <row r="531" spans="1:17" x14ac:dyDescent="0.3">
      <c r="A531" t="s">
        <v>17</v>
      </c>
      <c r="B531" t="str">
        <f>"600278"</f>
        <v>600278</v>
      </c>
      <c r="C531" t="s">
        <v>1242</v>
      </c>
      <c r="D531" t="s">
        <v>299</v>
      </c>
      <c r="E531">
        <v>2276318590</v>
      </c>
      <c r="F531">
        <v>1946034642</v>
      </c>
      <c r="G531">
        <v>921738017</v>
      </c>
      <c r="H531">
        <v>968857728</v>
      </c>
      <c r="I531">
        <v>896538970</v>
      </c>
      <c r="J531">
        <v>920010608</v>
      </c>
      <c r="K531">
        <v>767039452</v>
      </c>
      <c r="L531">
        <v>680834865</v>
      </c>
      <c r="M531">
        <v>698988704</v>
      </c>
      <c r="N531">
        <v>704779819</v>
      </c>
      <c r="O531">
        <v>711292152</v>
      </c>
      <c r="P531">
        <v>90</v>
      </c>
      <c r="Q531" t="s">
        <v>1243</v>
      </c>
    </row>
    <row r="532" spans="1:17" x14ac:dyDescent="0.3">
      <c r="A532" t="s">
        <v>17</v>
      </c>
      <c r="B532" t="str">
        <f>"600862"</f>
        <v>600862</v>
      </c>
      <c r="C532" t="s">
        <v>1244</v>
      </c>
      <c r="D532" t="s">
        <v>130</v>
      </c>
      <c r="E532">
        <v>2269949374</v>
      </c>
      <c r="F532">
        <v>1617956454</v>
      </c>
      <c r="G532">
        <v>1291018586</v>
      </c>
      <c r="H532">
        <v>1128326458</v>
      </c>
      <c r="I532">
        <v>984576270</v>
      </c>
      <c r="J532">
        <v>936217910</v>
      </c>
      <c r="K532">
        <v>1158481013</v>
      </c>
      <c r="L532">
        <v>169264141</v>
      </c>
      <c r="M532">
        <v>178643104</v>
      </c>
      <c r="N532">
        <v>160411298</v>
      </c>
      <c r="O532">
        <v>137838400</v>
      </c>
      <c r="P532">
        <v>457</v>
      </c>
      <c r="Q532" t="s">
        <v>1245</v>
      </c>
    </row>
    <row r="533" spans="1:17" x14ac:dyDescent="0.3">
      <c r="A533" t="s">
        <v>17</v>
      </c>
      <c r="B533" t="str">
        <f>"600728"</f>
        <v>600728</v>
      </c>
      <c r="C533" t="s">
        <v>1246</v>
      </c>
      <c r="D533" t="s">
        <v>302</v>
      </c>
      <c r="E533">
        <v>2269215062</v>
      </c>
      <c r="F533">
        <v>2262573130</v>
      </c>
      <c r="G533">
        <v>2435422679</v>
      </c>
      <c r="H533">
        <v>2126793967</v>
      </c>
      <c r="I533">
        <v>926549551</v>
      </c>
      <c r="J533">
        <v>771853460</v>
      </c>
      <c r="K533">
        <v>665735539</v>
      </c>
      <c r="L533">
        <v>638218038</v>
      </c>
      <c r="M533">
        <v>462303839</v>
      </c>
      <c r="N533">
        <v>289719935</v>
      </c>
      <c r="O533">
        <v>181190890</v>
      </c>
      <c r="P533">
        <v>345</v>
      </c>
      <c r="Q533" t="s">
        <v>1247</v>
      </c>
    </row>
    <row r="534" spans="1:17" x14ac:dyDescent="0.3">
      <c r="A534" t="s">
        <v>73</v>
      </c>
      <c r="B534" t="str">
        <f>"000680"</f>
        <v>000680</v>
      </c>
      <c r="C534" t="s">
        <v>1248</v>
      </c>
      <c r="D534" t="s">
        <v>75</v>
      </c>
      <c r="E534">
        <v>2265989515</v>
      </c>
      <c r="F534">
        <v>2058566802</v>
      </c>
      <c r="G534">
        <v>1926508741</v>
      </c>
      <c r="H534">
        <v>2108469117</v>
      </c>
      <c r="I534">
        <v>2132770153</v>
      </c>
      <c r="J534">
        <v>1954908621</v>
      </c>
      <c r="K534">
        <v>2197798086</v>
      </c>
      <c r="L534">
        <v>2150135498</v>
      </c>
      <c r="M534">
        <v>2622589825</v>
      </c>
      <c r="N534">
        <v>3253310952</v>
      </c>
      <c r="O534">
        <v>2255839468</v>
      </c>
      <c r="P534">
        <v>120</v>
      </c>
      <c r="Q534" t="s">
        <v>1249</v>
      </c>
    </row>
    <row r="535" spans="1:17" x14ac:dyDescent="0.3">
      <c r="A535" t="s">
        <v>17</v>
      </c>
      <c r="B535" t="str">
        <f>"601156"</f>
        <v>601156</v>
      </c>
      <c r="C535" t="s">
        <v>1250</v>
      </c>
      <c r="D535" t="s">
        <v>174</v>
      </c>
      <c r="E535">
        <v>2263226292</v>
      </c>
      <c r="F535">
        <v>1785458737</v>
      </c>
      <c r="P535">
        <v>104</v>
      </c>
      <c r="Q535" t="s">
        <v>1251</v>
      </c>
    </row>
    <row r="536" spans="1:17" x14ac:dyDescent="0.3">
      <c r="A536" t="s">
        <v>73</v>
      </c>
      <c r="B536" t="str">
        <f>"201872"</f>
        <v>201872</v>
      </c>
      <c r="C536" t="s">
        <v>1252</v>
      </c>
      <c r="E536">
        <v>2262328195.7800002</v>
      </c>
      <c r="F536">
        <v>2019217545.6229999</v>
      </c>
      <c r="G536">
        <v>1809805439.2149</v>
      </c>
      <c r="H536">
        <v>1918327106.5056</v>
      </c>
      <c r="I536">
        <v>406278048.741</v>
      </c>
      <c r="J536">
        <v>241043384.54840001</v>
      </c>
      <c r="K536">
        <v>318809919.65899998</v>
      </c>
      <c r="L536">
        <v>265119155</v>
      </c>
      <c r="M536">
        <v>269620618.296</v>
      </c>
      <c r="N536">
        <v>357993061.94400001</v>
      </c>
      <c r="O536">
        <v>295488472.19400001</v>
      </c>
      <c r="P536">
        <v>90</v>
      </c>
      <c r="Q536" t="s">
        <v>1253</v>
      </c>
    </row>
    <row r="537" spans="1:17" x14ac:dyDescent="0.3">
      <c r="A537" t="s">
        <v>73</v>
      </c>
      <c r="B537" t="str">
        <f>"002044"</f>
        <v>002044</v>
      </c>
      <c r="C537" t="s">
        <v>1254</v>
      </c>
      <c r="D537" t="s">
        <v>1255</v>
      </c>
      <c r="E537">
        <v>2259959338</v>
      </c>
      <c r="F537">
        <v>2498290680</v>
      </c>
      <c r="G537">
        <v>2394114273</v>
      </c>
      <c r="H537">
        <v>1990346458</v>
      </c>
      <c r="I537">
        <v>1238611108</v>
      </c>
      <c r="J537">
        <v>732981659</v>
      </c>
      <c r="K537">
        <v>463132653</v>
      </c>
      <c r="L537">
        <v>24986177</v>
      </c>
      <c r="M537">
        <v>27083271</v>
      </c>
      <c r="N537">
        <v>62904796</v>
      </c>
      <c r="O537">
        <v>68675602</v>
      </c>
      <c r="P537">
        <v>1237</v>
      </c>
      <c r="Q537" t="s">
        <v>1256</v>
      </c>
    </row>
    <row r="538" spans="1:17" x14ac:dyDescent="0.3">
      <c r="A538" t="s">
        <v>17</v>
      </c>
      <c r="B538" t="str">
        <f>"600617"</f>
        <v>600617</v>
      </c>
      <c r="C538" t="s">
        <v>1257</v>
      </c>
      <c r="D538" t="s">
        <v>469</v>
      </c>
      <c r="E538">
        <v>2252666790</v>
      </c>
      <c r="F538">
        <v>1649191157</v>
      </c>
      <c r="G538">
        <v>2154735880</v>
      </c>
      <c r="H538">
        <v>1576418234</v>
      </c>
      <c r="I538">
        <v>927640733</v>
      </c>
      <c r="J538">
        <v>725523395</v>
      </c>
      <c r="K538">
        <v>777801662</v>
      </c>
      <c r="L538">
        <v>484370734</v>
      </c>
      <c r="M538">
        <v>398925063</v>
      </c>
      <c r="N538">
        <v>0</v>
      </c>
      <c r="O538">
        <v>0</v>
      </c>
      <c r="P538">
        <v>104</v>
      </c>
      <c r="Q538" t="s">
        <v>1258</v>
      </c>
    </row>
    <row r="539" spans="1:17" x14ac:dyDescent="0.3">
      <c r="A539" t="s">
        <v>73</v>
      </c>
      <c r="B539" t="str">
        <f>"002721"</f>
        <v>002721</v>
      </c>
      <c r="C539" t="s">
        <v>1259</v>
      </c>
      <c r="D539" t="s">
        <v>1260</v>
      </c>
      <c r="E539">
        <v>2251506784</v>
      </c>
      <c r="F539">
        <v>3395038720</v>
      </c>
      <c r="G539">
        <v>3827487890</v>
      </c>
      <c r="H539">
        <v>4809494622</v>
      </c>
      <c r="I539">
        <v>5587554026</v>
      </c>
      <c r="J539">
        <v>3167898841</v>
      </c>
      <c r="K539">
        <v>2492144267</v>
      </c>
      <c r="L539">
        <v>1253693628</v>
      </c>
      <c r="M539">
        <v>985547624</v>
      </c>
      <c r="N539">
        <v>0</v>
      </c>
      <c r="P539">
        <v>89</v>
      </c>
      <c r="Q539" t="s">
        <v>1261</v>
      </c>
    </row>
    <row r="540" spans="1:17" x14ac:dyDescent="0.3">
      <c r="A540" t="s">
        <v>73</v>
      </c>
      <c r="B540" t="str">
        <f>"001213"</f>
        <v>001213</v>
      </c>
      <c r="C540" t="s">
        <v>1262</v>
      </c>
      <c r="D540" t="s">
        <v>524</v>
      </c>
      <c r="E540">
        <v>2249290883</v>
      </c>
      <c r="F540">
        <v>1802459073</v>
      </c>
      <c r="P540">
        <v>27</v>
      </c>
      <c r="Q540" t="s">
        <v>1263</v>
      </c>
    </row>
    <row r="541" spans="1:17" x14ac:dyDescent="0.3">
      <c r="A541" t="s">
        <v>17</v>
      </c>
      <c r="B541" t="str">
        <f>"600764"</f>
        <v>600764</v>
      </c>
      <c r="C541" t="s">
        <v>1264</v>
      </c>
      <c r="D541" t="s">
        <v>283</v>
      </c>
      <c r="E541">
        <v>2247547993</v>
      </c>
      <c r="F541">
        <v>2250105592</v>
      </c>
      <c r="G541">
        <v>1657445713</v>
      </c>
      <c r="H541">
        <v>415068627</v>
      </c>
      <c r="I541">
        <v>270244441</v>
      </c>
      <c r="J541">
        <v>95379325</v>
      </c>
      <c r="K541">
        <v>76059885</v>
      </c>
      <c r="L541">
        <v>232764612</v>
      </c>
      <c r="M541">
        <v>207443405</v>
      </c>
      <c r="N541">
        <v>185982019</v>
      </c>
      <c r="O541">
        <v>337156018</v>
      </c>
      <c r="P541">
        <v>233</v>
      </c>
      <c r="Q541" t="s">
        <v>1265</v>
      </c>
    </row>
    <row r="542" spans="1:17" x14ac:dyDescent="0.3">
      <c r="A542" t="s">
        <v>17</v>
      </c>
      <c r="B542" t="str">
        <f>"600256"</f>
        <v>600256</v>
      </c>
      <c r="C542" t="s">
        <v>1266</v>
      </c>
      <c r="D542" t="s">
        <v>1267</v>
      </c>
      <c r="E542">
        <v>2236456173</v>
      </c>
      <c r="F542">
        <v>1007770418</v>
      </c>
      <c r="G542">
        <v>1175906562</v>
      </c>
      <c r="H542">
        <v>509247830</v>
      </c>
      <c r="I542">
        <v>325532087</v>
      </c>
      <c r="J542">
        <v>409009110</v>
      </c>
      <c r="K542">
        <v>386596634</v>
      </c>
      <c r="L542">
        <v>1090380930</v>
      </c>
      <c r="M542">
        <v>1143210621</v>
      </c>
      <c r="N542">
        <v>928775361</v>
      </c>
      <c r="O542">
        <v>1080939707</v>
      </c>
      <c r="P542">
        <v>494</v>
      </c>
      <c r="Q542" t="s">
        <v>1268</v>
      </c>
    </row>
    <row r="543" spans="1:17" x14ac:dyDescent="0.3">
      <c r="A543" t="s">
        <v>73</v>
      </c>
      <c r="B543" t="str">
        <f>"000852"</f>
        <v>000852</v>
      </c>
      <c r="C543" t="s">
        <v>1269</v>
      </c>
      <c r="D543" t="s">
        <v>311</v>
      </c>
      <c r="E543">
        <v>2234428366</v>
      </c>
      <c r="F543">
        <v>1947355712</v>
      </c>
      <c r="G543">
        <v>1982245366</v>
      </c>
      <c r="H543">
        <v>2196013467</v>
      </c>
      <c r="I543">
        <v>2155321856</v>
      </c>
      <c r="J543">
        <v>2005843698</v>
      </c>
      <c r="K543">
        <v>2271655998</v>
      </c>
      <c r="L543">
        <v>675775489</v>
      </c>
      <c r="M543">
        <v>645554219</v>
      </c>
      <c r="N543">
        <v>585431186</v>
      </c>
      <c r="O543">
        <v>463955570</v>
      </c>
      <c r="P543">
        <v>155</v>
      </c>
      <c r="Q543" t="s">
        <v>1270</v>
      </c>
    </row>
    <row r="544" spans="1:17" x14ac:dyDescent="0.3">
      <c r="A544" t="s">
        <v>17</v>
      </c>
      <c r="B544" t="str">
        <f>"601298"</f>
        <v>601298</v>
      </c>
      <c r="C544" t="s">
        <v>1271</v>
      </c>
      <c r="D544" t="s">
        <v>706</v>
      </c>
      <c r="E544">
        <v>2228188456</v>
      </c>
      <c r="F544">
        <v>3981066474</v>
      </c>
      <c r="G544">
        <v>2677014895</v>
      </c>
      <c r="H544">
        <v>2367704536</v>
      </c>
      <c r="P544">
        <v>431</v>
      </c>
      <c r="Q544" t="s">
        <v>1272</v>
      </c>
    </row>
    <row r="545" spans="1:17" x14ac:dyDescent="0.3">
      <c r="A545" t="s">
        <v>17</v>
      </c>
      <c r="B545" t="str">
        <f>"600782"</f>
        <v>600782</v>
      </c>
      <c r="C545" t="s">
        <v>1273</v>
      </c>
      <c r="D545" t="s">
        <v>221</v>
      </c>
      <c r="E545">
        <v>2211720372</v>
      </c>
      <c r="F545">
        <v>2482966277</v>
      </c>
      <c r="G545">
        <v>3595948548</v>
      </c>
      <c r="H545">
        <v>1880889360</v>
      </c>
      <c r="I545">
        <v>2473617101</v>
      </c>
      <c r="J545">
        <v>2088506811</v>
      </c>
      <c r="K545">
        <v>1856940574</v>
      </c>
      <c r="L545">
        <v>1993884104</v>
      </c>
      <c r="M545">
        <v>1502254110</v>
      </c>
      <c r="N545">
        <v>830651532</v>
      </c>
      <c r="O545">
        <v>1221638972</v>
      </c>
      <c r="P545">
        <v>1414</v>
      </c>
      <c r="Q545" t="s">
        <v>1274</v>
      </c>
    </row>
    <row r="546" spans="1:17" x14ac:dyDescent="0.3">
      <c r="A546" t="s">
        <v>73</v>
      </c>
      <c r="B546" t="str">
        <f>"300760"</f>
        <v>300760</v>
      </c>
      <c r="C546" t="s">
        <v>1275</v>
      </c>
      <c r="D546" t="s">
        <v>692</v>
      </c>
      <c r="E546">
        <v>2210780608</v>
      </c>
      <c r="F546">
        <v>1740869686</v>
      </c>
      <c r="G546">
        <v>1752106173</v>
      </c>
      <c r="H546">
        <v>1635912795</v>
      </c>
      <c r="I546">
        <v>1370649790</v>
      </c>
      <c r="P546">
        <v>4593</v>
      </c>
      <c r="Q546" t="s">
        <v>1276</v>
      </c>
    </row>
    <row r="547" spans="1:17" x14ac:dyDescent="0.3">
      <c r="A547" t="s">
        <v>17</v>
      </c>
      <c r="B547" t="str">
        <f>"600536"</f>
        <v>600536</v>
      </c>
      <c r="C547" t="s">
        <v>1277</v>
      </c>
      <c r="D547" t="s">
        <v>302</v>
      </c>
      <c r="E547">
        <v>2209874315</v>
      </c>
      <c r="F547">
        <v>2044768999</v>
      </c>
      <c r="G547">
        <v>815667344</v>
      </c>
      <c r="H547">
        <v>1701662661</v>
      </c>
      <c r="I547">
        <v>1087174361</v>
      </c>
      <c r="J547">
        <v>1269690526</v>
      </c>
      <c r="K547">
        <v>1196446959</v>
      </c>
      <c r="L547">
        <v>953609225</v>
      </c>
      <c r="M547">
        <v>975942610</v>
      </c>
      <c r="N547">
        <v>723226914</v>
      </c>
      <c r="O547">
        <v>717913850</v>
      </c>
      <c r="P547">
        <v>621</v>
      </c>
      <c r="Q547" t="s">
        <v>1278</v>
      </c>
    </row>
    <row r="548" spans="1:17" x14ac:dyDescent="0.3">
      <c r="A548" t="s">
        <v>17</v>
      </c>
      <c r="B548" t="str">
        <f>"601567"</f>
        <v>601567</v>
      </c>
      <c r="C548" t="s">
        <v>1279</v>
      </c>
      <c r="D548" t="s">
        <v>1280</v>
      </c>
      <c r="E548">
        <v>2208852153</v>
      </c>
      <c r="F548">
        <v>1793062104</v>
      </c>
      <c r="G548">
        <v>1973577464</v>
      </c>
      <c r="H548">
        <v>1837407755</v>
      </c>
      <c r="I548">
        <v>1603484270</v>
      </c>
      <c r="J548">
        <v>1314909783</v>
      </c>
      <c r="K548">
        <v>1285177806</v>
      </c>
      <c r="L548">
        <v>775524447</v>
      </c>
      <c r="M548">
        <v>667854333</v>
      </c>
      <c r="N548">
        <v>684312407</v>
      </c>
      <c r="O548">
        <v>719073919</v>
      </c>
      <c r="P548">
        <v>325</v>
      </c>
      <c r="Q548" t="s">
        <v>1281</v>
      </c>
    </row>
    <row r="549" spans="1:17" x14ac:dyDescent="0.3">
      <c r="A549" t="s">
        <v>73</v>
      </c>
      <c r="B549" t="str">
        <f>"002504"</f>
        <v>002504</v>
      </c>
      <c r="C549" t="s">
        <v>1282</v>
      </c>
      <c r="D549" t="s">
        <v>258</v>
      </c>
      <c r="E549">
        <v>2208813193</v>
      </c>
      <c r="F549">
        <v>2762018496</v>
      </c>
      <c r="G549">
        <v>3023248992</v>
      </c>
      <c r="H549">
        <v>3652109965</v>
      </c>
      <c r="I549">
        <v>3595937347</v>
      </c>
      <c r="J549">
        <v>4226679169</v>
      </c>
      <c r="K549">
        <v>3082261248</v>
      </c>
      <c r="L549">
        <v>2134795308</v>
      </c>
      <c r="M549">
        <v>146352091</v>
      </c>
      <c r="N549">
        <v>141533988</v>
      </c>
      <c r="O549">
        <v>122669310</v>
      </c>
      <c r="P549">
        <v>66</v>
      </c>
      <c r="Q549" t="s">
        <v>1283</v>
      </c>
    </row>
    <row r="550" spans="1:17" x14ac:dyDescent="0.3">
      <c r="A550" t="s">
        <v>73</v>
      </c>
      <c r="B550" t="str">
        <f>"000881"</f>
        <v>000881</v>
      </c>
      <c r="C550" t="s">
        <v>1284</v>
      </c>
      <c r="D550" t="s">
        <v>588</v>
      </c>
      <c r="E550">
        <v>2205033206</v>
      </c>
      <c r="F550">
        <v>2260614401</v>
      </c>
      <c r="G550">
        <v>1940677010</v>
      </c>
      <c r="H550">
        <v>2237305842</v>
      </c>
      <c r="I550">
        <v>2049084057</v>
      </c>
      <c r="J550">
        <v>1637004434</v>
      </c>
      <c r="K550">
        <v>419346966</v>
      </c>
      <c r="L550">
        <v>397198275</v>
      </c>
      <c r="M550">
        <v>128064170</v>
      </c>
      <c r="N550">
        <v>93174186</v>
      </c>
      <c r="O550">
        <v>213718883</v>
      </c>
      <c r="P550">
        <v>169</v>
      </c>
      <c r="Q550" t="s">
        <v>1285</v>
      </c>
    </row>
    <row r="551" spans="1:17" x14ac:dyDescent="0.3">
      <c r="A551" t="s">
        <v>17</v>
      </c>
      <c r="B551" t="str">
        <f>"600475"</f>
        <v>600475</v>
      </c>
      <c r="C551" t="s">
        <v>1286</v>
      </c>
      <c r="D551" t="s">
        <v>82</v>
      </c>
      <c r="E551">
        <v>2202915859</v>
      </c>
      <c r="F551">
        <v>1600271129</v>
      </c>
      <c r="G551">
        <v>2283935222</v>
      </c>
      <c r="H551">
        <v>2633018833</v>
      </c>
      <c r="I551">
        <v>2205520646</v>
      </c>
      <c r="J551">
        <v>1510475135</v>
      </c>
      <c r="K551">
        <v>1316967063</v>
      </c>
      <c r="L551">
        <v>1342321524</v>
      </c>
      <c r="M551">
        <v>1225565601</v>
      </c>
      <c r="N551">
        <v>1105055365</v>
      </c>
      <c r="O551">
        <v>747591852</v>
      </c>
      <c r="P551">
        <v>169</v>
      </c>
      <c r="Q551" t="s">
        <v>1287</v>
      </c>
    </row>
    <row r="552" spans="1:17" x14ac:dyDescent="0.3">
      <c r="A552" t="s">
        <v>17</v>
      </c>
      <c r="B552" t="str">
        <f>"601865"</f>
        <v>601865</v>
      </c>
      <c r="C552" t="s">
        <v>1288</v>
      </c>
      <c r="D552" t="s">
        <v>919</v>
      </c>
      <c r="E552">
        <v>2202284954</v>
      </c>
      <c r="F552">
        <v>1036965656</v>
      </c>
      <c r="G552">
        <v>1132038682</v>
      </c>
      <c r="H552">
        <v>713446352</v>
      </c>
      <c r="P552">
        <v>925</v>
      </c>
      <c r="Q552" t="s">
        <v>1289</v>
      </c>
    </row>
    <row r="553" spans="1:17" x14ac:dyDescent="0.3">
      <c r="A553" t="s">
        <v>73</v>
      </c>
      <c r="B553" t="str">
        <f>"002371"</f>
        <v>002371</v>
      </c>
      <c r="C553" t="s">
        <v>1290</v>
      </c>
      <c r="D553" t="s">
        <v>1291</v>
      </c>
      <c r="E553">
        <v>2196087931</v>
      </c>
      <c r="F553">
        <v>1406871540</v>
      </c>
      <c r="G553">
        <v>1139243424</v>
      </c>
      <c r="H553">
        <v>920423024</v>
      </c>
      <c r="I553">
        <v>802611708</v>
      </c>
      <c r="J553">
        <v>717010718</v>
      </c>
      <c r="K553">
        <v>523796899</v>
      </c>
      <c r="L553">
        <v>488229753</v>
      </c>
      <c r="M553">
        <v>508597337</v>
      </c>
      <c r="N553">
        <v>583172792</v>
      </c>
      <c r="O553">
        <v>418019469</v>
      </c>
      <c r="P553">
        <v>1587</v>
      </c>
      <c r="Q553" t="s">
        <v>1292</v>
      </c>
    </row>
    <row r="554" spans="1:17" x14ac:dyDescent="0.3">
      <c r="A554" t="s">
        <v>73</v>
      </c>
      <c r="B554" t="str">
        <f>"002307"</f>
        <v>002307</v>
      </c>
      <c r="C554" t="s">
        <v>1293</v>
      </c>
      <c r="D554" t="s">
        <v>22</v>
      </c>
      <c r="E554">
        <v>2188447127</v>
      </c>
      <c r="F554">
        <v>1712136533</v>
      </c>
      <c r="G554">
        <v>1853840952</v>
      </c>
      <c r="H554">
        <v>0</v>
      </c>
      <c r="I554">
        <v>2603268808</v>
      </c>
      <c r="J554">
        <v>2489302428</v>
      </c>
      <c r="K554">
        <v>1726346294</v>
      </c>
      <c r="L554">
        <v>1692072557</v>
      </c>
      <c r="M554">
        <v>1131195129</v>
      </c>
      <c r="N554">
        <v>884866996</v>
      </c>
      <c r="O554">
        <v>665283706</v>
      </c>
      <c r="P554">
        <v>90</v>
      </c>
      <c r="Q554" t="s">
        <v>1294</v>
      </c>
    </row>
    <row r="555" spans="1:17" x14ac:dyDescent="0.3">
      <c r="A555" t="s">
        <v>17</v>
      </c>
      <c r="B555" t="str">
        <f>"600267"</f>
        <v>600267</v>
      </c>
      <c r="C555" t="s">
        <v>1295</v>
      </c>
      <c r="D555" t="s">
        <v>908</v>
      </c>
      <c r="E555">
        <v>2187692242</v>
      </c>
      <c r="F555">
        <v>1793552719</v>
      </c>
      <c r="G555">
        <v>1448286827</v>
      </c>
      <c r="H555">
        <v>1796952505</v>
      </c>
      <c r="I555">
        <v>1614750508</v>
      </c>
      <c r="J555">
        <v>1643130285</v>
      </c>
      <c r="K555">
        <v>1357705234</v>
      </c>
      <c r="L555">
        <v>1571247716</v>
      </c>
      <c r="M555">
        <v>1372945171</v>
      </c>
      <c r="N555">
        <v>1493744527</v>
      </c>
      <c r="O555">
        <v>992432244</v>
      </c>
      <c r="P555">
        <v>532</v>
      </c>
      <c r="Q555" t="s">
        <v>1296</v>
      </c>
    </row>
    <row r="556" spans="1:17" x14ac:dyDescent="0.3">
      <c r="A556" t="s">
        <v>73</v>
      </c>
      <c r="B556" t="str">
        <f>"000959"</f>
        <v>000959</v>
      </c>
      <c r="C556" t="s">
        <v>1297</v>
      </c>
      <c r="D556" t="s">
        <v>221</v>
      </c>
      <c r="E556">
        <v>2184622161</v>
      </c>
      <c r="F556">
        <v>1974504437</v>
      </c>
      <c r="G556">
        <v>1589036630</v>
      </c>
      <c r="H556">
        <v>991656405</v>
      </c>
      <c r="I556">
        <v>1178615551</v>
      </c>
      <c r="J556">
        <v>2025084693</v>
      </c>
      <c r="K556">
        <v>472892630</v>
      </c>
      <c r="L556">
        <v>772280816</v>
      </c>
      <c r="M556">
        <v>808078220</v>
      </c>
      <c r="N556">
        <v>147565750</v>
      </c>
      <c r="O556">
        <v>397982168</v>
      </c>
      <c r="P556">
        <v>254</v>
      </c>
      <c r="Q556" t="s">
        <v>1298</v>
      </c>
    </row>
    <row r="557" spans="1:17" x14ac:dyDescent="0.3">
      <c r="A557" t="s">
        <v>73</v>
      </c>
      <c r="B557" t="str">
        <f>"002389"</f>
        <v>002389</v>
      </c>
      <c r="C557" t="s">
        <v>1299</v>
      </c>
      <c r="D557" t="s">
        <v>130</v>
      </c>
      <c r="E557">
        <v>2182829930</v>
      </c>
      <c r="F557">
        <v>1666993301</v>
      </c>
      <c r="G557">
        <v>1760108180</v>
      </c>
      <c r="H557">
        <v>1730707847</v>
      </c>
      <c r="I557">
        <v>1130522142</v>
      </c>
      <c r="J557">
        <v>409309121</v>
      </c>
      <c r="K557">
        <v>285912719</v>
      </c>
      <c r="L557">
        <v>217315700</v>
      </c>
      <c r="M557">
        <v>107957116</v>
      </c>
      <c r="N557">
        <v>66087015</v>
      </c>
      <c r="O557">
        <v>75938998</v>
      </c>
      <c r="P557">
        <v>435</v>
      </c>
      <c r="Q557" t="s">
        <v>1300</v>
      </c>
    </row>
    <row r="558" spans="1:17" x14ac:dyDescent="0.3">
      <c r="A558" t="s">
        <v>17</v>
      </c>
      <c r="B558" t="str">
        <f>"600456"</f>
        <v>600456</v>
      </c>
      <c r="C558" t="s">
        <v>1301</v>
      </c>
      <c r="D558" t="s">
        <v>1240</v>
      </c>
      <c r="E558">
        <v>2181684692</v>
      </c>
      <c r="F558">
        <v>1817184944</v>
      </c>
      <c r="G558">
        <v>1631162270</v>
      </c>
      <c r="H558">
        <v>1578871630</v>
      </c>
      <c r="I558">
        <v>1028811609</v>
      </c>
      <c r="J558">
        <v>1009262310</v>
      </c>
      <c r="K558">
        <v>679074722</v>
      </c>
      <c r="L558">
        <v>645776424</v>
      </c>
      <c r="M558">
        <v>689155626</v>
      </c>
      <c r="N558">
        <v>640805536</v>
      </c>
      <c r="O558">
        <v>567929480</v>
      </c>
      <c r="P558">
        <v>330</v>
      </c>
      <c r="Q558" t="s">
        <v>1302</v>
      </c>
    </row>
    <row r="559" spans="1:17" x14ac:dyDescent="0.3">
      <c r="A559" t="s">
        <v>73</v>
      </c>
      <c r="B559" t="str">
        <f>"000898"</f>
        <v>000898</v>
      </c>
      <c r="C559" t="s">
        <v>1303</v>
      </c>
      <c r="D559" t="s">
        <v>221</v>
      </c>
      <c r="E559">
        <v>2171000000</v>
      </c>
      <c r="F559">
        <v>2711000000</v>
      </c>
      <c r="G559">
        <v>2792000000</v>
      </c>
      <c r="H559">
        <v>2707000000</v>
      </c>
      <c r="I559">
        <v>2127000000</v>
      </c>
      <c r="J559">
        <v>2838000000</v>
      </c>
      <c r="K559">
        <v>1643000000</v>
      </c>
      <c r="L559">
        <v>2004000000</v>
      </c>
      <c r="M559">
        <v>2560000000</v>
      </c>
      <c r="N559">
        <v>1787000000</v>
      </c>
      <c r="O559">
        <v>2079000000</v>
      </c>
      <c r="P559">
        <v>646</v>
      </c>
      <c r="Q559" t="s">
        <v>1304</v>
      </c>
    </row>
    <row r="560" spans="1:17" x14ac:dyDescent="0.3">
      <c r="A560" t="s">
        <v>17</v>
      </c>
      <c r="B560" t="str">
        <f>"600977"</f>
        <v>600977</v>
      </c>
      <c r="C560" t="s">
        <v>1305</v>
      </c>
      <c r="D560" t="s">
        <v>1306</v>
      </c>
      <c r="E560">
        <v>2165205878</v>
      </c>
      <c r="F560">
        <v>3074700335</v>
      </c>
      <c r="G560">
        <v>1116593803</v>
      </c>
      <c r="H560">
        <v>1579815874</v>
      </c>
      <c r="I560">
        <v>1578883826</v>
      </c>
      <c r="J560">
        <v>1052244517</v>
      </c>
      <c r="K560">
        <v>0</v>
      </c>
      <c r="L560">
        <v>0</v>
      </c>
      <c r="P560">
        <v>554</v>
      </c>
      <c r="Q560" t="s">
        <v>1307</v>
      </c>
    </row>
    <row r="561" spans="1:17" x14ac:dyDescent="0.3">
      <c r="A561" t="s">
        <v>17</v>
      </c>
      <c r="B561" t="str">
        <f>"600596"</f>
        <v>600596</v>
      </c>
      <c r="C561" t="s">
        <v>1308</v>
      </c>
      <c r="D561" t="s">
        <v>1309</v>
      </c>
      <c r="E561">
        <v>2163538508</v>
      </c>
      <c r="F561">
        <v>1549033920</v>
      </c>
      <c r="G561">
        <v>1152793976</v>
      </c>
      <c r="H561">
        <v>1192867026</v>
      </c>
      <c r="I561">
        <v>876331561</v>
      </c>
      <c r="J561">
        <v>812211592</v>
      </c>
      <c r="K561">
        <v>651169079</v>
      </c>
      <c r="L561">
        <v>619388191</v>
      </c>
      <c r="M561">
        <v>416585518</v>
      </c>
      <c r="N561">
        <v>517196704</v>
      </c>
      <c r="O561">
        <v>322377686</v>
      </c>
      <c r="P561">
        <v>481</v>
      </c>
      <c r="Q561" t="s">
        <v>1310</v>
      </c>
    </row>
    <row r="562" spans="1:17" x14ac:dyDescent="0.3">
      <c r="A562" t="s">
        <v>73</v>
      </c>
      <c r="B562" t="str">
        <f>"200521"</f>
        <v>200521</v>
      </c>
      <c r="C562" t="s">
        <v>1311</v>
      </c>
      <c r="E562">
        <v>2160752391.5359998</v>
      </c>
      <c r="F562">
        <v>2106262217.22</v>
      </c>
      <c r="G562">
        <v>1789395319.6923001</v>
      </c>
      <c r="H562">
        <v>2868796060.7202001</v>
      </c>
      <c r="I562">
        <v>2765020831.1059999</v>
      </c>
      <c r="J562">
        <v>1542022951.0806</v>
      </c>
      <c r="K562">
        <v>1769917689.8835001</v>
      </c>
      <c r="L562">
        <v>1828859450</v>
      </c>
      <c r="M562">
        <v>1429177274.7732</v>
      </c>
      <c r="N562">
        <v>1100015703.0725999</v>
      </c>
      <c r="O562">
        <v>897195851.847</v>
      </c>
      <c r="P562">
        <v>23</v>
      </c>
      <c r="Q562" t="s">
        <v>1312</v>
      </c>
    </row>
    <row r="563" spans="1:17" x14ac:dyDescent="0.3">
      <c r="A563" t="s">
        <v>17</v>
      </c>
      <c r="B563" t="str">
        <f>"600985"</f>
        <v>600985</v>
      </c>
      <c r="C563" t="s">
        <v>1313</v>
      </c>
      <c r="D563" t="s">
        <v>492</v>
      </c>
      <c r="E563">
        <v>2152473947</v>
      </c>
      <c r="F563">
        <v>2058217175</v>
      </c>
      <c r="G563">
        <v>1620448517</v>
      </c>
      <c r="H563">
        <v>1196978498</v>
      </c>
      <c r="I563">
        <v>217012218</v>
      </c>
      <c r="J563">
        <v>219575550</v>
      </c>
      <c r="K563">
        <v>213176544</v>
      </c>
      <c r="L563">
        <v>149067783</v>
      </c>
      <c r="M563">
        <v>109562973</v>
      </c>
      <c r="N563">
        <v>103861812</v>
      </c>
      <c r="O563">
        <v>103493604</v>
      </c>
      <c r="P563">
        <v>1007</v>
      </c>
      <c r="Q563" t="s">
        <v>1314</v>
      </c>
    </row>
    <row r="564" spans="1:17" x14ac:dyDescent="0.3">
      <c r="A564" t="s">
        <v>17</v>
      </c>
      <c r="B564" t="str">
        <f>"601019"</f>
        <v>601019</v>
      </c>
      <c r="C564" t="s">
        <v>1315</v>
      </c>
      <c r="D564" t="s">
        <v>1316</v>
      </c>
      <c r="E564">
        <v>2152406856</v>
      </c>
      <c r="F564">
        <v>2152986786</v>
      </c>
      <c r="G564">
        <v>2069737369</v>
      </c>
      <c r="H564">
        <v>1613276961</v>
      </c>
      <c r="I564">
        <v>1354524389</v>
      </c>
      <c r="P564">
        <v>401</v>
      </c>
      <c r="Q564" t="s">
        <v>1317</v>
      </c>
    </row>
    <row r="565" spans="1:17" x14ac:dyDescent="0.3">
      <c r="A565" t="s">
        <v>17</v>
      </c>
      <c r="B565" t="str">
        <f>"603916"</f>
        <v>603916</v>
      </c>
      <c r="C565" t="s">
        <v>1318</v>
      </c>
      <c r="D565" t="s">
        <v>588</v>
      </c>
      <c r="E565">
        <v>2149791072</v>
      </c>
      <c r="F565">
        <v>1372359316</v>
      </c>
      <c r="G565">
        <v>1145943270</v>
      </c>
      <c r="H565">
        <v>972472296</v>
      </c>
      <c r="I565">
        <v>688312490</v>
      </c>
      <c r="J565">
        <v>634403299</v>
      </c>
      <c r="P565">
        <v>273</v>
      </c>
      <c r="Q565" t="s">
        <v>1319</v>
      </c>
    </row>
    <row r="566" spans="1:17" x14ac:dyDescent="0.3">
      <c r="A566" t="s">
        <v>17</v>
      </c>
      <c r="B566" t="str">
        <f>"603713"</f>
        <v>603713</v>
      </c>
      <c r="C566" t="s">
        <v>1320</v>
      </c>
      <c r="D566" t="s">
        <v>1321</v>
      </c>
      <c r="E566">
        <v>2148017856</v>
      </c>
      <c r="F566">
        <v>1420595326</v>
      </c>
      <c r="G566">
        <v>752348521</v>
      </c>
      <c r="H566">
        <v>512715272</v>
      </c>
      <c r="I566">
        <v>381887081</v>
      </c>
      <c r="P566">
        <v>457</v>
      </c>
      <c r="Q566" t="s">
        <v>1322</v>
      </c>
    </row>
    <row r="567" spans="1:17" x14ac:dyDescent="0.3">
      <c r="A567" t="s">
        <v>17</v>
      </c>
      <c r="B567" t="str">
        <f>"603766"</f>
        <v>603766</v>
      </c>
      <c r="C567" t="s">
        <v>1323</v>
      </c>
      <c r="D567" t="s">
        <v>1324</v>
      </c>
      <c r="E567">
        <v>2144651976</v>
      </c>
      <c r="F567">
        <v>2446420554</v>
      </c>
      <c r="G567">
        <v>1926045936</v>
      </c>
      <c r="H567">
        <v>1971812048</v>
      </c>
      <c r="I567">
        <v>1756989405</v>
      </c>
      <c r="J567">
        <v>1434416791</v>
      </c>
      <c r="K567">
        <v>1060216377</v>
      </c>
      <c r="L567">
        <v>854867915</v>
      </c>
      <c r="M567">
        <v>768913071</v>
      </c>
      <c r="N567">
        <v>716158930</v>
      </c>
      <c r="O567">
        <v>0</v>
      </c>
      <c r="P567">
        <v>460</v>
      </c>
      <c r="Q567" t="s">
        <v>1325</v>
      </c>
    </row>
    <row r="568" spans="1:17" x14ac:dyDescent="0.3">
      <c r="A568" t="s">
        <v>17</v>
      </c>
      <c r="B568" t="str">
        <f>"603899"</f>
        <v>603899</v>
      </c>
      <c r="C568" t="s">
        <v>1326</v>
      </c>
      <c r="D568" t="s">
        <v>770</v>
      </c>
      <c r="E568">
        <v>2143354997</v>
      </c>
      <c r="F568">
        <v>1774355265</v>
      </c>
      <c r="G568">
        <v>1127147235</v>
      </c>
      <c r="H568">
        <v>829910015</v>
      </c>
      <c r="I568">
        <v>592577065</v>
      </c>
      <c r="J568">
        <v>245479981</v>
      </c>
      <c r="K568">
        <v>157779650</v>
      </c>
      <c r="L568">
        <v>101275550</v>
      </c>
      <c r="M568">
        <v>0</v>
      </c>
      <c r="P568">
        <v>25827</v>
      </c>
      <c r="Q568" t="s">
        <v>1327</v>
      </c>
    </row>
    <row r="569" spans="1:17" x14ac:dyDescent="0.3">
      <c r="A569" t="s">
        <v>17</v>
      </c>
      <c r="B569" t="str">
        <f>"601811"</f>
        <v>601811</v>
      </c>
      <c r="C569" t="s">
        <v>1328</v>
      </c>
      <c r="D569" t="s">
        <v>1316</v>
      </c>
      <c r="E569">
        <v>2138145166</v>
      </c>
      <c r="F569">
        <v>1702524748</v>
      </c>
      <c r="G569">
        <v>1848296166</v>
      </c>
      <c r="H569">
        <v>1888063917</v>
      </c>
      <c r="I569">
        <v>1717561614</v>
      </c>
      <c r="J569">
        <v>1075001797</v>
      </c>
      <c r="K569">
        <v>1285961952</v>
      </c>
      <c r="P569">
        <v>276</v>
      </c>
      <c r="Q569" t="s">
        <v>1329</v>
      </c>
    </row>
    <row r="570" spans="1:17" x14ac:dyDescent="0.3">
      <c r="A570" t="s">
        <v>73</v>
      </c>
      <c r="B570" t="str">
        <f>"000513"</f>
        <v>000513</v>
      </c>
      <c r="C570" t="s">
        <v>1330</v>
      </c>
      <c r="D570" t="s">
        <v>348</v>
      </c>
      <c r="E570">
        <v>2137968332</v>
      </c>
      <c r="F570">
        <v>1921271467</v>
      </c>
      <c r="G570">
        <v>1613749662</v>
      </c>
      <c r="H570">
        <v>1691471693</v>
      </c>
      <c r="I570">
        <v>1503000168</v>
      </c>
      <c r="J570">
        <v>1455184528</v>
      </c>
      <c r="K570">
        <v>1218456864</v>
      </c>
      <c r="L570">
        <v>1166007885</v>
      </c>
      <c r="M570">
        <v>969009235</v>
      </c>
      <c r="N570">
        <v>828617562</v>
      </c>
      <c r="O570">
        <v>647634824</v>
      </c>
      <c r="P570">
        <v>1622</v>
      </c>
      <c r="Q570" t="s">
        <v>1331</v>
      </c>
    </row>
    <row r="571" spans="1:17" x14ac:dyDescent="0.3">
      <c r="A571" t="s">
        <v>17</v>
      </c>
      <c r="B571" t="str">
        <f>"603979"</f>
        <v>603979</v>
      </c>
      <c r="C571" t="s">
        <v>1332</v>
      </c>
      <c r="D571" t="s">
        <v>39</v>
      </c>
      <c r="E571">
        <v>2131752619</v>
      </c>
      <c r="F571">
        <v>2084827426</v>
      </c>
      <c r="G571">
        <v>1914938321</v>
      </c>
      <c r="H571">
        <v>2280532463</v>
      </c>
      <c r="I571">
        <v>2159161604</v>
      </c>
      <c r="J571">
        <v>1962418099</v>
      </c>
      <c r="K571">
        <v>1679941148</v>
      </c>
      <c r="L571">
        <v>0</v>
      </c>
      <c r="M571">
        <v>0</v>
      </c>
      <c r="P571">
        <v>122</v>
      </c>
      <c r="Q571" t="s">
        <v>1333</v>
      </c>
    </row>
    <row r="572" spans="1:17" x14ac:dyDescent="0.3">
      <c r="A572" t="s">
        <v>17</v>
      </c>
      <c r="B572" t="str">
        <f>"600081"</f>
        <v>600081</v>
      </c>
      <c r="C572" t="s">
        <v>1334</v>
      </c>
      <c r="D572" t="s">
        <v>106</v>
      </c>
      <c r="E572">
        <v>2128702937</v>
      </c>
      <c r="F572">
        <v>1823080459</v>
      </c>
      <c r="G572">
        <v>1133967444</v>
      </c>
      <c r="H572">
        <v>1621470703</v>
      </c>
      <c r="I572">
        <v>1574742091</v>
      </c>
      <c r="J572">
        <v>1485133064</v>
      </c>
      <c r="K572">
        <v>1015958429</v>
      </c>
      <c r="L572">
        <v>1278492237</v>
      </c>
      <c r="M572">
        <v>1090001994</v>
      </c>
      <c r="N572">
        <v>627133792</v>
      </c>
      <c r="O572">
        <v>694005971</v>
      </c>
      <c r="P572">
        <v>205</v>
      </c>
      <c r="Q572" t="s">
        <v>1335</v>
      </c>
    </row>
    <row r="573" spans="1:17" x14ac:dyDescent="0.3">
      <c r="A573" t="s">
        <v>17</v>
      </c>
      <c r="B573" t="str">
        <f>"603693"</f>
        <v>603693</v>
      </c>
      <c r="C573" t="s">
        <v>1336</v>
      </c>
      <c r="D573" t="s">
        <v>133</v>
      </c>
      <c r="E573">
        <v>2122683267</v>
      </c>
      <c r="F573">
        <v>1576383026</v>
      </c>
      <c r="G573">
        <v>162532946</v>
      </c>
      <c r="H573">
        <v>942370757</v>
      </c>
      <c r="I573">
        <v>815926143</v>
      </c>
      <c r="J573">
        <v>0</v>
      </c>
      <c r="P573">
        <v>160</v>
      </c>
      <c r="Q573" t="s">
        <v>1337</v>
      </c>
    </row>
    <row r="574" spans="1:17" x14ac:dyDescent="0.3">
      <c r="A574" t="s">
        <v>17</v>
      </c>
      <c r="B574" t="str">
        <f>"600203"</f>
        <v>600203</v>
      </c>
      <c r="C574" t="s">
        <v>1338</v>
      </c>
      <c r="D574" t="s">
        <v>42</v>
      </c>
      <c r="E574">
        <v>2121821429</v>
      </c>
      <c r="F574">
        <v>2057765567</v>
      </c>
      <c r="G574">
        <v>1618073339</v>
      </c>
      <c r="H574">
        <v>2661264815</v>
      </c>
      <c r="I574">
        <v>1315870269</v>
      </c>
      <c r="J574">
        <v>891296631</v>
      </c>
      <c r="K574">
        <v>871749534</v>
      </c>
      <c r="L574">
        <v>525145970</v>
      </c>
      <c r="M574">
        <v>183245803</v>
      </c>
      <c r="N574">
        <v>102674370</v>
      </c>
      <c r="O574">
        <v>87868997</v>
      </c>
      <c r="P574">
        <v>143</v>
      </c>
      <c r="Q574" t="s">
        <v>1339</v>
      </c>
    </row>
    <row r="575" spans="1:17" x14ac:dyDescent="0.3">
      <c r="A575" t="s">
        <v>73</v>
      </c>
      <c r="B575" t="str">
        <f>"002010"</f>
        <v>002010</v>
      </c>
      <c r="C575" t="s">
        <v>1340</v>
      </c>
      <c r="D575" t="s">
        <v>1341</v>
      </c>
      <c r="E575">
        <v>2120987550</v>
      </c>
      <c r="F575">
        <v>1743301412</v>
      </c>
      <c r="G575">
        <v>1695159017</v>
      </c>
      <c r="H575">
        <v>2095480884</v>
      </c>
      <c r="I575">
        <v>2142898349</v>
      </c>
      <c r="J575">
        <v>1315361595</v>
      </c>
      <c r="K575">
        <v>852304590</v>
      </c>
      <c r="L575">
        <v>962529649</v>
      </c>
      <c r="M575">
        <v>810416082</v>
      </c>
      <c r="N575">
        <v>654362452</v>
      </c>
      <c r="O575">
        <v>545838233</v>
      </c>
      <c r="P575">
        <v>279</v>
      </c>
      <c r="Q575" t="s">
        <v>1342</v>
      </c>
    </row>
    <row r="576" spans="1:17" x14ac:dyDescent="0.3">
      <c r="A576" t="s">
        <v>73</v>
      </c>
      <c r="B576" t="str">
        <f>"002603"</f>
        <v>002603</v>
      </c>
      <c r="C576" t="s">
        <v>1343</v>
      </c>
      <c r="D576" t="s">
        <v>215</v>
      </c>
      <c r="E576">
        <v>2114893772</v>
      </c>
      <c r="F576">
        <v>1933388231</v>
      </c>
      <c r="G576">
        <v>1109177069</v>
      </c>
      <c r="H576">
        <v>1007081805</v>
      </c>
      <c r="I576">
        <v>1009087872</v>
      </c>
      <c r="J576">
        <v>816196300</v>
      </c>
      <c r="K576">
        <v>569645916</v>
      </c>
      <c r="L576">
        <v>408627681</v>
      </c>
      <c r="M576">
        <v>270143846</v>
      </c>
      <c r="N576">
        <v>161592799</v>
      </c>
      <c r="O576">
        <v>422486856</v>
      </c>
      <c r="P576">
        <v>833</v>
      </c>
      <c r="Q576" t="s">
        <v>1344</v>
      </c>
    </row>
    <row r="577" spans="1:17" x14ac:dyDescent="0.3">
      <c r="A577" t="s">
        <v>73</v>
      </c>
      <c r="B577" t="str">
        <f>"000657"</f>
        <v>000657</v>
      </c>
      <c r="C577" t="s">
        <v>1345</v>
      </c>
      <c r="D577" t="s">
        <v>507</v>
      </c>
      <c r="E577">
        <v>2114498767</v>
      </c>
      <c r="F577">
        <v>1829909195</v>
      </c>
      <c r="G577">
        <v>1406913393</v>
      </c>
      <c r="H577">
        <v>1273500905</v>
      </c>
      <c r="I577">
        <v>1139554460</v>
      </c>
      <c r="J577">
        <v>961204434</v>
      </c>
      <c r="K577">
        <v>1016430371</v>
      </c>
      <c r="L577">
        <v>1063607540</v>
      </c>
      <c r="M577">
        <v>989942628</v>
      </c>
      <c r="N577">
        <v>27304</v>
      </c>
      <c r="O577">
        <v>30</v>
      </c>
      <c r="P577">
        <v>177</v>
      </c>
      <c r="Q577" t="s">
        <v>1346</v>
      </c>
    </row>
    <row r="578" spans="1:17" x14ac:dyDescent="0.3">
      <c r="A578" t="s">
        <v>17</v>
      </c>
      <c r="B578" t="str">
        <f>"600176"</f>
        <v>600176</v>
      </c>
      <c r="C578" t="s">
        <v>1347</v>
      </c>
      <c r="D578" t="s">
        <v>598</v>
      </c>
      <c r="E578">
        <v>2099746907</v>
      </c>
      <c r="F578">
        <v>2650905172</v>
      </c>
      <c r="G578">
        <v>2198837697</v>
      </c>
      <c r="H578">
        <v>1920201377</v>
      </c>
      <c r="I578">
        <v>1769203489</v>
      </c>
      <c r="J578">
        <v>1675619205</v>
      </c>
      <c r="K578">
        <v>1929079280</v>
      </c>
      <c r="L578">
        <v>1798851472</v>
      </c>
      <c r="M578">
        <v>1759609979</v>
      </c>
      <c r="N578">
        <v>1628112280</v>
      </c>
      <c r="O578">
        <v>1427421145</v>
      </c>
      <c r="P578">
        <v>2781</v>
      </c>
      <c r="Q578" t="s">
        <v>1348</v>
      </c>
    </row>
    <row r="579" spans="1:17" x14ac:dyDescent="0.3">
      <c r="A579" t="s">
        <v>17</v>
      </c>
      <c r="B579" t="str">
        <f>"600221"</f>
        <v>600221</v>
      </c>
      <c r="C579" t="s">
        <v>1349</v>
      </c>
      <c r="D579" t="s">
        <v>948</v>
      </c>
      <c r="E579">
        <v>2084351000</v>
      </c>
      <c r="F579">
        <v>2990387000</v>
      </c>
      <c r="G579">
        <v>4433667000</v>
      </c>
      <c r="H579">
        <v>3557496000</v>
      </c>
      <c r="I579">
        <v>2878912000</v>
      </c>
      <c r="J579">
        <v>1607216000</v>
      </c>
      <c r="K579">
        <v>889665000</v>
      </c>
      <c r="L579">
        <v>707029000</v>
      </c>
      <c r="M579">
        <v>686062000</v>
      </c>
      <c r="N579">
        <v>381375000</v>
      </c>
      <c r="O579">
        <v>389068000</v>
      </c>
      <c r="P579">
        <v>427</v>
      </c>
      <c r="Q579" t="s">
        <v>1350</v>
      </c>
    </row>
    <row r="580" spans="1:17" x14ac:dyDescent="0.3">
      <c r="A580" t="s">
        <v>17</v>
      </c>
      <c r="B580" t="str">
        <f>"603458"</f>
        <v>603458</v>
      </c>
      <c r="C580" t="s">
        <v>1351</v>
      </c>
      <c r="D580" t="s">
        <v>661</v>
      </c>
      <c r="E580">
        <v>2073306190</v>
      </c>
      <c r="F580">
        <v>1732294482</v>
      </c>
      <c r="G580">
        <v>1634791314</v>
      </c>
      <c r="H580">
        <v>2090849634</v>
      </c>
      <c r="I580">
        <v>1510760439</v>
      </c>
      <c r="J580">
        <v>0</v>
      </c>
      <c r="P580">
        <v>474</v>
      </c>
      <c r="Q580" t="s">
        <v>1352</v>
      </c>
    </row>
    <row r="581" spans="1:17" x14ac:dyDescent="0.3">
      <c r="A581" t="s">
        <v>73</v>
      </c>
      <c r="B581" t="str">
        <f>"000598"</f>
        <v>000598</v>
      </c>
      <c r="C581" t="s">
        <v>1353</v>
      </c>
      <c r="D581" t="s">
        <v>308</v>
      </c>
      <c r="E581">
        <v>2068527057</v>
      </c>
      <c r="F581">
        <v>1498666447</v>
      </c>
      <c r="G581">
        <v>1501141454</v>
      </c>
      <c r="H581">
        <v>840838474</v>
      </c>
      <c r="I581">
        <v>805045413</v>
      </c>
      <c r="J581">
        <v>564187792</v>
      </c>
      <c r="K581">
        <v>535217606</v>
      </c>
      <c r="L581">
        <v>462495129</v>
      </c>
      <c r="M581">
        <v>457867368</v>
      </c>
      <c r="N581">
        <v>416016956</v>
      </c>
      <c r="O581">
        <v>377133430</v>
      </c>
      <c r="P581">
        <v>444</v>
      </c>
      <c r="Q581" t="s">
        <v>1354</v>
      </c>
    </row>
    <row r="582" spans="1:17" x14ac:dyDescent="0.3">
      <c r="A582" t="s">
        <v>73</v>
      </c>
      <c r="B582" t="str">
        <f>"002335"</f>
        <v>002335</v>
      </c>
      <c r="C582" t="s">
        <v>1355</v>
      </c>
      <c r="D582" t="s">
        <v>747</v>
      </c>
      <c r="E582">
        <v>2067358832</v>
      </c>
      <c r="F582">
        <v>1935194956</v>
      </c>
      <c r="G582">
        <v>1519505916</v>
      </c>
      <c r="H582">
        <v>1595246276</v>
      </c>
      <c r="I582">
        <v>1092630486</v>
      </c>
      <c r="J582">
        <v>825640168</v>
      </c>
      <c r="K582">
        <v>722734380</v>
      </c>
      <c r="L582">
        <v>721371671</v>
      </c>
      <c r="M582">
        <v>399921850</v>
      </c>
      <c r="N582">
        <v>292787730</v>
      </c>
      <c r="O582">
        <v>264819888</v>
      </c>
      <c r="P582">
        <v>431</v>
      </c>
      <c r="Q582" t="s">
        <v>1356</v>
      </c>
    </row>
    <row r="583" spans="1:17" x14ac:dyDescent="0.3">
      <c r="A583" t="s">
        <v>73</v>
      </c>
      <c r="B583" t="str">
        <f>"301015"</f>
        <v>301015</v>
      </c>
      <c r="C583" t="s">
        <v>1357</v>
      </c>
      <c r="D583" t="s">
        <v>50</v>
      </c>
      <c r="E583">
        <v>2066600814</v>
      </c>
      <c r="F583">
        <v>1681791390</v>
      </c>
      <c r="P583">
        <v>45</v>
      </c>
      <c r="Q583" t="s">
        <v>1358</v>
      </c>
    </row>
    <row r="584" spans="1:17" x14ac:dyDescent="0.3">
      <c r="A584" t="s">
        <v>73</v>
      </c>
      <c r="B584" t="str">
        <f>"300136"</f>
        <v>300136</v>
      </c>
      <c r="C584" t="s">
        <v>1359</v>
      </c>
      <c r="D584" t="s">
        <v>42</v>
      </c>
      <c r="E584">
        <v>2066557478</v>
      </c>
      <c r="F584">
        <v>2044689470</v>
      </c>
      <c r="G584">
        <v>2363821896</v>
      </c>
      <c r="H584">
        <v>2133198303</v>
      </c>
      <c r="I584">
        <v>1536776685</v>
      </c>
      <c r="J584">
        <v>996070790</v>
      </c>
      <c r="K584">
        <v>458207589</v>
      </c>
      <c r="L584">
        <v>267296307</v>
      </c>
      <c r="M584">
        <v>232294929</v>
      </c>
      <c r="N584">
        <v>94918255</v>
      </c>
      <c r="O584">
        <v>45464137</v>
      </c>
      <c r="P584">
        <v>2618</v>
      </c>
      <c r="Q584" t="s">
        <v>1360</v>
      </c>
    </row>
    <row r="585" spans="1:17" x14ac:dyDescent="0.3">
      <c r="A585" t="s">
        <v>73</v>
      </c>
      <c r="B585" t="str">
        <f>"003035"</f>
        <v>003035</v>
      </c>
      <c r="C585" t="s">
        <v>1361</v>
      </c>
      <c r="D585" t="s">
        <v>314</v>
      </c>
      <c r="E585">
        <v>2065884473</v>
      </c>
      <c r="F585">
        <v>1475341359</v>
      </c>
      <c r="P585">
        <v>278</v>
      </c>
      <c r="Q585" t="s">
        <v>1362</v>
      </c>
    </row>
    <row r="586" spans="1:17" x14ac:dyDescent="0.3">
      <c r="A586" t="s">
        <v>73</v>
      </c>
      <c r="B586" t="str">
        <f>"002358"</f>
        <v>002358</v>
      </c>
      <c r="C586" t="s">
        <v>1363</v>
      </c>
      <c r="D586" t="s">
        <v>224</v>
      </c>
      <c r="E586">
        <v>2064889756</v>
      </c>
      <c r="F586">
        <v>2303349883</v>
      </c>
      <c r="G586">
        <v>2924078067</v>
      </c>
      <c r="H586">
        <v>3469200603</v>
      </c>
      <c r="I586">
        <v>2724525678</v>
      </c>
      <c r="J586">
        <v>2172801970</v>
      </c>
      <c r="K586">
        <v>1551256211</v>
      </c>
      <c r="L586">
        <v>994976274</v>
      </c>
      <c r="M586">
        <v>951127541</v>
      </c>
      <c r="N586">
        <v>561804092</v>
      </c>
      <c r="O586">
        <v>366970342</v>
      </c>
      <c r="P586">
        <v>142</v>
      </c>
      <c r="Q586" t="s">
        <v>1364</v>
      </c>
    </row>
    <row r="587" spans="1:17" x14ac:dyDescent="0.3">
      <c r="A587" t="s">
        <v>17</v>
      </c>
      <c r="B587" t="str">
        <f>"601968"</f>
        <v>601968</v>
      </c>
      <c r="C587" t="s">
        <v>1365</v>
      </c>
      <c r="D587" t="s">
        <v>870</v>
      </c>
      <c r="E587">
        <v>2064558933</v>
      </c>
      <c r="F587">
        <v>1673203455</v>
      </c>
      <c r="G587">
        <v>1328463224</v>
      </c>
      <c r="H587">
        <v>1302816449</v>
      </c>
      <c r="I587">
        <v>1061788924</v>
      </c>
      <c r="J587">
        <v>891137882</v>
      </c>
      <c r="K587">
        <v>766326232</v>
      </c>
      <c r="L587">
        <v>0</v>
      </c>
      <c r="M587">
        <v>0</v>
      </c>
      <c r="P587">
        <v>108</v>
      </c>
      <c r="Q587" t="s">
        <v>1366</v>
      </c>
    </row>
    <row r="588" spans="1:17" x14ac:dyDescent="0.3">
      <c r="A588" t="s">
        <v>73</v>
      </c>
      <c r="B588" t="str">
        <f>"300021"</f>
        <v>300021</v>
      </c>
      <c r="C588" t="s">
        <v>1367</v>
      </c>
      <c r="D588" t="s">
        <v>1368</v>
      </c>
      <c r="E588">
        <v>2063332596</v>
      </c>
      <c r="F588">
        <v>1644922360</v>
      </c>
      <c r="G588">
        <v>961370524</v>
      </c>
      <c r="H588">
        <v>0</v>
      </c>
      <c r="I588">
        <v>726180227</v>
      </c>
      <c r="J588">
        <v>544892008</v>
      </c>
      <c r="K588">
        <v>437825759</v>
      </c>
      <c r="L588">
        <v>332248772</v>
      </c>
      <c r="M588">
        <v>298022098</v>
      </c>
      <c r="N588">
        <v>297931895</v>
      </c>
      <c r="O588">
        <v>210448186</v>
      </c>
      <c r="P588">
        <v>174</v>
      </c>
      <c r="Q588" t="s">
        <v>1369</v>
      </c>
    </row>
    <row r="589" spans="1:17" x14ac:dyDescent="0.3">
      <c r="A589" t="s">
        <v>17</v>
      </c>
      <c r="B589" t="str">
        <f>"601512"</f>
        <v>601512</v>
      </c>
      <c r="C589" t="s">
        <v>1370</v>
      </c>
      <c r="D589" t="s">
        <v>61</v>
      </c>
      <c r="E589">
        <v>2059844814</v>
      </c>
      <c r="F589">
        <v>874411020</v>
      </c>
      <c r="G589">
        <v>1315923736</v>
      </c>
      <c r="P589">
        <v>103</v>
      </c>
      <c r="Q589" t="s">
        <v>1371</v>
      </c>
    </row>
    <row r="590" spans="1:17" x14ac:dyDescent="0.3">
      <c r="A590" t="s">
        <v>73</v>
      </c>
      <c r="B590" t="str">
        <f>"002400"</f>
        <v>002400</v>
      </c>
      <c r="C590" t="s">
        <v>1372</v>
      </c>
      <c r="D590" t="s">
        <v>425</v>
      </c>
      <c r="E590">
        <v>2057473720</v>
      </c>
      <c r="F590">
        <v>2300410085</v>
      </c>
      <c r="G590">
        <v>2780589909</v>
      </c>
      <c r="H590">
        <v>2381791402</v>
      </c>
      <c r="I590">
        <v>2197388102</v>
      </c>
      <c r="J590">
        <v>2814513183</v>
      </c>
      <c r="K590">
        <v>2156317421</v>
      </c>
      <c r="L590">
        <v>1688892896</v>
      </c>
      <c r="M590">
        <v>756485802</v>
      </c>
      <c r="N590">
        <v>683384435</v>
      </c>
      <c r="O590">
        <v>452465575</v>
      </c>
      <c r="P590">
        <v>328</v>
      </c>
      <c r="Q590" t="s">
        <v>1373</v>
      </c>
    </row>
    <row r="591" spans="1:17" x14ac:dyDescent="0.3">
      <c r="A591" t="s">
        <v>73</v>
      </c>
      <c r="B591" t="str">
        <f>"300482"</f>
        <v>300482</v>
      </c>
      <c r="C591" t="s">
        <v>1374</v>
      </c>
      <c r="D591" t="s">
        <v>773</v>
      </c>
      <c r="E591">
        <v>2056463191</v>
      </c>
      <c r="F591">
        <v>397108469</v>
      </c>
      <c r="G591">
        <v>395445068</v>
      </c>
      <c r="H591">
        <v>370471692</v>
      </c>
      <c r="I591">
        <v>266857661</v>
      </c>
      <c r="J591">
        <v>86047416</v>
      </c>
      <c r="K591">
        <v>32287741</v>
      </c>
      <c r="L591">
        <v>31787425</v>
      </c>
      <c r="M591">
        <v>0</v>
      </c>
      <c r="P591">
        <v>17071</v>
      </c>
      <c r="Q591" t="s">
        <v>1375</v>
      </c>
    </row>
    <row r="592" spans="1:17" x14ac:dyDescent="0.3">
      <c r="A592" t="s">
        <v>73</v>
      </c>
      <c r="B592" t="str">
        <f>"300682"</f>
        <v>300682</v>
      </c>
      <c r="C592" t="s">
        <v>1376</v>
      </c>
      <c r="D592" t="s">
        <v>302</v>
      </c>
      <c r="E592">
        <v>2051796138</v>
      </c>
      <c r="F592">
        <v>1583841783</v>
      </c>
      <c r="G592">
        <v>1664207877</v>
      </c>
      <c r="H592">
        <v>741021898</v>
      </c>
      <c r="I592">
        <v>616784586</v>
      </c>
      <c r="J592">
        <v>520230361</v>
      </c>
      <c r="P592">
        <v>254</v>
      </c>
      <c r="Q592" t="s">
        <v>1377</v>
      </c>
    </row>
    <row r="593" spans="1:17" x14ac:dyDescent="0.3">
      <c r="A593" t="s">
        <v>73</v>
      </c>
      <c r="B593" t="str">
        <f>"002821"</f>
        <v>002821</v>
      </c>
      <c r="C593" t="s">
        <v>1378</v>
      </c>
      <c r="D593" t="s">
        <v>459</v>
      </c>
      <c r="E593">
        <v>2051597485</v>
      </c>
      <c r="F593">
        <v>901386084</v>
      </c>
      <c r="G593">
        <v>558834931</v>
      </c>
      <c r="H593">
        <v>451286410</v>
      </c>
      <c r="I593">
        <v>363472283</v>
      </c>
      <c r="J593">
        <v>204655130</v>
      </c>
      <c r="P593">
        <v>2412</v>
      </c>
      <c r="Q593" t="s">
        <v>1379</v>
      </c>
    </row>
    <row r="594" spans="1:17" x14ac:dyDescent="0.3">
      <c r="A594" t="s">
        <v>17</v>
      </c>
      <c r="B594" t="str">
        <f>"600073"</f>
        <v>600073</v>
      </c>
      <c r="C594" t="s">
        <v>1380</v>
      </c>
      <c r="D594" t="s">
        <v>1381</v>
      </c>
      <c r="E594">
        <v>2047623457</v>
      </c>
      <c r="F594">
        <v>2024179375</v>
      </c>
      <c r="G594">
        <v>1813381968</v>
      </c>
      <c r="H594">
        <v>2092536617</v>
      </c>
      <c r="I594">
        <v>1850435415</v>
      </c>
      <c r="J594">
        <v>1696190290</v>
      </c>
      <c r="K594">
        <v>759984583</v>
      </c>
      <c r="L594">
        <v>621775495</v>
      </c>
      <c r="M594">
        <v>549540726</v>
      </c>
      <c r="N594">
        <v>625143635</v>
      </c>
      <c r="O594">
        <v>335462690</v>
      </c>
      <c r="P594">
        <v>442</v>
      </c>
      <c r="Q594" t="s">
        <v>1382</v>
      </c>
    </row>
    <row r="595" spans="1:17" x14ac:dyDescent="0.3">
      <c r="A595" t="s">
        <v>17</v>
      </c>
      <c r="B595" t="str">
        <f>"603887"</f>
        <v>603887</v>
      </c>
      <c r="C595" t="s">
        <v>1383</v>
      </c>
      <c r="D595" t="s">
        <v>302</v>
      </c>
      <c r="E595">
        <v>2047147171</v>
      </c>
      <c r="F595">
        <v>1790010535</v>
      </c>
      <c r="G595">
        <v>1420729132</v>
      </c>
      <c r="H595">
        <v>390352633</v>
      </c>
      <c r="I595">
        <v>290767883</v>
      </c>
      <c r="J595">
        <v>246389839</v>
      </c>
      <c r="P595">
        <v>241</v>
      </c>
      <c r="Q595" t="s">
        <v>1384</v>
      </c>
    </row>
    <row r="596" spans="1:17" x14ac:dyDescent="0.3">
      <c r="A596" t="s">
        <v>73</v>
      </c>
      <c r="B596" t="str">
        <f>"002414"</f>
        <v>002414</v>
      </c>
      <c r="C596" t="s">
        <v>1385</v>
      </c>
      <c r="D596" t="s">
        <v>502</v>
      </c>
      <c r="E596">
        <v>2045839666</v>
      </c>
      <c r="F596">
        <v>1621826251</v>
      </c>
      <c r="G596">
        <v>841247578</v>
      </c>
      <c r="H596">
        <v>510653616</v>
      </c>
      <c r="I596">
        <v>857061205</v>
      </c>
      <c r="J596">
        <v>750151093</v>
      </c>
      <c r="K596">
        <v>645649496</v>
      </c>
      <c r="L596">
        <v>479515119</v>
      </c>
      <c r="M596">
        <v>457493782</v>
      </c>
      <c r="N596">
        <v>541821772</v>
      </c>
      <c r="O596">
        <v>406814129</v>
      </c>
      <c r="P596">
        <v>789</v>
      </c>
      <c r="Q596" t="s">
        <v>1386</v>
      </c>
    </row>
    <row r="597" spans="1:17" x14ac:dyDescent="0.3">
      <c r="A597" t="s">
        <v>17</v>
      </c>
      <c r="B597" t="str">
        <f>"600323"</f>
        <v>600323</v>
      </c>
      <c r="C597" t="s">
        <v>1387</v>
      </c>
      <c r="D597" t="s">
        <v>623</v>
      </c>
      <c r="E597">
        <v>2044597461</v>
      </c>
      <c r="F597">
        <v>1293757702</v>
      </c>
      <c r="G597">
        <v>908137442</v>
      </c>
      <c r="H597">
        <v>584987466</v>
      </c>
      <c r="I597">
        <v>511572495</v>
      </c>
      <c r="J597">
        <v>372433343</v>
      </c>
      <c r="K597">
        <v>309061488</v>
      </c>
      <c r="L597">
        <v>242527760</v>
      </c>
      <c r="M597">
        <v>94779196</v>
      </c>
      <c r="N597">
        <v>59395870</v>
      </c>
      <c r="O597">
        <v>70795510</v>
      </c>
      <c r="P597">
        <v>1149</v>
      </c>
      <c r="Q597" t="s">
        <v>1388</v>
      </c>
    </row>
    <row r="598" spans="1:17" x14ac:dyDescent="0.3">
      <c r="A598" t="s">
        <v>73</v>
      </c>
      <c r="B598" t="str">
        <f>"300463"</f>
        <v>300463</v>
      </c>
      <c r="C598" t="s">
        <v>1389</v>
      </c>
      <c r="D598" t="s">
        <v>773</v>
      </c>
      <c r="E598">
        <v>2031464997</v>
      </c>
      <c r="F598">
        <v>2165281112</v>
      </c>
      <c r="G598">
        <v>1825876908</v>
      </c>
      <c r="H598">
        <v>1672095569</v>
      </c>
      <c r="I598">
        <v>1188612283</v>
      </c>
      <c r="J598">
        <v>847772508</v>
      </c>
      <c r="K598">
        <v>605765072</v>
      </c>
      <c r="L598">
        <v>418765635</v>
      </c>
      <c r="M598">
        <v>0</v>
      </c>
      <c r="P598">
        <v>1101</v>
      </c>
      <c r="Q598" t="s">
        <v>1390</v>
      </c>
    </row>
    <row r="599" spans="1:17" x14ac:dyDescent="0.3">
      <c r="A599" t="s">
        <v>17</v>
      </c>
      <c r="B599" t="str">
        <f>"603118"</f>
        <v>603118</v>
      </c>
      <c r="C599" t="s">
        <v>1391</v>
      </c>
      <c r="D599" t="s">
        <v>332</v>
      </c>
      <c r="E599">
        <v>2028526159</v>
      </c>
      <c r="F599">
        <v>1835954252</v>
      </c>
      <c r="G599">
        <v>1580936126</v>
      </c>
      <c r="H599">
        <v>1958023099</v>
      </c>
      <c r="I599">
        <v>1297781790</v>
      </c>
      <c r="J599">
        <v>1483669388</v>
      </c>
      <c r="K599">
        <v>1415147044</v>
      </c>
      <c r="L599">
        <v>1406523453</v>
      </c>
      <c r="M599">
        <v>0</v>
      </c>
      <c r="P599">
        <v>243</v>
      </c>
      <c r="Q599" t="s">
        <v>1392</v>
      </c>
    </row>
    <row r="600" spans="1:17" x14ac:dyDescent="0.3">
      <c r="A600" t="s">
        <v>73</v>
      </c>
      <c r="B600" t="str">
        <f>"300037"</f>
        <v>300037</v>
      </c>
      <c r="C600" t="s">
        <v>1393</v>
      </c>
      <c r="D600" t="s">
        <v>561</v>
      </c>
      <c r="E600">
        <v>2025228520</v>
      </c>
      <c r="F600">
        <v>1213468752</v>
      </c>
      <c r="G600">
        <v>762587717</v>
      </c>
      <c r="H600">
        <v>820020741</v>
      </c>
      <c r="I600">
        <v>698141726</v>
      </c>
      <c r="J600">
        <v>450477452</v>
      </c>
      <c r="K600">
        <v>317834928</v>
      </c>
      <c r="L600">
        <v>224528353</v>
      </c>
      <c r="M600">
        <v>178635529</v>
      </c>
      <c r="N600">
        <v>175452646</v>
      </c>
      <c r="O600">
        <v>158872922</v>
      </c>
      <c r="P600">
        <v>830</v>
      </c>
      <c r="Q600" t="s">
        <v>1394</v>
      </c>
    </row>
    <row r="601" spans="1:17" x14ac:dyDescent="0.3">
      <c r="A601" t="s">
        <v>73</v>
      </c>
      <c r="B601" t="str">
        <f>"300569"</f>
        <v>300569</v>
      </c>
      <c r="C601" t="s">
        <v>1395</v>
      </c>
      <c r="D601" t="s">
        <v>778</v>
      </c>
      <c r="E601">
        <v>2024831457</v>
      </c>
      <c r="F601">
        <v>1590740986</v>
      </c>
      <c r="G601">
        <v>1024604606</v>
      </c>
      <c r="H601">
        <v>700274503</v>
      </c>
      <c r="I601">
        <v>462862660</v>
      </c>
      <c r="J601">
        <v>441291270</v>
      </c>
      <c r="K601">
        <v>0</v>
      </c>
      <c r="P601">
        <v>201</v>
      </c>
      <c r="Q601" t="s">
        <v>1396</v>
      </c>
    </row>
    <row r="602" spans="1:17" x14ac:dyDescent="0.3">
      <c r="A602" t="s">
        <v>73</v>
      </c>
      <c r="B602" t="str">
        <f>"000030"</f>
        <v>000030</v>
      </c>
      <c r="C602" t="s">
        <v>1397</v>
      </c>
      <c r="D602" t="s">
        <v>122</v>
      </c>
      <c r="E602">
        <v>2021009323</v>
      </c>
      <c r="F602">
        <v>2327123492</v>
      </c>
      <c r="G602">
        <v>1744118412</v>
      </c>
      <c r="H602">
        <v>1999207324</v>
      </c>
      <c r="I602">
        <v>1480500611</v>
      </c>
      <c r="J602">
        <v>1458298917</v>
      </c>
      <c r="K602">
        <v>1144876748</v>
      </c>
      <c r="L602">
        <v>1170820765</v>
      </c>
      <c r="M602">
        <v>1100631601</v>
      </c>
      <c r="N602">
        <v>1057840357</v>
      </c>
      <c r="O602">
        <v>0</v>
      </c>
      <c r="P602">
        <v>330</v>
      </c>
      <c r="Q602" t="s">
        <v>1398</v>
      </c>
    </row>
    <row r="603" spans="1:17" x14ac:dyDescent="0.3">
      <c r="A603" t="s">
        <v>73</v>
      </c>
      <c r="B603" t="str">
        <f>"002717"</f>
        <v>002717</v>
      </c>
      <c r="C603" t="s">
        <v>1399</v>
      </c>
      <c r="D603" t="s">
        <v>445</v>
      </c>
      <c r="E603">
        <v>2019434675</v>
      </c>
      <c r="F603">
        <v>1738121367</v>
      </c>
      <c r="G603">
        <v>3269429313</v>
      </c>
      <c r="H603">
        <v>2937416058</v>
      </c>
      <c r="I603">
        <v>1650261042</v>
      </c>
      <c r="J603">
        <v>917867101</v>
      </c>
      <c r="K603">
        <v>518552245</v>
      </c>
      <c r="L603">
        <v>319960390</v>
      </c>
      <c r="M603">
        <v>284375261</v>
      </c>
      <c r="N603">
        <v>0</v>
      </c>
      <c r="P603">
        <v>394</v>
      </c>
      <c r="Q603" t="s">
        <v>1400</v>
      </c>
    </row>
    <row r="604" spans="1:17" x14ac:dyDescent="0.3">
      <c r="A604" t="s">
        <v>73</v>
      </c>
      <c r="B604" t="str">
        <f>"001696"</f>
        <v>001696</v>
      </c>
      <c r="C604" t="s">
        <v>1401</v>
      </c>
      <c r="D604" t="s">
        <v>873</v>
      </c>
      <c r="E604">
        <v>2019140790</v>
      </c>
      <c r="F604">
        <v>1628841019</v>
      </c>
      <c r="G604">
        <v>1126657604</v>
      </c>
      <c r="H604">
        <v>1025535777</v>
      </c>
      <c r="I604">
        <v>1050274544</v>
      </c>
      <c r="J604">
        <v>696257244</v>
      </c>
      <c r="K604">
        <v>614284946</v>
      </c>
      <c r="L604">
        <v>639672929</v>
      </c>
      <c r="M604">
        <v>613178706</v>
      </c>
      <c r="N604">
        <v>588529531</v>
      </c>
      <c r="O604">
        <v>628971249</v>
      </c>
      <c r="P604">
        <v>274</v>
      </c>
      <c r="Q604" t="s">
        <v>1402</v>
      </c>
    </row>
    <row r="605" spans="1:17" x14ac:dyDescent="0.3">
      <c r="A605" t="s">
        <v>17</v>
      </c>
      <c r="B605" t="str">
        <f>"603338"</f>
        <v>603338</v>
      </c>
      <c r="C605" t="s">
        <v>1403</v>
      </c>
      <c r="D605" t="s">
        <v>75</v>
      </c>
      <c r="E605">
        <v>2016822856</v>
      </c>
      <c r="F605">
        <v>1030155249</v>
      </c>
      <c r="G605">
        <v>692186295</v>
      </c>
      <c r="H605">
        <v>596615236</v>
      </c>
      <c r="I605">
        <v>383487183</v>
      </c>
      <c r="J605">
        <v>250778400</v>
      </c>
      <c r="K605">
        <v>105245792</v>
      </c>
      <c r="L605">
        <v>101638640</v>
      </c>
      <c r="M605">
        <v>0</v>
      </c>
      <c r="P605">
        <v>12811</v>
      </c>
      <c r="Q605" t="s">
        <v>1404</v>
      </c>
    </row>
    <row r="606" spans="1:17" x14ac:dyDescent="0.3">
      <c r="A606" t="s">
        <v>17</v>
      </c>
      <c r="B606" t="str">
        <f>"603300"</f>
        <v>603300</v>
      </c>
      <c r="C606" t="s">
        <v>1405</v>
      </c>
      <c r="D606" t="s">
        <v>1201</v>
      </c>
      <c r="E606">
        <v>2012677737</v>
      </c>
      <c r="F606">
        <v>1307126302</v>
      </c>
      <c r="G606">
        <v>837856535</v>
      </c>
      <c r="H606">
        <v>494184303</v>
      </c>
      <c r="I606">
        <v>373738645</v>
      </c>
      <c r="J606">
        <v>326612424</v>
      </c>
      <c r="K606">
        <v>329069316</v>
      </c>
      <c r="L606">
        <v>252424926</v>
      </c>
      <c r="M606">
        <v>0</v>
      </c>
      <c r="P606">
        <v>123</v>
      </c>
      <c r="Q606" t="s">
        <v>1406</v>
      </c>
    </row>
    <row r="607" spans="1:17" x14ac:dyDescent="0.3">
      <c r="A607" t="s">
        <v>17</v>
      </c>
      <c r="B607" t="str">
        <f>"600597"</f>
        <v>600597</v>
      </c>
      <c r="C607" t="s">
        <v>1407</v>
      </c>
      <c r="D607" t="s">
        <v>1027</v>
      </c>
      <c r="E607">
        <v>2011036289</v>
      </c>
      <c r="F607">
        <v>1934005471</v>
      </c>
      <c r="G607">
        <v>1743244160</v>
      </c>
      <c r="H607">
        <v>1564135782</v>
      </c>
      <c r="I607">
        <v>1686271865</v>
      </c>
      <c r="J607">
        <v>1727204284</v>
      </c>
      <c r="K607">
        <v>1707163130</v>
      </c>
      <c r="L607">
        <v>2056620628</v>
      </c>
      <c r="M607">
        <v>1495396283</v>
      </c>
      <c r="N607">
        <v>1377466649</v>
      </c>
      <c r="O607">
        <v>1180651056</v>
      </c>
      <c r="P607">
        <v>1247</v>
      </c>
      <c r="Q607" t="s">
        <v>1408</v>
      </c>
    </row>
    <row r="608" spans="1:17" x14ac:dyDescent="0.3">
      <c r="A608" t="s">
        <v>17</v>
      </c>
      <c r="B608" t="str">
        <f>"600466"</f>
        <v>600466</v>
      </c>
      <c r="C608" t="s">
        <v>1409</v>
      </c>
      <c r="D608" t="s">
        <v>27</v>
      </c>
      <c r="E608">
        <v>2010001912</v>
      </c>
      <c r="F608">
        <v>2863026603</v>
      </c>
      <c r="G608">
        <v>2267124083</v>
      </c>
      <c r="H608">
        <v>1719604226</v>
      </c>
      <c r="I608">
        <v>901813147</v>
      </c>
      <c r="J608">
        <v>641990066</v>
      </c>
      <c r="K608">
        <v>411018853</v>
      </c>
      <c r="L608">
        <v>397290896</v>
      </c>
      <c r="M608">
        <v>60770179</v>
      </c>
      <c r="N608">
        <v>62834548</v>
      </c>
      <c r="O608">
        <v>49809634</v>
      </c>
      <c r="P608">
        <v>844</v>
      </c>
      <c r="Q608" t="s">
        <v>1410</v>
      </c>
    </row>
    <row r="609" spans="1:17" x14ac:dyDescent="0.3">
      <c r="A609" t="s">
        <v>73</v>
      </c>
      <c r="B609" t="str">
        <f>"002392"</f>
        <v>002392</v>
      </c>
      <c r="C609" t="s">
        <v>1411</v>
      </c>
      <c r="D609" t="s">
        <v>1412</v>
      </c>
      <c r="E609">
        <v>2004202750</v>
      </c>
      <c r="F609">
        <v>1577817931</v>
      </c>
      <c r="G609">
        <v>1384895702</v>
      </c>
      <c r="H609">
        <v>1309230474</v>
      </c>
      <c r="I609">
        <v>1408997353</v>
      </c>
      <c r="J609">
        <v>1511100328</v>
      </c>
      <c r="K609">
        <v>1451387487</v>
      </c>
      <c r="L609">
        <v>1268461434</v>
      </c>
      <c r="M609">
        <v>986533878</v>
      </c>
      <c r="N609">
        <v>655070509</v>
      </c>
      <c r="O609">
        <v>545051333</v>
      </c>
      <c r="P609">
        <v>142</v>
      </c>
      <c r="Q609" t="s">
        <v>1413</v>
      </c>
    </row>
    <row r="610" spans="1:17" x14ac:dyDescent="0.3">
      <c r="A610" t="s">
        <v>73</v>
      </c>
      <c r="B610" t="str">
        <f>"001308"</f>
        <v>001308</v>
      </c>
      <c r="C610" t="s">
        <v>1414</v>
      </c>
      <c r="E610">
        <v>2001714734</v>
      </c>
      <c r="P610">
        <v>5</v>
      </c>
      <c r="Q610" t="s">
        <v>1415</v>
      </c>
    </row>
    <row r="611" spans="1:17" x14ac:dyDescent="0.3">
      <c r="A611" t="s">
        <v>73</v>
      </c>
      <c r="B611" t="str">
        <f>"300979"</f>
        <v>300979</v>
      </c>
      <c r="C611" t="s">
        <v>1416</v>
      </c>
      <c r="D611" t="s">
        <v>1417</v>
      </c>
      <c r="E611">
        <v>1997693862</v>
      </c>
      <c r="F611">
        <v>1960932197</v>
      </c>
      <c r="P611">
        <v>95</v>
      </c>
      <c r="Q611" t="s">
        <v>1418</v>
      </c>
    </row>
    <row r="612" spans="1:17" x14ac:dyDescent="0.3">
      <c r="A612" t="s">
        <v>73</v>
      </c>
      <c r="B612" t="str">
        <f>"000937"</f>
        <v>000937</v>
      </c>
      <c r="C612" t="s">
        <v>1419</v>
      </c>
      <c r="D612" t="s">
        <v>492</v>
      </c>
      <c r="E612">
        <v>1997274968</v>
      </c>
      <c r="F612">
        <v>1810925470</v>
      </c>
      <c r="G612">
        <v>1735626218</v>
      </c>
      <c r="H612">
        <v>2129089572</v>
      </c>
      <c r="I612">
        <v>3543309809</v>
      </c>
      <c r="J612">
        <v>4675366092</v>
      </c>
      <c r="K612">
        <v>4614635020</v>
      </c>
      <c r="L612">
        <v>4092922165</v>
      </c>
      <c r="M612">
        <v>5646633009</v>
      </c>
      <c r="N612">
        <v>4755487523</v>
      </c>
      <c r="O612">
        <v>4247484504</v>
      </c>
      <c r="P612">
        <v>350</v>
      </c>
      <c r="Q612" t="s">
        <v>1420</v>
      </c>
    </row>
    <row r="613" spans="1:17" x14ac:dyDescent="0.3">
      <c r="A613" t="s">
        <v>17</v>
      </c>
      <c r="B613" t="str">
        <f>"600958"</f>
        <v>600958</v>
      </c>
      <c r="C613" t="s">
        <v>1421</v>
      </c>
      <c r="D613" t="s">
        <v>53</v>
      </c>
      <c r="E613">
        <v>1994171383</v>
      </c>
      <c r="F613">
        <v>2144381098</v>
      </c>
      <c r="G613">
        <v>703296166</v>
      </c>
      <c r="H613">
        <v>657500823</v>
      </c>
      <c r="I613">
        <v>1047502500</v>
      </c>
      <c r="J613">
        <v>1313565011</v>
      </c>
      <c r="K613">
        <v>0</v>
      </c>
      <c r="L613">
        <v>0</v>
      </c>
      <c r="M613">
        <v>0</v>
      </c>
      <c r="P613">
        <v>1248</v>
      </c>
      <c r="Q613" t="s">
        <v>1422</v>
      </c>
    </row>
    <row r="614" spans="1:17" x14ac:dyDescent="0.3">
      <c r="A614" t="s">
        <v>73</v>
      </c>
      <c r="B614" t="str">
        <f>"000541"</f>
        <v>000541</v>
      </c>
      <c r="C614" t="s">
        <v>1423</v>
      </c>
      <c r="D614" t="s">
        <v>1424</v>
      </c>
      <c r="E614">
        <v>1991787129</v>
      </c>
      <c r="F614">
        <v>940223382</v>
      </c>
      <c r="G614">
        <v>638198118</v>
      </c>
      <c r="H614">
        <v>847132602</v>
      </c>
      <c r="I614">
        <v>959570744</v>
      </c>
      <c r="J614">
        <v>811126368</v>
      </c>
      <c r="K614">
        <v>546891520</v>
      </c>
      <c r="L614">
        <v>390948837</v>
      </c>
      <c r="M614">
        <v>436743860</v>
      </c>
      <c r="N614">
        <v>448804918</v>
      </c>
      <c r="O614">
        <v>345056234</v>
      </c>
      <c r="P614">
        <v>437</v>
      </c>
      <c r="Q614" t="s">
        <v>1425</v>
      </c>
    </row>
    <row r="615" spans="1:17" x14ac:dyDescent="0.3">
      <c r="A615" t="s">
        <v>73</v>
      </c>
      <c r="B615" t="str">
        <f>"002311"</f>
        <v>002311</v>
      </c>
      <c r="C615" t="s">
        <v>1426</v>
      </c>
      <c r="D615" t="s">
        <v>1427</v>
      </c>
      <c r="E615">
        <v>1989770674</v>
      </c>
      <c r="F615">
        <v>1640478694</v>
      </c>
      <c r="G615">
        <v>1708627004</v>
      </c>
      <c r="H615">
        <v>1437211332</v>
      </c>
      <c r="I615">
        <v>1145811117</v>
      </c>
      <c r="J615">
        <v>897987125</v>
      </c>
      <c r="K615">
        <v>640218345</v>
      </c>
      <c r="L615">
        <v>516609564</v>
      </c>
      <c r="M615">
        <v>413956255</v>
      </c>
      <c r="N615">
        <v>311380194</v>
      </c>
      <c r="O615">
        <v>200845962</v>
      </c>
      <c r="P615">
        <v>1933</v>
      </c>
      <c r="Q615" t="s">
        <v>1428</v>
      </c>
    </row>
    <row r="616" spans="1:17" x14ac:dyDescent="0.3">
      <c r="A616" t="s">
        <v>17</v>
      </c>
      <c r="B616" t="str">
        <f>"600299"</f>
        <v>600299</v>
      </c>
      <c r="C616" t="s">
        <v>1429</v>
      </c>
      <c r="D616" t="s">
        <v>1430</v>
      </c>
      <c r="E616">
        <v>1989463840</v>
      </c>
      <c r="F616">
        <v>1672334675</v>
      </c>
      <c r="G616">
        <v>1827571455</v>
      </c>
      <c r="H616">
        <v>1728983786</v>
      </c>
      <c r="I616">
        <v>1843953989</v>
      </c>
      <c r="J616">
        <v>1431568372</v>
      </c>
      <c r="K616">
        <v>1710457139</v>
      </c>
      <c r="L616">
        <v>804617236</v>
      </c>
      <c r="M616">
        <v>1444167586</v>
      </c>
      <c r="N616">
        <v>1326431906</v>
      </c>
      <c r="O616">
        <v>1134468235</v>
      </c>
      <c r="P616">
        <v>497</v>
      </c>
      <c r="Q616" t="s">
        <v>1431</v>
      </c>
    </row>
    <row r="617" spans="1:17" x14ac:dyDescent="0.3">
      <c r="A617" t="s">
        <v>17</v>
      </c>
      <c r="B617" t="str">
        <f>"600496"</f>
        <v>600496</v>
      </c>
      <c r="C617" t="s">
        <v>1432</v>
      </c>
      <c r="D617" t="s">
        <v>711</v>
      </c>
      <c r="E617">
        <v>1989105399</v>
      </c>
      <c r="F617">
        <v>1771796783</v>
      </c>
      <c r="G617">
        <v>1625581659</v>
      </c>
      <c r="H617">
        <v>1534243339</v>
      </c>
      <c r="I617">
        <v>1577325418</v>
      </c>
      <c r="J617">
        <v>1245033176</v>
      </c>
      <c r="K617">
        <v>1631225578</v>
      </c>
      <c r="L617">
        <v>1386354223</v>
      </c>
      <c r="M617">
        <v>1097157849</v>
      </c>
      <c r="N617">
        <v>1062124576</v>
      </c>
      <c r="O617">
        <v>1024047784</v>
      </c>
      <c r="P617">
        <v>249</v>
      </c>
      <c r="Q617" t="s">
        <v>1433</v>
      </c>
    </row>
    <row r="618" spans="1:17" x14ac:dyDescent="0.3">
      <c r="A618" t="s">
        <v>73</v>
      </c>
      <c r="B618" t="str">
        <f>"002182"</f>
        <v>002182</v>
      </c>
      <c r="C618" t="s">
        <v>1434</v>
      </c>
      <c r="D618" t="s">
        <v>1240</v>
      </c>
      <c r="E618">
        <v>1985582901</v>
      </c>
      <c r="F618">
        <v>1297944092</v>
      </c>
      <c r="G618">
        <v>960537387</v>
      </c>
      <c r="H618">
        <v>924026034</v>
      </c>
      <c r="I618">
        <v>764715303</v>
      </c>
      <c r="J618">
        <v>729756237</v>
      </c>
      <c r="K618">
        <v>495612769</v>
      </c>
      <c r="L618">
        <v>398387013</v>
      </c>
      <c r="M618">
        <v>416164937</v>
      </c>
      <c r="N618">
        <v>415943872</v>
      </c>
      <c r="O618">
        <v>307268745</v>
      </c>
      <c r="P618">
        <v>372</v>
      </c>
      <c r="Q618" t="s">
        <v>1435</v>
      </c>
    </row>
    <row r="619" spans="1:17" x14ac:dyDescent="0.3">
      <c r="A619" t="s">
        <v>73</v>
      </c>
      <c r="B619" t="str">
        <f>"300129"</f>
        <v>300129</v>
      </c>
      <c r="C619" t="s">
        <v>1436</v>
      </c>
      <c r="D619" t="s">
        <v>778</v>
      </c>
      <c r="E619">
        <v>1979996756</v>
      </c>
      <c r="F619">
        <v>1217619406</v>
      </c>
      <c r="G619">
        <v>692236513</v>
      </c>
      <c r="H619">
        <v>683280214</v>
      </c>
      <c r="I619">
        <v>599840491</v>
      </c>
      <c r="J619">
        <v>648638041</v>
      </c>
      <c r="K619">
        <v>641362813</v>
      </c>
      <c r="L619">
        <v>353118797</v>
      </c>
      <c r="M619">
        <v>369332311</v>
      </c>
      <c r="N619">
        <v>298740087</v>
      </c>
      <c r="O619">
        <v>214704466</v>
      </c>
      <c r="P619">
        <v>183</v>
      </c>
      <c r="Q619" t="s">
        <v>1437</v>
      </c>
    </row>
    <row r="620" spans="1:17" x14ac:dyDescent="0.3">
      <c r="A620" t="s">
        <v>73</v>
      </c>
      <c r="B620" t="str">
        <f>"000720"</f>
        <v>000720</v>
      </c>
      <c r="C620" t="s">
        <v>1438</v>
      </c>
      <c r="D620" t="s">
        <v>61</v>
      </c>
      <c r="E620">
        <v>1978406003</v>
      </c>
      <c r="F620">
        <v>1760650453</v>
      </c>
      <c r="G620">
        <v>551673181</v>
      </c>
      <c r="H620">
        <v>580493180</v>
      </c>
      <c r="I620">
        <v>408162612</v>
      </c>
      <c r="J620">
        <v>479080002</v>
      </c>
      <c r="K620">
        <v>488853345</v>
      </c>
      <c r="L620">
        <v>560435263</v>
      </c>
      <c r="M620">
        <v>483960019</v>
      </c>
      <c r="N620">
        <v>510537614</v>
      </c>
      <c r="O620">
        <v>464391559</v>
      </c>
      <c r="P620">
        <v>122</v>
      </c>
      <c r="Q620" t="s">
        <v>1439</v>
      </c>
    </row>
    <row r="621" spans="1:17" x14ac:dyDescent="0.3">
      <c r="A621" t="s">
        <v>17</v>
      </c>
      <c r="B621" t="str">
        <f>"600688"</f>
        <v>600688</v>
      </c>
      <c r="C621" t="s">
        <v>1440</v>
      </c>
      <c r="D621" t="s">
        <v>36</v>
      </c>
      <c r="E621">
        <v>1978371000</v>
      </c>
      <c r="F621">
        <v>2137277000</v>
      </c>
      <c r="G621">
        <v>1942207000</v>
      </c>
      <c r="H621">
        <v>3146367000</v>
      </c>
      <c r="I621">
        <v>3046713000</v>
      </c>
      <c r="J621">
        <v>1633304000</v>
      </c>
      <c r="K621">
        <v>1264951000</v>
      </c>
      <c r="L621">
        <v>1447560000</v>
      </c>
      <c r="M621">
        <v>1251566000</v>
      </c>
      <c r="N621">
        <v>1587001000</v>
      </c>
      <c r="O621">
        <v>711093000</v>
      </c>
      <c r="P621">
        <v>585</v>
      </c>
      <c r="Q621" t="s">
        <v>1441</v>
      </c>
    </row>
    <row r="622" spans="1:17" x14ac:dyDescent="0.3">
      <c r="A622" t="s">
        <v>73</v>
      </c>
      <c r="B622" t="str">
        <f>"300601"</f>
        <v>300601</v>
      </c>
      <c r="C622" t="s">
        <v>1442</v>
      </c>
      <c r="D622" t="s">
        <v>182</v>
      </c>
      <c r="E622">
        <v>1971702606</v>
      </c>
      <c r="F622">
        <v>1587756715</v>
      </c>
      <c r="G622">
        <v>1027975823</v>
      </c>
      <c r="H622">
        <v>891351289</v>
      </c>
      <c r="I622">
        <v>709716293</v>
      </c>
      <c r="J622">
        <v>356290132</v>
      </c>
      <c r="K622">
        <v>0</v>
      </c>
      <c r="P622">
        <v>1384</v>
      </c>
      <c r="Q622" t="s">
        <v>1443</v>
      </c>
    </row>
    <row r="623" spans="1:17" x14ac:dyDescent="0.3">
      <c r="A623" t="s">
        <v>73</v>
      </c>
      <c r="B623" t="str">
        <f>"002463"</f>
        <v>002463</v>
      </c>
      <c r="C623" t="s">
        <v>1444</v>
      </c>
      <c r="D623" t="s">
        <v>418</v>
      </c>
      <c r="E623">
        <v>1963906359</v>
      </c>
      <c r="F623">
        <v>1796639749</v>
      </c>
      <c r="G623">
        <v>1504549183</v>
      </c>
      <c r="H623">
        <v>1344335216</v>
      </c>
      <c r="I623">
        <v>1181997181</v>
      </c>
      <c r="J623">
        <v>968647472</v>
      </c>
      <c r="K623">
        <v>867792205</v>
      </c>
      <c r="L623">
        <v>755836155</v>
      </c>
      <c r="M623">
        <v>742863460</v>
      </c>
      <c r="N623">
        <v>780845439</v>
      </c>
      <c r="O623">
        <v>659803119</v>
      </c>
      <c r="P623">
        <v>3004</v>
      </c>
      <c r="Q623" t="s">
        <v>1445</v>
      </c>
    </row>
    <row r="624" spans="1:17" x14ac:dyDescent="0.3">
      <c r="A624" t="s">
        <v>17</v>
      </c>
      <c r="B624" t="str">
        <f>"600110"</f>
        <v>600110</v>
      </c>
      <c r="C624" t="s">
        <v>1446</v>
      </c>
      <c r="D624" t="s">
        <v>452</v>
      </c>
      <c r="E624">
        <v>1957716058</v>
      </c>
      <c r="F624">
        <v>1369069338</v>
      </c>
      <c r="G624">
        <v>809096137</v>
      </c>
      <c r="H624">
        <v>868704230</v>
      </c>
      <c r="I624">
        <v>859491236</v>
      </c>
      <c r="J624">
        <v>661317265</v>
      </c>
      <c r="K624">
        <v>483759925</v>
      </c>
      <c r="L624">
        <v>596802388</v>
      </c>
      <c r="M624">
        <v>734567784</v>
      </c>
      <c r="N624">
        <v>638558489</v>
      </c>
      <c r="O624">
        <v>412762097</v>
      </c>
      <c r="P624">
        <v>339</v>
      </c>
      <c r="Q624" t="s">
        <v>1447</v>
      </c>
    </row>
    <row r="625" spans="1:17" x14ac:dyDescent="0.3">
      <c r="A625" t="s">
        <v>73</v>
      </c>
      <c r="B625" t="str">
        <f>"300063"</f>
        <v>300063</v>
      </c>
      <c r="C625" t="s">
        <v>1448</v>
      </c>
      <c r="D625" t="s">
        <v>425</v>
      </c>
      <c r="E625">
        <v>1957267029</v>
      </c>
      <c r="F625">
        <v>1850469703</v>
      </c>
      <c r="G625">
        <v>1981815260</v>
      </c>
      <c r="H625">
        <v>1226393188</v>
      </c>
      <c r="I625">
        <v>1293977437</v>
      </c>
      <c r="J625">
        <v>994634698</v>
      </c>
      <c r="K625">
        <v>842034710</v>
      </c>
      <c r="L625">
        <v>376080382</v>
      </c>
      <c r="M625">
        <v>208894372</v>
      </c>
      <c r="N625">
        <v>142109233</v>
      </c>
      <c r="O625">
        <v>122798461</v>
      </c>
      <c r="P625">
        <v>109</v>
      </c>
      <c r="Q625" t="s">
        <v>1449</v>
      </c>
    </row>
    <row r="626" spans="1:17" x14ac:dyDescent="0.3">
      <c r="A626" t="s">
        <v>17</v>
      </c>
      <c r="B626" t="str">
        <f>"600579"</f>
        <v>600579</v>
      </c>
      <c r="C626" t="s">
        <v>1450</v>
      </c>
      <c r="D626" t="s">
        <v>1451</v>
      </c>
      <c r="E626">
        <v>1956799635</v>
      </c>
      <c r="F626">
        <v>1896839541</v>
      </c>
      <c r="G626">
        <v>1939549495</v>
      </c>
      <c r="H626">
        <v>0</v>
      </c>
      <c r="I626">
        <v>547710901</v>
      </c>
      <c r="J626">
        <v>565840916</v>
      </c>
      <c r="K626">
        <v>548964903</v>
      </c>
      <c r="L626">
        <v>478166997</v>
      </c>
      <c r="M626">
        <v>448826358</v>
      </c>
      <c r="N626">
        <v>80424042</v>
      </c>
      <c r="O626">
        <v>124024372</v>
      </c>
      <c r="P626">
        <v>72</v>
      </c>
      <c r="Q626" t="s">
        <v>1452</v>
      </c>
    </row>
    <row r="627" spans="1:17" x14ac:dyDescent="0.3">
      <c r="A627" t="s">
        <v>73</v>
      </c>
      <c r="B627" t="str">
        <f>"300059"</f>
        <v>300059</v>
      </c>
      <c r="C627" t="s">
        <v>1453</v>
      </c>
      <c r="D627" t="s">
        <v>53</v>
      </c>
      <c r="E627">
        <v>1949524622</v>
      </c>
      <c r="F627">
        <v>1168699477</v>
      </c>
      <c r="G627">
        <v>469983927</v>
      </c>
      <c r="H627">
        <v>285617040</v>
      </c>
      <c r="I627">
        <v>390833239</v>
      </c>
      <c r="J627">
        <v>329904944</v>
      </c>
      <c r="K627">
        <v>363376734</v>
      </c>
      <c r="L627">
        <v>180708844</v>
      </c>
      <c r="M627">
        <v>76999242</v>
      </c>
      <c r="N627">
        <v>49729888</v>
      </c>
      <c r="O627">
        <v>37194870</v>
      </c>
      <c r="P627">
        <v>5893</v>
      </c>
      <c r="Q627" t="s">
        <v>1454</v>
      </c>
    </row>
    <row r="628" spans="1:17" x14ac:dyDescent="0.3">
      <c r="A628" t="s">
        <v>17</v>
      </c>
      <c r="B628" t="str">
        <f>"600138"</f>
        <v>600138</v>
      </c>
      <c r="C628" t="s">
        <v>1455</v>
      </c>
      <c r="D628" t="s">
        <v>1456</v>
      </c>
      <c r="E628">
        <v>1947089070</v>
      </c>
      <c r="F628">
        <v>1834791927</v>
      </c>
      <c r="G628">
        <v>1815209021</v>
      </c>
      <c r="H628">
        <v>2130775177</v>
      </c>
      <c r="I628">
        <v>1642695582</v>
      </c>
      <c r="J628">
        <v>1524417456</v>
      </c>
      <c r="K628">
        <v>1457744898</v>
      </c>
      <c r="L628">
        <v>1220014819</v>
      </c>
      <c r="M628">
        <v>1078726922</v>
      </c>
      <c r="N628">
        <v>897650243</v>
      </c>
      <c r="O628">
        <v>774237467</v>
      </c>
      <c r="P628">
        <v>486</v>
      </c>
      <c r="Q628" t="s">
        <v>1457</v>
      </c>
    </row>
    <row r="629" spans="1:17" x14ac:dyDescent="0.3">
      <c r="A629" t="s">
        <v>17</v>
      </c>
      <c r="B629" t="str">
        <f>"600329"</f>
        <v>600329</v>
      </c>
      <c r="C629" t="s">
        <v>1458</v>
      </c>
      <c r="D629" t="s">
        <v>215</v>
      </c>
      <c r="E629">
        <v>1944582679</v>
      </c>
      <c r="F629">
        <v>1786829332</v>
      </c>
      <c r="G629">
        <v>1786231639</v>
      </c>
      <c r="H629">
        <v>1586110785</v>
      </c>
      <c r="I629">
        <v>1441568542</v>
      </c>
      <c r="J629">
        <v>1334993095</v>
      </c>
      <c r="K629">
        <v>1339825307</v>
      </c>
      <c r="L629">
        <v>1208546171</v>
      </c>
      <c r="M629">
        <v>1107202763</v>
      </c>
      <c r="N629">
        <v>913161898</v>
      </c>
      <c r="O629">
        <v>678052844</v>
      </c>
      <c r="P629">
        <v>553</v>
      </c>
      <c r="Q629" t="s">
        <v>1459</v>
      </c>
    </row>
    <row r="630" spans="1:17" x14ac:dyDescent="0.3">
      <c r="A630" t="s">
        <v>17</v>
      </c>
      <c r="B630" t="str">
        <f>"600566"</f>
        <v>600566</v>
      </c>
      <c r="C630" t="s">
        <v>1460</v>
      </c>
      <c r="D630" t="s">
        <v>215</v>
      </c>
      <c r="E630">
        <v>1941306562</v>
      </c>
      <c r="F630">
        <v>1908175690</v>
      </c>
      <c r="G630">
        <v>2038488034</v>
      </c>
      <c r="H630">
        <v>2258421828</v>
      </c>
      <c r="I630">
        <v>2075699195</v>
      </c>
      <c r="J630">
        <v>1490964387</v>
      </c>
      <c r="K630">
        <v>1218195399</v>
      </c>
      <c r="L630">
        <v>988857623</v>
      </c>
      <c r="M630">
        <v>791215146</v>
      </c>
      <c r="N630">
        <v>166787225</v>
      </c>
      <c r="O630">
        <v>197708666</v>
      </c>
      <c r="P630">
        <v>13801</v>
      </c>
      <c r="Q630" t="s">
        <v>1461</v>
      </c>
    </row>
    <row r="631" spans="1:17" x14ac:dyDescent="0.3">
      <c r="A631" t="s">
        <v>17</v>
      </c>
      <c r="B631" t="str">
        <f>"601828"</f>
        <v>601828</v>
      </c>
      <c r="C631" t="s">
        <v>1462</v>
      </c>
      <c r="D631" t="s">
        <v>1463</v>
      </c>
      <c r="E631">
        <v>1934502912</v>
      </c>
      <c r="F631">
        <v>2184296990</v>
      </c>
      <c r="G631">
        <v>1914151083</v>
      </c>
      <c r="H631">
        <v>1729408111</v>
      </c>
      <c r="I631">
        <v>1383604754</v>
      </c>
      <c r="J631">
        <v>0</v>
      </c>
      <c r="P631">
        <v>351</v>
      </c>
      <c r="Q631" t="s">
        <v>1464</v>
      </c>
    </row>
    <row r="632" spans="1:17" x14ac:dyDescent="0.3">
      <c r="A632" t="s">
        <v>17</v>
      </c>
      <c r="B632" t="str">
        <f>"603030"</f>
        <v>603030</v>
      </c>
      <c r="C632" t="s">
        <v>1465</v>
      </c>
      <c r="D632" t="s">
        <v>258</v>
      </c>
      <c r="E632">
        <v>1929947910</v>
      </c>
      <c r="F632">
        <v>1684115333</v>
      </c>
      <c r="G632">
        <v>2670873518</v>
      </c>
      <c r="H632">
        <v>4076289969</v>
      </c>
      <c r="I632">
        <v>2371963811</v>
      </c>
      <c r="J632">
        <v>1394202095</v>
      </c>
      <c r="K632">
        <v>1025679076</v>
      </c>
      <c r="L632">
        <v>849567725</v>
      </c>
      <c r="M632">
        <v>0</v>
      </c>
      <c r="P632">
        <v>126</v>
      </c>
      <c r="Q632" t="s">
        <v>1466</v>
      </c>
    </row>
    <row r="633" spans="1:17" x14ac:dyDescent="0.3">
      <c r="A633" t="s">
        <v>73</v>
      </c>
      <c r="B633" t="str">
        <f>"300639"</f>
        <v>300639</v>
      </c>
      <c r="C633" t="s">
        <v>1467</v>
      </c>
      <c r="D633" t="s">
        <v>773</v>
      </c>
      <c r="E633">
        <v>1922585845</v>
      </c>
      <c r="F633">
        <v>829825024</v>
      </c>
      <c r="G633">
        <v>353072735</v>
      </c>
      <c r="H633">
        <v>271431771</v>
      </c>
      <c r="I633">
        <v>215437877</v>
      </c>
      <c r="J633">
        <v>146767588</v>
      </c>
      <c r="K633">
        <v>0</v>
      </c>
      <c r="P633">
        <v>535</v>
      </c>
      <c r="Q633" t="s">
        <v>1468</v>
      </c>
    </row>
    <row r="634" spans="1:17" x14ac:dyDescent="0.3">
      <c r="A634" t="s">
        <v>73</v>
      </c>
      <c r="B634" t="str">
        <f>"002258"</f>
        <v>002258</v>
      </c>
      <c r="C634" t="s">
        <v>1469</v>
      </c>
      <c r="D634" t="s">
        <v>272</v>
      </c>
      <c r="E634">
        <v>1921064060</v>
      </c>
      <c r="F634">
        <v>1002927017</v>
      </c>
      <c r="G634">
        <v>737038979</v>
      </c>
      <c r="H634">
        <v>795318698</v>
      </c>
      <c r="I634">
        <v>732116551</v>
      </c>
      <c r="J634">
        <v>430001465</v>
      </c>
      <c r="K634">
        <v>404514415</v>
      </c>
      <c r="L634">
        <v>237099170</v>
      </c>
      <c r="M634">
        <v>280409907</v>
      </c>
      <c r="N634">
        <v>243527548</v>
      </c>
      <c r="O634">
        <v>215405381</v>
      </c>
      <c r="P634">
        <v>646</v>
      </c>
      <c r="Q634" t="s">
        <v>1470</v>
      </c>
    </row>
    <row r="635" spans="1:17" x14ac:dyDescent="0.3">
      <c r="A635" t="s">
        <v>17</v>
      </c>
      <c r="B635" t="str">
        <f>"600163"</f>
        <v>600163</v>
      </c>
      <c r="C635" t="s">
        <v>1471</v>
      </c>
      <c r="D635" t="s">
        <v>133</v>
      </c>
      <c r="E635">
        <v>1920450738</v>
      </c>
      <c r="F635">
        <v>1224184130</v>
      </c>
      <c r="G635">
        <v>741187531</v>
      </c>
      <c r="H635">
        <v>473353955</v>
      </c>
      <c r="I635">
        <v>394926853</v>
      </c>
      <c r="J635">
        <v>218986886</v>
      </c>
      <c r="K635">
        <v>117113971</v>
      </c>
      <c r="L635">
        <v>93740582</v>
      </c>
      <c r="M635">
        <v>138680405</v>
      </c>
      <c r="N635">
        <v>153097286</v>
      </c>
      <c r="O635">
        <v>178670956</v>
      </c>
      <c r="P635">
        <v>219</v>
      </c>
      <c r="Q635" t="s">
        <v>1472</v>
      </c>
    </row>
    <row r="636" spans="1:17" x14ac:dyDescent="0.3">
      <c r="A636" t="s">
        <v>17</v>
      </c>
      <c r="B636" t="str">
        <f>"600210"</f>
        <v>600210</v>
      </c>
      <c r="C636" t="s">
        <v>1473</v>
      </c>
      <c r="D636" t="s">
        <v>1474</v>
      </c>
      <c r="E636">
        <v>1919312728</v>
      </c>
      <c r="F636">
        <v>1680462098</v>
      </c>
      <c r="G636">
        <v>1551147881</v>
      </c>
      <c r="H636">
        <v>1679460327</v>
      </c>
      <c r="I636">
        <v>1539574804</v>
      </c>
      <c r="J636">
        <v>1577259003</v>
      </c>
      <c r="K636">
        <v>1482079086</v>
      </c>
      <c r="L636">
        <v>1398170103</v>
      </c>
      <c r="M636">
        <v>1376406790</v>
      </c>
      <c r="N636">
        <v>1274898907</v>
      </c>
      <c r="O636">
        <v>1090788615</v>
      </c>
      <c r="P636">
        <v>192</v>
      </c>
      <c r="Q636" t="s">
        <v>1475</v>
      </c>
    </row>
    <row r="637" spans="1:17" x14ac:dyDescent="0.3">
      <c r="A637" t="s">
        <v>73</v>
      </c>
      <c r="B637" t="str">
        <f>"300393"</f>
        <v>300393</v>
      </c>
      <c r="C637" t="s">
        <v>1476</v>
      </c>
      <c r="D637" t="s">
        <v>305</v>
      </c>
      <c r="E637">
        <v>1917054969</v>
      </c>
      <c r="F637">
        <v>1097870882</v>
      </c>
      <c r="G637">
        <v>682222816</v>
      </c>
      <c r="H637">
        <v>793690556</v>
      </c>
      <c r="I637">
        <v>722344469</v>
      </c>
      <c r="J637">
        <v>629469107</v>
      </c>
      <c r="K637">
        <v>315317996</v>
      </c>
      <c r="L637">
        <v>187307348</v>
      </c>
      <c r="M637">
        <v>0</v>
      </c>
      <c r="P637">
        <v>304</v>
      </c>
      <c r="Q637" t="s">
        <v>1477</v>
      </c>
    </row>
    <row r="638" spans="1:17" x14ac:dyDescent="0.3">
      <c r="A638" t="s">
        <v>17</v>
      </c>
      <c r="B638" t="str">
        <f>"600460"</f>
        <v>600460</v>
      </c>
      <c r="C638" t="s">
        <v>1478</v>
      </c>
      <c r="D638" t="s">
        <v>1479</v>
      </c>
      <c r="E638">
        <v>1893232013</v>
      </c>
      <c r="F638">
        <v>1325964208</v>
      </c>
      <c r="G638">
        <v>818561035</v>
      </c>
      <c r="H638">
        <v>748934293</v>
      </c>
      <c r="I638">
        <v>726558742</v>
      </c>
      <c r="J638">
        <v>641633700</v>
      </c>
      <c r="K638">
        <v>514466317</v>
      </c>
      <c r="L638">
        <v>535109945</v>
      </c>
      <c r="M638">
        <v>459254699</v>
      </c>
      <c r="N638">
        <v>363308277</v>
      </c>
      <c r="O638">
        <v>301387873</v>
      </c>
      <c r="P638">
        <v>1167</v>
      </c>
      <c r="Q638" t="s">
        <v>1480</v>
      </c>
    </row>
    <row r="639" spans="1:17" x14ac:dyDescent="0.3">
      <c r="A639" t="s">
        <v>73</v>
      </c>
      <c r="B639" t="str">
        <f>"300020"</f>
        <v>300020</v>
      </c>
      <c r="C639" t="s">
        <v>1481</v>
      </c>
      <c r="D639" t="s">
        <v>302</v>
      </c>
      <c r="E639">
        <v>1892482584</v>
      </c>
      <c r="F639">
        <v>1768425443</v>
      </c>
      <c r="G639">
        <v>1646142100</v>
      </c>
      <c r="H639">
        <v>1434668511</v>
      </c>
      <c r="I639">
        <v>1113374049</v>
      </c>
      <c r="J639">
        <v>1280283057</v>
      </c>
      <c r="K639">
        <v>1268309768</v>
      </c>
      <c r="L639">
        <v>1266054742</v>
      </c>
      <c r="M639">
        <v>825740356</v>
      </c>
      <c r="N639">
        <v>449889688</v>
      </c>
      <c r="O639">
        <v>313089445</v>
      </c>
      <c r="P639">
        <v>237</v>
      </c>
      <c r="Q639" t="s">
        <v>1482</v>
      </c>
    </row>
    <row r="640" spans="1:17" x14ac:dyDescent="0.3">
      <c r="A640" t="s">
        <v>73</v>
      </c>
      <c r="B640" t="str">
        <f>"300316"</f>
        <v>300316</v>
      </c>
      <c r="C640" t="s">
        <v>1483</v>
      </c>
      <c r="D640" t="s">
        <v>1484</v>
      </c>
      <c r="E640">
        <v>1889653245</v>
      </c>
      <c r="F640">
        <v>1230267512</v>
      </c>
      <c r="G640">
        <v>1082093802</v>
      </c>
      <c r="H640">
        <v>944038164</v>
      </c>
      <c r="I640">
        <v>740569579</v>
      </c>
      <c r="J640">
        <v>621618822</v>
      </c>
      <c r="K640">
        <v>353419227</v>
      </c>
      <c r="L640">
        <v>110853495</v>
      </c>
      <c r="M640">
        <v>206148056</v>
      </c>
      <c r="N640">
        <v>256986542</v>
      </c>
      <c r="O640">
        <v>293731199</v>
      </c>
      <c r="P640">
        <v>1072</v>
      </c>
      <c r="Q640" t="s">
        <v>1485</v>
      </c>
    </row>
    <row r="641" spans="1:17" x14ac:dyDescent="0.3">
      <c r="A641" t="s">
        <v>17</v>
      </c>
      <c r="B641" t="str">
        <f>"601377"</f>
        <v>601377</v>
      </c>
      <c r="C641" t="s">
        <v>1486</v>
      </c>
      <c r="D641" t="s">
        <v>53</v>
      </c>
      <c r="E641">
        <v>1888902307</v>
      </c>
      <c r="F641">
        <v>2367383979</v>
      </c>
      <c r="G641">
        <v>2410108044</v>
      </c>
      <c r="H641">
        <v>2144987838</v>
      </c>
      <c r="I641">
        <v>3047908926</v>
      </c>
      <c r="J641">
        <v>2041491924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1731</v>
      </c>
      <c r="Q641" t="s">
        <v>1487</v>
      </c>
    </row>
    <row r="642" spans="1:17" x14ac:dyDescent="0.3">
      <c r="A642" t="s">
        <v>73</v>
      </c>
      <c r="B642" t="str">
        <f>"002617"</f>
        <v>002617</v>
      </c>
      <c r="C642" t="s">
        <v>1488</v>
      </c>
      <c r="D642" t="s">
        <v>278</v>
      </c>
      <c r="E642">
        <v>1885634069</v>
      </c>
      <c r="F642">
        <v>1611750587</v>
      </c>
      <c r="G642">
        <v>1126257811</v>
      </c>
      <c r="H642">
        <v>1748759779</v>
      </c>
      <c r="I642">
        <v>1751982497</v>
      </c>
      <c r="J642">
        <v>763569662</v>
      </c>
      <c r="K642">
        <v>358539483</v>
      </c>
      <c r="L642">
        <v>626931972</v>
      </c>
      <c r="M642">
        <v>627105884</v>
      </c>
      <c r="N642">
        <v>632587360</v>
      </c>
      <c r="O642">
        <v>530029054</v>
      </c>
      <c r="P642">
        <v>321</v>
      </c>
      <c r="Q642" t="s">
        <v>1489</v>
      </c>
    </row>
    <row r="643" spans="1:17" x14ac:dyDescent="0.3">
      <c r="A643" t="s">
        <v>17</v>
      </c>
      <c r="B643" t="str">
        <f>"601226"</f>
        <v>601226</v>
      </c>
      <c r="C643" t="s">
        <v>1490</v>
      </c>
      <c r="D643" t="s">
        <v>39</v>
      </c>
      <c r="E643">
        <v>1882682287</v>
      </c>
      <c r="F643">
        <v>1818443212</v>
      </c>
      <c r="G643">
        <v>1339329240</v>
      </c>
      <c r="H643">
        <v>2695222592</v>
      </c>
      <c r="I643">
        <v>2465432144</v>
      </c>
      <c r="J643">
        <v>2185658767</v>
      </c>
      <c r="K643">
        <v>2239734558</v>
      </c>
      <c r="L643">
        <v>1867723440</v>
      </c>
      <c r="M643">
        <v>0</v>
      </c>
      <c r="P643">
        <v>114</v>
      </c>
      <c r="Q643" t="s">
        <v>1491</v>
      </c>
    </row>
    <row r="644" spans="1:17" x14ac:dyDescent="0.3">
      <c r="A644" t="s">
        <v>73</v>
      </c>
      <c r="B644" t="str">
        <f>"002595"</f>
        <v>002595</v>
      </c>
      <c r="C644" t="s">
        <v>1492</v>
      </c>
      <c r="D644" t="s">
        <v>1451</v>
      </c>
      <c r="E644">
        <v>1877469902</v>
      </c>
      <c r="F644">
        <v>1808079597</v>
      </c>
      <c r="G644">
        <v>1383047852</v>
      </c>
      <c r="H644">
        <v>1294785244</v>
      </c>
      <c r="I644">
        <v>876875927</v>
      </c>
      <c r="J644">
        <v>798757379</v>
      </c>
      <c r="K644">
        <v>697490080</v>
      </c>
      <c r="L644">
        <v>531416166</v>
      </c>
      <c r="M644">
        <v>334338644</v>
      </c>
      <c r="N644">
        <v>276586530</v>
      </c>
      <c r="O644">
        <v>250558959</v>
      </c>
      <c r="P644">
        <v>4171</v>
      </c>
      <c r="Q644" t="s">
        <v>1493</v>
      </c>
    </row>
    <row r="645" spans="1:17" x14ac:dyDescent="0.3">
      <c r="A645" t="s">
        <v>17</v>
      </c>
      <c r="B645" t="str">
        <f>"603712"</f>
        <v>603712</v>
      </c>
      <c r="C645" t="s">
        <v>1494</v>
      </c>
      <c r="D645" t="s">
        <v>502</v>
      </c>
      <c r="E645">
        <v>1875089745</v>
      </c>
      <c r="F645">
        <v>1430511542</v>
      </c>
      <c r="G645">
        <v>1355255071</v>
      </c>
      <c r="H645">
        <v>1027688709</v>
      </c>
      <c r="I645">
        <v>867435091</v>
      </c>
      <c r="P645">
        <v>325</v>
      </c>
      <c r="Q645" t="s">
        <v>1495</v>
      </c>
    </row>
    <row r="646" spans="1:17" x14ac:dyDescent="0.3">
      <c r="A646" t="s">
        <v>17</v>
      </c>
      <c r="B646" t="str">
        <f>"603861"</f>
        <v>603861</v>
      </c>
      <c r="C646" t="s">
        <v>1496</v>
      </c>
      <c r="D646" t="s">
        <v>230</v>
      </c>
      <c r="E646">
        <v>1873689128</v>
      </c>
      <c r="F646">
        <v>1787966938</v>
      </c>
      <c r="G646">
        <v>1753193197</v>
      </c>
      <c r="H646">
        <v>1471500374</v>
      </c>
      <c r="I646">
        <v>907077040</v>
      </c>
      <c r="J646">
        <v>762225033</v>
      </c>
      <c r="K646">
        <v>746318437</v>
      </c>
      <c r="L646">
        <v>0</v>
      </c>
      <c r="P646">
        <v>109</v>
      </c>
      <c r="Q646" t="s">
        <v>1497</v>
      </c>
    </row>
    <row r="647" spans="1:17" x14ac:dyDescent="0.3">
      <c r="A647" t="s">
        <v>73</v>
      </c>
      <c r="B647" t="str">
        <f>"000559"</f>
        <v>000559</v>
      </c>
      <c r="C647" t="s">
        <v>1498</v>
      </c>
      <c r="D647" t="s">
        <v>122</v>
      </c>
      <c r="E647">
        <v>1870724137</v>
      </c>
      <c r="F647">
        <v>1856893393</v>
      </c>
      <c r="G647">
        <v>1446245531</v>
      </c>
      <c r="H647">
        <v>1962140257</v>
      </c>
      <c r="I647">
        <v>2066428988</v>
      </c>
      <c r="J647">
        <v>2008158901</v>
      </c>
      <c r="K647">
        <v>2043631200</v>
      </c>
      <c r="L647">
        <v>1880244324</v>
      </c>
      <c r="M647">
        <v>1699223464</v>
      </c>
      <c r="N647">
        <v>1518482320</v>
      </c>
      <c r="O647">
        <v>1413702386</v>
      </c>
      <c r="P647">
        <v>414</v>
      </c>
      <c r="Q647" t="s">
        <v>1499</v>
      </c>
    </row>
    <row r="648" spans="1:17" x14ac:dyDescent="0.3">
      <c r="A648" t="s">
        <v>17</v>
      </c>
      <c r="B648" t="str">
        <f>"603716"</f>
        <v>603716</v>
      </c>
      <c r="C648" t="s">
        <v>1500</v>
      </c>
      <c r="D648" t="s">
        <v>50</v>
      </c>
      <c r="E648">
        <v>1869356976</v>
      </c>
      <c r="F648">
        <v>1551165617</v>
      </c>
      <c r="G648">
        <v>1117861713</v>
      </c>
      <c r="H648">
        <v>972592464</v>
      </c>
      <c r="I648">
        <v>663020002</v>
      </c>
      <c r="J648">
        <v>402063328</v>
      </c>
      <c r="P648">
        <v>137</v>
      </c>
      <c r="Q648" t="s">
        <v>1501</v>
      </c>
    </row>
    <row r="649" spans="1:17" x14ac:dyDescent="0.3">
      <c r="A649" t="s">
        <v>73</v>
      </c>
      <c r="B649" t="str">
        <f>"002541"</f>
        <v>002541</v>
      </c>
      <c r="C649" t="s">
        <v>1502</v>
      </c>
      <c r="D649" t="s">
        <v>711</v>
      </c>
      <c r="E649">
        <v>1868266704</v>
      </c>
      <c r="F649">
        <v>1494092196</v>
      </c>
      <c r="G649">
        <v>1540947762</v>
      </c>
      <c r="H649">
        <v>1727004560</v>
      </c>
      <c r="I649">
        <v>1472135243</v>
      </c>
      <c r="J649">
        <v>1335065669</v>
      </c>
      <c r="K649">
        <v>1670200161</v>
      </c>
      <c r="L649">
        <v>1600615791</v>
      </c>
      <c r="M649">
        <v>1430830530</v>
      </c>
      <c r="N649">
        <v>1040976892</v>
      </c>
      <c r="O649">
        <v>532302074</v>
      </c>
      <c r="P649">
        <v>443</v>
      </c>
      <c r="Q649" t="s">
        <v>1503</v>
      </c>
    </row>
    <row r="650" spans="1:17" x14ac:dyDescent="0.3">
      <c r="A650" t="s">
        <v>73</v>
      </c>
      <c r="B650" t="str">
        <f>"000661"</f>
        <v>000661</v>
      </c>
      <c r="C650" t="s">
        <v>1504</v>
      </c>
      <c r="D650" t="s">
        <v>1505</v>
      </c>
      <c r="E650">
        <v>1864017748</v>
      </c>
      <c r="F650">
        <v>1465669072</v>
      </c>
      <c r="G650">
        <v>1023305008</v>
      </c>
      <c r="H650">
        <v>840604349</v>
      </c>
      <c r="I650">
        <v>642858938</v>
      </c>
      <c r="J650">
        <v>573691598</v>
      </c>
      <c r="K650">
        <v>373220860</v>
      </c>
      <c r="L650">
        <v>331153604</v>
      </c>
      <c r="M650">
        <v>319574598</v>
      </c>
      <c r="N650">
        <v>285588636</v>
      </c>
      <c r="O650">
        <v>241493190</v>
      </c>
      <c r="P650">
        <v>59935</v>
      </c>
      <c r="Q650" t="s">
        <v>1506</v>
      </c>
    </row>
    <row r="651" spans="1:17" x14ac:dyDescent="0.3">
      <c r="A651" t="s">
        <v>73</v>
      </c>
      <c r="B651" t="str">
        <f>"000823"</f>
        <v>000823</v>
      </c>
      <c r="C651" t="s">
        <v>1507</v>
      </c>
      <c r="D651" t="s">
        <v>418</v>
      </c>
      <c r="E651">
        <v>1857922678</v>
      </c>
      <c r="F651">
        <v>1677795788</v>
      </c>
      <c r="G651">
        <v>1283555625</v>
      </c>
      <c r="H651">
        <v>1265159055</v>
      </c>
      <c r="I651">
        <v>1244761556</v>
      </c>
      <c r="J651">
        <v>1078008400</v>
      </c>
      <c r="K651">
        <v>934672250</v>
      </c>
      <c r="L651">
        <v>963571024</v>
      </c>
      <c r="M651">
        <v>882767102</v>
      </c>
      <c r="N651">
        <v>845995894</v>
      </c>
      <c r="O651">
        <v>895232451</v>
      </c>
      <c r="P651">
        <v>354</v>
      </c>
      <c r="Q651" t="s">
        <v>1508</v>
      </c>
    </row>
    <row r="652" spans="1:17" x14ac:dyDescent="0.3">
      <c r="A652" t="s">
        <v>73</v>
      </c>
      <c r="B652" t="str">
        <f>"002139"</f>
        <v>002139</v>
      </c>
      <c r="C652" t="s">
        <v>1509</v>
      </c>
      <c r="D652" t="s">
        <v>42</v>
      </c>
      <c r="E652">
        <v>1853979996</v>
      </c>
      <c r="F652">
        <v>1986713844</v>
      </c>
      <c r="G652">
        <v>1193358443</v>
      </c>
      <c r="H652">
        <v>869371527</v>
      </c>
      <c r="I652">
        <v>659001674</v>
      </c>
      <c r="J652">
        <v>545810050</v>
      </c>
      <c r="K652">
        <v>317338917</v>
      </c>
      <c r="L652">
        <v>271832352</v>
      </c>
      <c r="M652">
        <v>200652103</v>
      </c>
      <c r="N652">
        <v>200438868</v>
      </c>
      <c r="O652">
        <v>214482403</v>
      </c>
      <c r="P652">
        <v>919</v>
      </c>
      <c r="Q652" t="s">
        <v>1510</v>
      </c>
    </row>
    <row r="653" spans="1:17" x14ac:dyDescent="0.3">
      <c r="A653" t="s">
        <v>17</v>
      </c>
      <c r="B653" t="str">
        <f>"603378"</f>
        <v>603378</v>
      </c>
      <c r="C653" t="s">
        <v>1511</v>
      </c>
      <c r="D653" t="s">
        <v>838</v>
      </c>
      <c r="E653">
        <v>1849788076</v>
      </c>
      <c r="F653">
        <v>1418377591</v>
      </c>
      <c r="G653">
        <v>767838599</v>
      </c>
      <c r="H653">
        <v>749034236</v>
      </c>
      <c r="I653">
        <v>507181946</v>
      </c>
      <c r="P653">
        <v>203</v>
      </c>
      <c r="Q653" t="s">
        <v>1512</v>
      </c>
    </row>
    <row r="654" spans="1:17" x14ac:dyDescent="0.3">
      <c r="A654" t="s">
        <v>73</v>
      </c>
      <c r="B654" t="str">
        <f>"002683"</f>
        <v>002683</v>
      </c>
      <c r="C654" t="s">
        <v>1513</v>
      </c>
      <c r="D654" t="s">
        <v>484</v>
      </c>
      <c r="E654">
        <v>1849016226</v>
      </c>
      <c r="F654">
        <v>1727054588</v>
      </c>
      <c r="G654">
        <v>1572712582</v>
      </c>
      <c r="H654">
        <v>1385236885</v>
      </c>
      <c r="I654">
        <v>1220640052</v>
      </c>
      <c r="J654">
        <v>1086416364</v>
      </c>
      <c r="K654">
        <v>1116297194</v>
      </c>
      <c r="L654">
        <v>872850977</v>
      </c>
      <c r="M654">
        <v>695947500</v>
      </c>
      <c r="N654">
        <v>390338321</v>
      </c>
      <c r="O654">
        <v>178658663</v>
      </c>
      <c r="P654">
        <v>270</v>
      </c>
      <c r="Q654" t="s">
        <v>1514</v>
      </c>
    </row>
    <row r="655" spans="1:17" x14ac:dyDescent="0.3">
      <c r="A655" t="s">
        <v>73</v>
      </c>
      <c r="B655" t="str">
        <f>"000601"</f>
        <v>000601</v>
      </c>
      <c r="C655" t="s">
        <v>1515</v>
      </c>
      <c r="D655" t="s">
        <v>290</v>
      </c>
      <c r="E655">
        <v>1846933213</v>
      </c>
      <c r="F655">
        <v>1396418243</v>
      </c>
      <c r="G655">
        <v>970736298</v>
      </c>
      <c r="H655">
        <v>705935806</v>
      </c>
      <c r="I655">
        <v>428599772</v>
      </c>
      <c r="J655">
        <v>381152617</v>
      </c>
      <c r="K655">
        <v>430195797</v>
      </c>
      <c r="L655">
        <v>374774445</v>
      </c>
      <c r="M655">
        <v>353630326</v>
      </c>
      <c r="N655">
        <v>255702504</v>
      </c>
      <c r="O655">
        <v>328469048</v>
      </c>
      <c r="P655">
        <v>215</v>
      </c>
      <c r="Q655" t="s">
        <v>1516</v>
      </c>
    </row>
    <row r="656" spans="1:17" x14ac:dyDescent="0.3">
      <c r="A656" t="s">
        <v>17</v>
      </c>
      <c r="B656" t="str">
        <f>"601225"</f>
        <v>601225</v>
      </c>
      <c r="C656" t="s">
        <v>1517</v>
      </c>
      <c r="D656" t="s">
        <v>218</v>
      </c>
      <c r="E656">
        <v>1846261136</v>
      </c>
      <c r="F656">
        <v>7347905856</v>
      </c>
      <c r="G656">
        <v>6863682891</v>
      </c>
      <c r="H656">
        <v>3663845193</v>
      </c>
      <c r="I656">
        <v>4836634956</v>
      </c>
      <c r="J656">
        <v>5392957715</v>
      </c>
      <c r="K656">
        <v>6534019712</v>
      </c>
      <c r="L656">
        <v>6906137907</v>
      </c>
      <c r="M656">
        <v>5491364108</v>
      </c>
      <c r="N656">
        <v>0</v>
      </c>
      <c r="P656">
        <v>2634</v>
      </c>
      <c r="Q656" t="s">
        <v>1518</v>
      </c>
    </row>
    <row r="657" spans="1:17" x14ac:dyDescent="0.3">
      <c r="A657" t="s">
        <v>73</v>
      </c>
      <c r="B657" t="str">
        <f>"002727"</f>
        <v>002727</v>
      </c>
      <c r="C657" t="s">
        <v>1519</v>
      </c>
      <c r="D657" t="s">
        <v>1520</v>
      </c>
      <c r="E657">
        <v>1839995794</v>
      </c>
      <c r="F657">
        <v>1130043600</v>
      </c>
      <c r="G657">
        <v>690042516</v>
      </c>
      <c r="H657">
        <v>824916317</v>
      </c>
      <c r="I657">
        <v>883137718</v>
      </c>
      <c r="J657">
        <v>610647571</v>
      </c>
      <c r="K657">
        <v>540922147</v>
      </c>
      <c r="L657">
        <v>394668019</v>
      </c>
      <c r="M657">
        <v>328203221</v>
      </c>
      <c r="P657">
        <v>1246</v>
      </c>
      <c r="Q657" t="s">
        <v>1521</v>
      </c>
    </row>
    <row r="658" spans="1:17" x14ac:dyDescent="0.3">
      <c r="A658" t="s">
        <v>73</v>
      </c>
      <c r="B658" t="str">
        <f>"300003"</f>
        <v>300003</v>
      </c>
      <c r="C658" t="s">
        <v>1522</v>
      </c>
      <c r="D658" t="s">
        <v>1523</v>
      </c>
      <c r="E658">
        <v>1839127572</v>
      </c>
      <c r="F658">
        <v>2301911382</v>
      </c>
      <c r="G658">
        <v>2285622131</v>
      </c>
      <c r="H658">
        <v>2105904846</v>
      </c>
      <c r="I658">
        <v>1825909017</v>
      </c>
      <c r="J658">
        <v>1378352998</v>
      </c>
      <c r="K658">
        <v>1245698176</v>
      </c>
      <c r="L658">
        <v>1054216151</v>
      </c>
      <c r="M658">
        <v>722139620</v>
      </c>
      <c r="N658">
        <v>570957454</v>
      </c>
      <c r="O658">
        <v>396846981</v>
      </c>
      <c r="P658">
        <v>3268</v>
      </c>
      <c r="Q658" t="s">
        <v>1524</v>
      </c>
    </row>
    <row r="659" spans="1:17" x14ac:dyDescent="0.3">
      <c r="A659" t="s">
        <v>17</v>
      </c>
      <c r="B659" t="str">
        <f>"600673"</f>
        <v>600673</v>
      </c>
      <c r="C659" t="s">
        <v>1525</v>
      </c>
      <c r="D659" t="s">
        <v>348</v>
      </c>
      <c r="E659">
        <v>1835778194</v>
      </c>
      <c r="F659">
        <v>2221171726</v>
      </c>
      <c r="G659">
        <v>2022026618</v>
      </c>
      <c r="H659">
        <v>2664740290</v>
      </c>
      <c r="I659">
        <v>1230377493</v>
      </c>
      <c r="J659">
        <v>1004941848</v>
      </c>
      <c r="K659">
        <v>867070388</v>
      </c>
      <c r="L659">
        <v>879829393</v>
      </c>
      <c r="M659">
        <v>831660991</v>
      </c>
      <c r="N659">
        <v>835918501</v>
      </c>
      <c r="O659">
        <v>787710335</v>
      </c>
      <c r="P659">
        <v>274</v>
      </c>
      <c r="Q659" t="s">
        <v>1526</v>
      </c>
    </row>
    <row r="660" spans="1:17" x14ac:dyDescent="0.3">
      <c r="A660" t="s">
        <v>73</v>
      </c>
      <c r="B660" t="str">
        <f>"001872"</f>
        <v>001872</v>
      </c>
      <c r="C660" t="s">
        <v>1527</v>
      </c>
      <c r="D660" t="s">
        <v>706</v>
      </c>
      <c r="E660">
        <v>1833329170</v>
      </c>
      <c r="F660">
        <v>1704700334</v>
      </c>
      <c r="G660">
        <v>1655966181</v>
      </c>
      <c r="H660">
        <v>1640858016</v>
      </c>
      <c r="I660">
        <v>324892482</v>
      </c>
      <c r="J660">
        <v>213653062</v>
      </c>
      <c r="K660">
        <v>265387430</v>
      </c>
      <c r="L660">
        <v>212095324</v>
      </c>
      <c r="M660">
        <v>215972940</v>
      </c>
      <c r="N660">
        <v>286440280</v>
      </c>
      <c r="O660">
        <v>239650018</v>
      </c>
      <c r="P660">
        <v>254</v>
      </c>
      <c r="Q660" t="s">
        <v>1528</v>
      </c>
    </row>
    <row r="661" spans="1:17" x14ac:dyDescent="0.3">
      <c r="A661" t="s">
        <v>17</v>
      </c>
      <c r="B661" t="str">
        <f>"600141"</f>
        <v>600141</v>
      </c>
      <c r="C661" t="s">
        <v>1529</v>
      </c>
      <c r="D661" t="s">
        <v>1137</v>
      </c>
      <c r="E661">
        <v>1831269611</v>
      </c>
      <c r="F661">
        <v>1317020074</v>
      </c>
      <c r="G661">
        <v>1389631685</v>
      </c>
      <c r="H661">
        <v>1146750787</v>
      </c>
      <c r="I661">
        <v>1237689856</v>
      </c>
      <c r="J661">
        <v>1332672324</v>
      </c>
      <c r="K661">
        <v>1253680081</v>
      </c>
      <c r="L661">
        <v>858646318</v>
      </c>
      <c r="M661">
        <v>830779999</v>
      </c>
      <c r="N661">
        <v>983457675</v>
      </c>
      <c r="O661">
        <v>519473003</v>
      </c>
      <c r="P661">
        <v>426</v>
      </c>
      <c r="Q661" t="s">
        <v>1530</v>
      </c>
    </row>
    <row r="662" spans="1:17" x14ac:dyDescent="0.3">
      <c r="A662" t="s">
        <v>73</v>
      </c>
      <c r="B662" t="str">
        <f>"000738"</f>
        <v>000738</v>
      </c>
      <c r="C662" t="s">
        <v>1531</v>
      </c>
      <c r="D662" t="s">
        <v>130</v>
      </c>
      <c r="E662">
        <v>1830255122</v>
      </c>
      <c r="F662">
        <v>1557596912</v>
      </c>
      <c r="G662">
        <v>1247195728</v>
      </c>
      <c r="H662">
        <v>1271873540</v>
      </c>
      <c r="I662">
        <v>1114935682</v>
      </c>
      <c r="J662">
        <v>1386515510</v>
      </c>
      <c r="K662">
        <v>1150513892</v>
      </c>
      <c r="L662">
        <v>1129203919</v>
      </c>
      <c r="M662">
        <v>1212809084</v>
      </c>
      <c r="N662">
        <v>1017842043</v>
      </c>
      <c r="O662">
        <v>899456294</v>
      </c>
      <c r="P662">
        <v>324</v>
      </c>
      <c r="Q662" t="s">
        <v>1532</v>
      </c>
    </row>
    <row r="663" spans="1:17" x14ac:dyDescent="0.3">
      <c r="A663" t="s">
        <v>73</v>
      </c>
      <c r="B663" t="str">
        <f>"002932"</f>
        <v>002932</v>
      </c>
      <c r="C663" t="s">
        <v>1533</v>
      </c>
      <c r="D663" t="s">
        <v>773</v>
      </c>
      <c r="E663">
        <v>1829210243</v>
      </c>
      <c r="F663">
        <v>335710085</v>
      </c>
      <c r="G663">
        <v>40539029</v>
      </c>
      <c r="H663">
        <v>38761607</v>
      </c>
      <c r="I663">
        <v>24711252</v>
      </c>
      <c r="P663">
        <v>423</v>
      </c>
      <c r="Q663" t="s">
        <v>1534</v>
      </c>
    </row>
    <row r="664" spans="1:17" x14ac:dyDescent="0.3">
      <c r="A664" t="s">
        <v>17</v>
      </c>
      <c r="B664" t="str">
        <f>"600711"</f>
        <v>600711</v>
      </c>
      <c r="C664" t="s">
        <v>1535</v>
      </c>
      <c r="D664" t="s">
        <v>605</v>
      </c>
      <c r="E664">
        <v>1821920092</v>
      </c>
      <c r="F664">
        <v>1023124961</v>
      </c>
      <c r="G664">
        <v>788567301</v>
      </c>
      <c r="H664">
        <v>827908311</v>
      </c>
      <c r="I664">
        <v>890035944</v>
      </c>
      <c r="J664">
        <v>556954085</v>
      </c>
      <c r="K664">
        <v>641272299</v>
      </c>
      <c r="L664">
        <v>415837540</v>
      </c>
      <c r="M664">
        <v>140032846</v>
      </c>
      <c r="N664">
        <v>37568699</v>
      </c>
      <c r="O664">
        <v>91919565</v>
      </c>
      <c r="P664">
        <v>377</v>
      </c>
      <c r="Q664" t="s">
        <v>1536</v>
      </c>
    </row>
    <row r="665" spans="1:17" x14ac:dyDescent="0.3">
      <c r="A665" t="s">
        <v>73</v>
      </c>
      <c r="B665" t="str">
        <f>"002007"</f>
        <v>002007</v>
      </c>
      <c r="C665" t="s">
        <v>1537</v>
      </c>
      <c r="D665" t="s">
        <v>1538</v>
      </c>
      <c r="E665">
        <v>1815944654</v>
      </c>
      <c r="F665">
        <v>1444650553</v>
      </c>
      <c r="G665">
        <v>1085125795</v>
      </c>
      <c r="H665">
        <v>867512022</v>
      </c>
      <c r="I665">
        <v>828836679</v>
      </c>
      <c r="J665">
        <v>590166586</v>
      </c>
      <c r="K665">
        <v>197187897</v>
      </c>
      <c r="L665">
        <v>161990591</v>
      </c>
      <c r="M665">
        <v>181282541</v>
      </c>
      <c r="N665">
        <v>238329082</v>
      </c>
      <c r="O665">
        <v>195346392</v>
      </c>
      <c r="P665">
        <v>13194</v>
      </c>
      <c r="Q665" t="s">
        <v>1539</v>
      </c>
    </row>
    <row r="666" spans="1:17" x14ac:dyDescent="0.3">
      <c r="A666" t="s">
        <v>73</v>
      </c>
      <c r="B666" t="str">
        <f>"002996"</f>
        <v>002996</v>
      </c>
      <c r="C666" t="s">
        <v>1540</v>
      </c>
      <c r="D666" t="s">
        <v>616</v>
      </c>
      <c r="E666">
        <v>1809200415</v>
      </c>
      <c r="F666">
        <v>1146798359</v>
      </c>
      <c r="P666">
        <v>73</v>
      </c>
      <c r="Q666" t="s">
        <v>1541</v>
      </c>
    </row>
    <row r="667" spans="1:17" x14ac:dyDescent="0.3">
      <c r="A667" t="s">
        <v>73</v>
      </c>
      <c r="B667" t="str">
        <f>"000980"</f>
        <v>000980</v>
      </c>
      <c r="C667" t="s">
        <v>1542</v>
      </c>
      <c r="D667" t="s">
        <v>442</v>
      </c>
      <c r="E667">
        <v>1803154828</v>
      </c>
      <c r="F667">
        <v>3352382909</v>
      </c>
      <c r="G667">
        <v>3922073985</v>
      </c>
      <c r="H667">
        <v>6868903474</v>
      </c>
      <c r="I667">
        <v>4989179472</v>
      </c>
      <c r="J667">
        <v>871220205</v>
      </c>
      <c r="K667">
        <v>545125312</v>
      </c>
      <c r="L667">
        <v>676951255</v>
      </c>
      <c r="M667">
        <v>433450486</v>
      </c>
      <c r="N667">
        <v>357861720</v>
      </c>
      <c r="O667">
        <v>250849361</v>
      </c>
      <c r="P667">
        <v>161</v>
      </c>
      <c r="Q667" t="s">
        <v>1543</v>
      </c>
    </row>
    <row r="668" spans="1:17" x14ac:dyDescent="0.3">
      <c r="A668" t="s">
        <v>17</v>
      </c>
      <c r="B668" t="str">
        <f>"601001"</f>
        <v>601001</v>
      </c>
      <c r="C668" t="s">
        <v>1544</v>
      </c>
      <c r="D668" t="s">
        <v>218</v>
      </c>
      <c r="E668">
        <v>1800166008</v>
      </c>
      <c r="F668">
        <v>779765570</v>
      </c>
      <c r="G668">
        <v>1027338480</v>
      </c>
      <c r="H668">
        <v>904212387</v>
      </c>
      <c r="I668">
        <v>1390445400</v>
      </c>
      <c r="J668">
        <v>1966890815</v>
      </c>
      <c r="K668">
        <v>2496184202</v>
      </c>
      <c r="L668">
        <v>2116485093</v>
      </c>
      <c r="M668">
        <v>2298650893</v>
      </c>
      <c r="N668">
        <v>4030427120</v>
      </c>
      <c r="O668">
        <v>2058656427</v>
      </c>
      <c r="P668">
        <v>289</v>
      </c>
      <c r="Q668" t="s">
        <v>1545</v>
      </c>
    </row>
    <row r="669" spans="1:17" x14ac:dyDescent="0.3">
      <c r="A669" t="s">
        <v>73</v>
      </c>
      <c r="B669" t="str">
        <f>"000983"</f>
        <v>000983</v>
      </c>
      <c r="C669" t="s">
        <v>1546</v>
      </c>
      <c r="D669" t="s">
        <v>492</v>
      </c>
      <c r="E669">
        <v>1799791769</v>
      </c>
      <c r="F669">
        <v>3256455178</v>
      </c>
      <c r="G669">
        <v>2209921652</v>
      </c>
      <c r="H669">
        <v>2387183925</v>
      </c>
      <c r="I669">
        <v>3374314187</v>
      </c>
      <c r="J669">
        <v>5080685000</v>
      </c>
      <c r="K669">
        <v>4256732567</v>
      </c>
      <c r="L669">
        <v>5001691005</v>
      </c>
      <c r="M669">
        <v>4586993649</v>
      </c>
      <c r="N669">
        <v>3555745642</v>
      </c>
      <c r="O669">
        <v>1602384723</v>
      </c>
      <c r="P669">
        <v>688</v>
      </c>
      <c r="Q669" t="s">
        <v>1547</v>
      </c>
    </row>
    <row r="670" spans="1:17" x14ac:dyDescent="0.3">
      <c r="A670" t="s">
        <v>17</v>
      </c>
      <c r="B670" t="str">
        <f>"600521"</f>
        <v>600521</v>
      </c>
      <c r="C670" t="s">
        <v>1548</v>
      </c>
      <c r="D670" t="s">
        <v>348</v>
      </c>
      <c r="E670">
        <v>1799037564</v>
      </c>
      <c r="F670">
        <v>1650586122</v>
      </c>
      <c r="G670">
        <v>1463197720</v>
      </c>
      <c r="H670">
        <v>1827210161</v>
      </c>
      <c r="I670">
        <v>1749328356</v>
      </c>
      <c r="J670">
        <v>1450272912</v>
      </c>
      <c r="K670">
        <v>1155120964</v>
      </c>
      <c r="L670">
        <v>775620888</v>
      </c>
      <c r="M670">
        <v>579686398</v>
      </c>
      <c r="N670">
        <v>587030983</v>
      </c>
      <c r="O670">
        <v>390771509</v>
      </c>
      <c r="P670">
        <v>964</v>
      </c>
      <c r="Q670" t="s">
        <v>1549</v>
      </c>
    </row>
    <row r="671" spans="1:17" x14ac:dyDescent="0.3">
      <c r="A671" t="s">
        <v>73</v>
      </c>
      <c r="B671" t="str">
        <f>"000630"</f>
        <v>000630</v>
      </c>
      <c r="C671" t="s">
        <v>1550</v>
      </c>
      <c r="D671" t="s">
        <v>452</v>
      </c>
      <c r="E671">
        <v>1794909504</v>
      </c>
      <c r="F671">
        <v>1794339348</v>
      </c>
      <c r="G671">
        <v>1363084417</v>
      </c>
      <c r="H671">
        <v>1464978278</v>
      </c>
      <c r="I671">
        <v>1377327858</v>
      </c>
      <c r="J671">
        <v>1206400174</v>
      </c>
      <c r="K671">
        <v>1268821608</v>
      </c>
      <c r="L671">
        <v>1509080554</v>
      </c>
      <c r="M671">
        <v>1569085539</v>
      </c>
      <c r="N671">
        <v>1583488063</v>
      </c>
      <c r="O671">
        <v>1327161187</v>
      </c>
      <c r="P671">
        <v>464</v>
      </c>
      <c r="Q671" t="s">
        <v>1551</v>
      </c>
    </row>
    <row r="672" spans="1:17" x14ac:dyDescent="0.3">
      <c r="A672" t="s">
        <v>17</v>
      </c>
      <c r="B672" t="str">
        <f>"601677"</f>
        <v>601677</v>
      </c>
      <c r="C672" t="s">
        <v>1552</v>
      </c>
      <c r="D672" t="s">
        <v>616</v>
      </c>
      <c r="E672">
        <v>1794061052</v>
      </c>
      <c r="F672">
        <v>1236207911</v>
      </c>
      <c r="G672">
        <v>694603559</v>
      </c>
      <c r="H672">
        <v>1202747141</v>
      </c>
      <c r="I672">
        <v>854362885</v>
      </c>
      <c r="J672">
        <v>686535087</v>
      </c>
      <c r="K672">
        <v>419987925</v>
      </c>
      <c r="L672">
        <v>588366662</v>
      </c>
      <c r="M672">
        <v>459521048</v>
      </c>
      <c r="N672">
        <v>472584530</v>
      </c>
      <c r="O672">
        <v>361234462</v>
      </c>
      <c r="P672">
        <v>370</v>
      </c>
      <c r="Q672" t="s">
        <v>1553</v>
      </c>
    </row>
    <row r="673" spans="1:17" x14ac:dyDescent="0.3">
      <c r="A673" t="s">
        <v>17</v>
      </c>
      <c r="B673" t="str">
        <f>"600284"</f>
        <v>600284</v>
      </c>
      <c r="C673" t="s">
        <v>1554</v>
      </c>
      <c r="D673" t="s">
        <v>22</v>
      </c>
      <c r="E673">
        <v>1792117684</v>
      </c>
      <c r="F673">
        <v>1189313845</v>
      </c>
      <c r="G673">
        <v>700189301</v>
      </c>
      <c r="H673">
        <v>573056179</v>
      </c>
      <c r="I673">
        <v>423587373</v>
      </c>
      <c r="J673">
        <v>322464812</v>
      </c>
      <c r="K673">
        <v>405273266</v>
      </c>
      <c r="L673">
        <v>354884069</v>
      </c>
      <c r="M673">
        <v>275637684</v>
      </c>
      <c r="N673">
        <v>294174509</v>
      </c>
      <c r="O673">
        <v>238837179</v>
      </c>
      <c r="P673">
        <v>172</v>
      </c>
      <c r="Q673" t="s">
        <v>1555</v>
      </c>
    </row>
    <row r="674" spans="1:17" x14ac:dyDescent="0.3">
      <c r="A674" t="s">
        <v>17</v>
      </c>
      <c r="B674" t="str">
        <f>"605589"</f>
        <v>605589</v>
      </c>
      <c r="C674" t="s">
        <v>1556</v>
      </c>
      <c r="D674" t="s">
        <v>1557</v>
      </c>
      <c r="E674">
        <v>1791486763</v>
      </c>
      <c r="F674">
        <v>1393062287</v>
      </c>
      <c r="P674">
        <v>40</v>
      </c>
      <c r="Q674" t="s">
        <v>1558</v>
      </c>
    </row>
    <row r="675" spans="1:17" x14ac:dyDescent="0.3">
      <c r="A675" t="s">
        <v>17</v>
      </c>
      <c r="B675" t="str">
        <f>"603355"</f>
        <v>603355</v>
      </c>
      <c r="C675" t="s">
        <v>1559</v>
      </c>
      <c r="D675" t="s">
        <v>1560</v>
      </c>
      <c r="E675">
        <v>1789603357</v>
      </c>
      <c r="F675">
        <v>1544691308</v>
      </c>
      <c r="G675">
        <v>726956394</v>
      </c>
      <c r="H675">
        <v>884746857</v>
      </c>
      <c r="I675">
        <v>984018897</v>
      </c>
      <c r="J675">
        <v>845016084</v>
      </c>
      <c r="K675">
        <v>596946764</v>
      </c>
      <c r="L675">
        <v>609392714</v>
      </c>
      <c r="M675">
        <v>0</v>
      </c>
      <c r="P675">
        <v>557</v>
      </c>
      <c r="Q675" t="s">
        <v>1561</v>
      </c>
    </row>
    <row r="676" spans="1:17" x14ac:dyDescent="0.3">
      <c r="A676" t="s">
        <v>17</v>
      </c>
      <c r="B676" t="str">
        <f>"600754"</f>
        <v>600754</v>
      </c>
      <c r="C676" t="s">
        <v>1562</v>
      </c>
      <c r="D676" t="s">
        <v>1563</v>
      </c>
      <c r="E676">
        <v>1788026063</v>
      </c>
      <c r="F676">
        <v>1161486194</v>
      </c>
      <c r="G676">
        <v>1250203340</v>
      </c>
      <c r="H676">
        <v>1058910894</v>
      </c>
      <c r="I676">
        <v>1015394154</v>
      </c>
      <c r="J676">
        <v>716385719</v>
      </c>
      <c r="K676">
        <v>605963347</v>
      </c>
      <c r="L676">
        <v>470995366</v>
      </c>
      <c r="M676">
        <v>75111780</v>
      </c>
      <c r="N676">
        <v>67486065</v>
      </c>
      <c r="O676">
        <v>47578662</v>
      </c>
      <c r="P676">
        <v>668</v>
      </c>
      <c r="Q676" t="s">
        <v>1564</v>
      </c>
    </row>
    <row r="677" spans="1:17" x14ac:dyDescent="0.3">
      <c r="A677" t="s">
        <v>17</v>
      </c>
      <c r="B677" t="str">
        <f>"600236"</f>
        <v>600236</v>
      </c>
      <c r="C677" t="s">
        <v>1565</v>
      </c>
      <c r="D677" t="s">
        <v>290</v>
      </c>
      <c r="E677">
        <v>1787762680</v>
      </c>
      <c r="F677">
        <v>973265121</v>
      </c>
      <c r="G677">
        <v>1016628526</v>
      </c>
      <c r="H677">
        <v>1118718335</v>
      </c>
      <c r="I677">
        <v>882063100</v>
      </c>
      <c r="J677">
        <v>990391058</v>
      </c>
      <c r="K677">
        <v>1144799107</v>
      </c>
      <c r="L677">
        <v>621853039</v>
      </c>
      <c r="M677">
        <v>575037617</v>
      </c>
      <c r="N677">
        <v>549782836</v>
      </c>
      <c r="O677">
        <v>581062037</v>
      </c>
      <c r="P677">
        <v>651</v>
      </c>
      <c r="Q677" t="s">
        <v>1566</v>
      </c>
    </row>
    <row r="678" spans="1:17" x14ac:dyDescent="0.3">
      <c r="A678" t="s">
        <v>17</v>
      </c>
      <c r="B678" t="str">
        <f>"600739"</f>
        <v>600739</v>
      </c>
      <c r="C678" t="s">
        <v>1567</v>
      </c>
      <c r="D678" t="s">
        <v>182</v>
      </c>
      <c r="E678">
        <v>1786101172</v>
      </c>
      <c r="F678">
        <v>1645394309</v>
      </c>
      <c r="G678">
        <v>1618906805</v>
      </c>
      <c r="H678">
        <v>1504238249</v>
      </c>
      <c r="I678">
        <v>1367004335</v>
      </c>
      <c r="J678">
        <v>1471779210</v>
      </c>
      <c r="K678">
        <v>1648909104</v>
      </c>
      <c r="L678">
        <v>1434367745</v>
      </c>
      <c r="M678">
        <v>1240725125</v>
      </c>
      <c r="N678">
        <v>1011588072</v>
      </c>
      <c r="O678">
        <v>862964192</v>
      </c>
      <c r="P678">
        <v>338</v>
      </c>
      <c r="Q678" t="s">
        <v>1568</v>
      </c>
    </row>
    <row r="679" spans="1:17" x14ac:dyDescent="0.3">
      <c r="A679" t="s">
        <v>73</v>
      </c>
      <c r="B679" t="str">
        <f>"002444"</f>
        <v>002444</v>
      </c>
      <c r="C679" t="s">
        <v>1569</v>
      </c>
      <c r="D679" t="s">
        <v>873</v>
      </c>
      <c r="E679">
        <v>1784101945</v>
      </c>
      <c r="F679">
        <v>1318003309</v>
      </c>
      <c r="G679">
        <v>1061519134</v>
      </c>
      <c r="H679">
        <v>1347611658</v>
      </c>
      <c r="I679">
        <v>858040788</v>
      </c>
      <c r="J679">
        <v>686393913</v>
      </c>
      <c r="K679">
        <v>648905661</v>
      </c>
      <c r="L679">
        <v>553837350</v>
      </c>
      <c r="M679">
        <v>703636889</v>
      </c>
      <c r="N679">
        <v>540069198</v>
      </c>
      <c r="O679">
        <v>548152354</v>
      </c>
      <c r="P679">
        <v>656</v>
      </c>
      <c r="Q679" t="s">
        <v>1570</v>
      </c>
    </row>
    <row r="680" spans="1:17" x14ac:dyDescent="0.3">
      <c r="A680" t="s">
        <v>73</v>
      </c>
      <c r="B680" t="str">
        <f>"002152"</f>
        <v>002152</v>
      </c>
      <c r="C680" t="s">
        <v>1571</v>
      </c>
      <c r="D680" t="s">
        <v>158</v>
      </c>
      <c r="E680">
        <v>1782627813</v>
      </c>
      <c r="F680">
        <v>1708964559</v>
      </c>
      <c r="G680">
        <v>1461534389</v>
      </c>
      <c r="H680">
        <v>1346436154</v>
      </c>
      <c r="I680">
        <v>1050574197</v>
      </c>
      <c r="J680">
        <v>767989171</v>
      </c>
      <c r="K680">
        <v>726867228</v>
      </c>
      <c r="L680">
        <v>613103638</v>
      </c>
      <c r="M680">
        <v>733953419</v>
      </c>
      <c r="N680">
        <v>705194292</v>
      </c>
      <c r="O680">
        <v>867805835</v>
      </c>
      <c r="P680">
        <v>16880</v>
      </c>
      <c r="Q680" t="s">
        <v>1572</v>
      </c>
    </row>
    <row r="681" spans="1:17" x14ac:dyDescent="0.3">
      <c r="A681" t="s">
        <v>17</v>
      </c>
      <c r="B681" t="str">
        <f>"600233"</f>
        <v>600233</v>
      </c>
      <c r="C681" t="s">
        <v>1573</v>
      </c>
      <c r="D681" t="s">
        <v>114</v>
      </c>
      <c r="E681">
        <v>1781325372</v>
      </c>
      <c r="F681">
        <v>1436422712</v>
      </c>
      <c r="G681">
        <v>1103048266</v>
      </c>
      <c r="H681">
        <v>1096251565</v>
      </c>
      <c r="I681">
        <v>1040669383</v>
      </c>
      <c r="J681">
        <v>190946570</v>
      </c>
      <c r="K681">
        <v>102681395</v>
      </c>
      <c r="L681">
        <v>112875621</v>
      </c>
      <c r="M681">
        <v>57276751</v>
      </c>
      <c r="N681">
        <v>129609587</v>
      </c>
      <c r="O681">
        <v>140037034</v>
      </c>
      <c r="P681">
        <v>733</v>
      </c>
      <c r="Q681" t="s">
        <v>1574</v>
      </c>
    </row>
    <row r="682" spans="1:17" x14ac:dyDescent="0.3">
      <c r="A682" t="s">
        <v>17</v>
      </c>
      <c r="B682" t="str">
        <f>"600744"</f>
        <v>600744</v>
      </c>
      <c r="C682" t="s">
        <v>1575</v>
      </c>
      <c r="D682" t="s">
        <v>71</v>
      </c>
      <c r="E682">
        <v>1780986962</v>
      </c>
      <c r="F682">
        <v>1759835657</v>
      </c>
      <c r="G682">
        <v>1554186672</v>
      </c>
      <c r="H682">
        <v>1618642167</v>
      </c>
      <c r="I682">
        <v>1703293235</v>
      </c>
      <c r="J682">
        <v>1531250330</v>
      </c>
      <c r="K682">
        <v>1342173309</v>
      </c>
      <c r="L682">
        <v>1111564787</v>
      </c>
      <c r="M682">
        <v>1074434114</v>
      </c>
      <c r="N682">
        <v>1083415564</v>
      </c>
      <c r="O682">
        <v>1078205739</v>
      </c>
      <c r="P682">
        <v>182</v>
      </c>
      <c r="Q682" t="s">
        <v>1576</v>
      </c>
    </row>
    <row r="683" spans="1:17" x14ac:dyDescent="0.3">
      <c r="A683" t="s">
        <v>73</v>
      </c>
      <c r="B683" t="str">
        <f>"300184"</f>
        <v>300184</v>
      </c>
      <c r="C683" t="s">
        <v>1577</v>
      </c>
      <c r="D683" t="s">
        <v>651</v>
      </c>
      <c r="E683">
        <v>1777260854</v>
      </c>
      <c r="F683">
        <v>1846216760</v>
      </c>
      <c r="G683">
        <v>2191319379</v>
      </c>
      <c r="H683">
        <v>1916753415</v>
      </c>
      <c r="I683">
        <v>1575765380</v>
      </c>
      <c r="J683">
        <v>1452318347</v>
      </c>
      <c r="K683">
        <v>283875684</v>
      </c>
      <c r="L683">
        <v>181739262</v>
      </c>
      <c r="M683">
        <v>40113419</v>
      </c>
      <c r="N683">
        <v>30645571</v>
      </c>
      <c r="O683">
        <v>23745150</v>
      </c>
      <c r="P683">
        <v>252</v>
      </c>
      <c r="Q683" t="s">
        <v>1578</v>
      </c>
    </row>
    <row r="684" spans="1:17" x14ac:dyDescent="0.3">
      <c r="A684" t="s">
        <v>17</v>
      </c>
      <c r="B684" t="str">
        <f>"605168"</f>
        <v>605168</v>
      </c>
      <c r="C684" t="s">
        <v>1579</v>
      </c>
      <c r="D684" t="s">
        <v>425</v>
      </c>
      <c r="E684">
        <v>1776444822</v>
      </c>
      <c r="F684">
        <v>970977919</v>
      </c>
      <c r="G684">
        <v>677186361</v>
      </c>
      <c r="H684">
        <v>0</v>
      </c>
      <c r="P684">
        <v>317</v>
      </c>
      <c r="Q684" t="s">
        <v>1580</v>
      </c>
    </row>
    <row r="685" spans="1:17" x14ac:dyDescent="0.3">
      <c r="A685" t="s">
        <v>17</v>
      </c>
      <c r="B685" t="str">
        <f>"601360"</f>
        <v>601360</v>
      </c>
      <c r="C685" t="s">
        <v>1581</v>
      </c>
      <c r="D685" t="s">
        <v>404</v>
      </c>
      <c r="E685">
        <v>1774589000</v>
      </c>
      <c r="F685">
        <v>1613064000</v>
      </c>
      <c r="G685">
        <v>1582438000</v>
      </c>
      <c r="H685">
        <v>2162018000</v>
      </c>
      <c r="I685">
        <v>2017589000</v>
      </c>
      <c r="J685">
        <v>786000028</v>
      </c>
      <c r="K685">
        <v>738919999</v>
      </c>
      <c r="L685">
        <v>698494839</v>
      </c>
      <c r="M685">
        <v>495027972</v>
      </c>
      <c r="N685">
        <v>457779242</v>
      </c>
      <c r="O685">
        <v>358010191</v>
      </c>
      <c r="P685">
        <v>1010</v>
      </c>
      <c r="Q685" t="s">
        <v>1582</v>
      </c>
    </row>
    <row r="686" spans="1:17" x14ac:dyDescent="0.3">
      <c r="A686" t="s">
        <v>17</v>
      </c>
      <c r="B686" t="str">
        <f>"600292"</f>
        <v>600292</v>
      </c>
      <c r="C686" t="s">
        <v>1583</v>
      </c>
      <c r="D686" t="s">
        <v>629</v>
      </c>
      <c r="E686">
        <v>1774103117</v>
      </c>
      <c r="F686">
        <v>1632446146</v>
      </c>
      <c r="G686">
        <v>1963553773</v>
      </c>
      <c r="H686">
        <v>2255207069</v>
      </c>
      <c r="I686">
        <v>1853886081</v>
      </c>
      <c r="J686">
        <v>1783741424</v>
      </c>
      <c r="K686">
        <v>1677994847</v>
      </c>
      <c r="L686">
        <v>1738734961</v>
      </c>
      <c r="M686">
        <v>1215497159</v>
      </c>
      <c r="N686">
        <v>972833215</v>
      </c>
      <c r="O686">
        <v>921831157</v>
      </c>
      <c r="P686">
        <v>144</v>
      </c>
      <c r="Q686" t="s">
        <v>1584</v>
      </c>
    </row>
    <row r="687" spans="1:17" x14ac:dyDescent="0.3">
      <c r="A687" t="s">
        <v>73</v>
      </c>
      <c r="B687" t="str">
        <f>"300423"</f>
        <v>300423</v>
      </c>
      <c r="C687" t="s">
        <v>1585</v>
      </c>
      <c r="D687" t="s">
        <v>224</v>
      </c>
      <c r="E687">
        <v>1769558714</v>
      </c>
      <c r="F687">
        <v>1716937432</v>
      </c>
      <c r="G687">
        <v>1258930841</v>
      </c>
      <c r="H687">
        <v>1115037902</v>
      </c>
      <c r="I687">
        <v>1362037878</v>
      </c>
      <c r="J687">
        <v>246150899</v>
      </c>
      <c r="K687">
        <v>250718449</v>
      </c>
      <c r="L687">
        <v>257058831</v>
      </c>
      <c r="M687">
        <v>0</v>
      </c>
      <c r="P687">
        <v>156</v>
      </c>
      <c r="Q687" t="s">
        <v>1586</v>
      </c>
    </row>
    <row r="688" spans="1:17" x14ac:dyDescent="0.3">
      <c r="A688" t="s">
        <v>17</v>
      </c>
      <c r="B688" t="str">
        <f>"600831"</f>
        <v>600831</v>
      </c>
      <c r="C688" t="s">
        <v>1587</v>
      </c>
      <c r="D688" t="s">
        <v>1040</v>
      </c>
      <c r="E688">
        <v>1768925118</v>
      </c>
      <c r="F688">
        <v>971272363</v>
      </c>
      <c r="G688">
        <v>1098381424</v>
      </c>
      <c r="H688">
        <v>961117706</v>
      </c>
      <c r="I688">
        <v>543264400</v>
      </c>
      <c r="J688">
        <v>288068799</v>
      </c>
      <c r="K688">
        <v>133308231</v>
      </c>
      <c r="L688">
        <v>137088153</v>
      </c>
      <c r="M688">
        <v>105924033</v>
      </c>
      <c r="N688">
        <v>65770528</v>
      </c>
      <c r="O688">
        <v>52348073</v>
      </c>
      <c r="P688">
        <v>199</v>
      </c>
      <c r="Q688" t="s">
        <v>1588</v>
      </c>
    </row>
    <row r="689" spans="1:17" x14ac:dyDescent="0.3">
      <c r="A689" t="s">
        <v>73</v>
      </c>
      <c r="B689" t="str">
        <f>"002281"</f>
        <v>002281</v>
      </c>
      <c r="C689" t="s">
        <v>1589</v>
      </c>
      <c r="D689" t="s">
        <v>189</v>
      </c>
      <c r="E689">
        <v>1765277843</v>
      </c>
      <c r="F689">
        <v>1754886425</v>
      </c>
      <c r="G689">
        <v>1396789296</v>
      </c>
      <c r="H689">
        <v>1680180276</v>
      </c>
      <c r="I689">
        <v>1529683938</v>
      </c>
      <c r="J689">
        <v>1221911920</v>
      </c>
      <c r="K689">
        <v>1062423248</v>
      </c>
      <c r="L689">
        <v>781678023</v>
      </c>
      <c r="M689">
        <v>809443632</v>
      </c>
      <c r="N689">
        <v>691662808</v>
      </c>
      <c r="O689">
        <v>320478527</v>
      </c>
      <c r="P689">
        <v>894</v>
      </c>
      <c r="Q689" t="s">
        <v>1590</v>
      </c>
    </row>
    <row r="690" spans="1:17" x14ac:dyDescent="0.3">
      <c r="A690" t="s">
        <v>17</v>
      </c>
      <c r="B690" t="str">
        <f>"600350"</f>
        <v>600350</v>
      </c>
      <c r="C690" t="s">
        <v>1591</v>
      </c>
      <c r="D690" t="s">
        <v>1592</v>
      </c>
      <c r="E690">
        <v>1762014981</v>
      </c>
      <c r="F690">
        <v>616129548</v>
      </c>
      <c r="G690">
        <v>47004987</v>
      </c>
      <c r="H690">
        <v>21017131</v>
      </c>
      <c r="I690">
        <v>21515393</v>
      </c>
      <c r="J690">
        <v>11976120</v>
      </c>
      <c r="K690">
        <v>2453016</v>
      </c>
      <c r="L690">
        <v>7284349</v>
      </c>
      <c r="M690">
        <v>6420592</v>
      </c>
      <c r="N690">
        <v>1876040</v>
      </c>
      <c r="O690">
        <v>2624870</v>
      </c>
      <c r="P690">
        <v>1230</v>
      </c>
      <c r="Q690" t="s">
        <v>1593</v>
      </c>
    </row>
    <row r="691" spans="1:17" x14ac:dyDescent="0.3">
      <c r="A691" t="s">
        <v>73</v>
      </c>
      <c r="B691" t="str">
        <f>"300232"</f>
        <v>300232</v>
      </c>
      <c r="C691" t="s">
        <v>1594</v>
      </c>
      <c r="D691" t="s">
        <v>737</v>
      </c>
      <c r="E691">
        <v>1761798349</v>
      </c>
      <c r="F691">
        <v>1357581867</v>
      </c>
      <c r="G691">
        <v>1412326015</v>
      </c>
      <c r="H691">
        <v>1415078849</v>
      </c>
      <c r="I691">
        <v>1039811576</v>
      </c>
      <c r="J691">
        <v>413463674</v>
      </c>
      <c r="K691">
        <v>310813019</v>
      </c>
      <c r="L691">
        <v>229810699</v>
      </c>
      <c r="M691">
        <v>188891388</v>
      </c>
      <c r="N691">
        <v>107653585</v>
      </c>
      <c r="O691">
        <v>46775987</v>
      </c>
      <c r="P691">
        <v>922</v>
      </c>
      <c r="Q691" t="s">
        <v>1595</v>
      </c>
    </row>
    <row r="692" spans="1:17" x14ac:dyDescent="0.3">
      <c r="A692" t="s">
        <v>73</v>
      </c>
      <c r="B692" t="str">
        <f>"002503"</f>
        <v>002503</v>
      </c>
      <c r="C692" t="s">
        <v>1596</v>
      </c>
      <c r="D692" t="s">
        <v>991</v>
      </c>
      <c r="E692">
        <v>1761720098</v>
      </c>
      <c r="F692">
        <v>2542090502</v>
      </c>
      <c r="G692">
        <v>2501761300</v>
      </c>
      <c r="H692">
        <v>2031119040</v>
      </c>
      <c r="I692">
        <v>1395713090</v>
      </c>
      <c r="J692">
        <v>1435676851</v>
      </c>
      <c r="K692">
        <v>665953026</v>
      </c>
      <c r="L692">
        <v>471217375</v>
      </c>
      <c r="M692">
        <v>439173928</v>
      </c>
      <c r="N692">
        <v>334584177</v>
      </c>
      <c r="O692">
        <v>168048923</v>
      </c>
      <c r="P692">
        <v>244</v>
      </c>
      <c r="Q692" t="s">
        <v>1597</v>
      </c>
    </row>
    <row r="693" spans="1:17" x14ac:dyDescent="0.3">
      <c r="A693" t="s">
        <v>73</v>
      </c>
      <c r="B693" t="str">
        <f>"002313"</f>
        <v>002313</v>
      </c>
      <c r="C693" t="s">
        <v>1598</v>
      </c>
      <c r="D693" t="s">
        <v>332</v>
      </c>
      <c r="E693">
        <v>1760959010</v>
      </c>
      <c r="F693">
        <v>1846985142</v>
      </c>
      <c r="G693">
        <v>1658617205</v>
      </c>
      <c r="H693">
        <v>1908917414</v>
      </c>
      <c r="I693">
        <v>920532320</v>
      </c>
      <c r="J693">
        <v>958410495</v>
      </c>
      <c r="K693">
        <v>1125441697</v>
      </c>
      <c r="L693">
        <v>1124654745</v>
      </c>
      <c r="M693">
        <v>1211826357</v>
      </c>
      <c r="N693">
        <v>1013036871</v>
      </c>
      <c r="O693">
        <v>574103873</v>
      </c>
      <c r="P693">
        <v>243</v>
      </c>
      <c r="Q693" t="s">
        <v>1599</v>
      </c>
    </row>
    <row r="694" spans="1:17" x14ac:dyDescent="0.3">
      <c r="A694" t="s">
        <v>17</v>
      </c>
      <c r="B694" t="str">
        <f>"603626"</f>
        <v>603626</v>
      </c>
      <c r="C694" t="s">
        <v>1600</v>
      </c>
      <c r="D694" t="s">
        <v>42</v>
      </c>
      <c r="E694">
        <v>1760485508</v>
      </c>
      <c r="F694">
        <v>1711718233</v>
      </c>
      <c r="G694">
        <v>936412550</v>
      </c>
      <c r="H694">
        <v>1035837345</v>
      </c>
      <c r="I694">
        <v>985155953</v>
      </c>
      <c r="J694">
        <v>502972664</v>
      </c>
      <c r="P694">
        <v>173</v>
      </c>
      <c r="Q694" t="s">
        <v>1601</v>
      </c>
    </row>
    <row r="695" spans="1:17" x14ac:dyDescent="0.3">
      <c r="A695" t="s">
        <v>73</v>
      </c>
      <c r="B695" t="str">
        <f>"002960"</f>
        <v>002960</v>
      </c>
      <c r="C695" t="s">
        <v>1602</v>
      </c>
      <c r="D695" t="s">
        <v>744</v>
      </c>
      <c r="E695">
        <v>1759667373</v>
      </c>
      <c r="F695">
        <v>1300730728</v>
      </c>
      <c r="G695">
        <v>875189113</v>
      </c>
      <c r="H695">
        <v>0</v>
      </c>
      <c r="P695">
        <v>389</v>
      </c>
      <c r="Q695" t="s">
        <v>1603</v>
      </c>
    </row>
    <row r="696" spans="1:17" x14ac:dyDescent="0.3">
      <c r="A696" t="s">
        <v>73</v>
      </c>
      <c r="B696" t="str">
        <f>"002130"</f>
        <v>002130</v>
      </c>
      <c r="C696" t="s">
        <v>1604</v>
      </c>
      <c r="D696" t="s">
        <v>651</v>
      </c>
      <c r="E696">
        <v>1757730284</v>
      </c>
      <c r="F696">
        <v>1621753662</v>
      </c>
      <c r="G696">
        <v>1291004166</v>
      </c>
      <c r="H696">
        <v>1362440874</v>
      </c>
      <c r="I696">
        <v>944230149</v>
      </c>
      <c r="J696">
        <v>737178537</v>
      </c>
      <c r="K696">
        <v>536969294</v>
      </c>
      <c r="L696">
        <v>493213374</v>
      </c>
      <c r="M696">
        <v>358801422</v>
      </c>
      <c r="N696">
        <v>339022891</v>
      </c>
      <c r="O696">
        <v>149957770</v>
      </c>
      <c r="P696">
        <v>266</v>
      </c>
      <c r="Q696" t="s">
        <v>1605</v>
      </c>
    </row>
    <row r="697" spans="1:17" x14ac:dyDescent="0.3">
      <c r="A697" t="s">
        <v>73</v>
      </c>
      <c r="B697" t="str">
        <f>"001896"</f>
        <v>001896</v>
      </c>
      <c r="C697" t="s">
        <v>1606</v>
      </c>
      <c r="D697" t="s">
        <v>71</v>
      </c>
      <c r="E697">
        <v>1753210057</v>
      </c>
      <c r="F697">
        <v>1443279587</v>
      </c>
      <c r="G697">
        <v>999503272</v>
      </c>
      <c r="H697">
        <v>1757579046</v>
      </c>
      <c r="I697">
        <v>2726164260</v>
      </c>
      <c r="J697">
        <v>901540300</v>
      </c>
      <c r="K697">
        <v>533739620</v>
      </c>
      <c r="L697">
        <v>423131952</v>
      </c>
      <c r="M697">
        <v>287447578</v>
      </c>
      <c r="N697">
        <v>297250419</v>
      </c>
      <c r="O697">
        <v>299183762</v>
      </c>
      <c r="P697">
        <v>202</v>
      </c>
      <c r="Q697" t="s">
        <v>1607</v>
      </c>
    </row>
    <row r="698" spans="1:17" x14ac:dyDescent="0.3">
      <c r="A698" t="s">
        <v>17</v>
      </c>
      <c r="B698" t="str">
        <f>"603012"</f>
        <v>603012</v>
      </c>
      <c r="C698" t="s">
        <v>1608</v>
      </c>
      <c r="D698" t="s">
        <v>311</v>
      </c>
      <c r="E698">
        <v>1751660553</v>
      </c>
      <c r="F698">
        <v>1448116694</v>
      </c>
      <c r="G698">
        <v>1428809039</v>
      </c>
      <c r="H698">
        <v>1148306299</v>
      </c>
      <c r="I698">
        <v>1145215318</v>
      </c>
      <c r="J698">
        <v>1267935005</v>
      </c>
      <c r="K698">
        <v>1277415929</v>
      </c>
      <c r="L698">
        <v>1044085667</v>
      </c>
      <c r="M698">
        <v>0</v>
      </c>
      <c r="P698">
        <v>135</v>
      </c>
      <c r="Q698" t="s">
        <v>1609</v>
      </c>
    </row>
    <row r="699" spans="1:17" x14ac:dyDescent="0.3">
      <c r="A699" t="s">
        <v>17</v>
      </c>
      <c r="B699" t="str">
        <f>"603897"</f>
        <v>603897</v>
      </c>
      <c r="C699" t="s">
        <v>1610</v>
      </c>
      <c r="D699" t="s">
        <v>515</v>
      </c>
      <c r="E699">
        <v>1751371830</v>
      </c>
      <c r="F699">
        <v>1050961966</v>
      </c>
      <c r="G699">
        <v>467837310</v>
      </c>
      <c r="H699">
        <v>595832502</v>
      </c>
      <c r="I699">
        <v>516825719</v>
      </c>
      <c r="P699">
        <v>137</v>
      </c>
      <c r="Q699" t="s">
        <v>1611</v>
      </c>
    </row>
    <row r="700" spans="1:17" x14ac:dyDescent="0.3">
      <c r="A700" t="s">
        <v>73</v>
      </c>
      <c r="B700" t="str">
        <f>"000521"</f>
        <v>000521</v>
      </c>
      <c r="C700" t="s">
        <v>1612</v>
      </c>
      <c r="D700" t="s">
        <v>195</v>
      </c>
      <c r="E700">
        <v>1751014904</v>
      </c>
      <c r="F700">
        <v>1778186760</v>
      </c>
      <c r="G700">
        <v>1637290987</v>
      </c>
      <c r="H700">
        <v>2453850022</v>
      </c>
      <c r="I700">
        <v>2211132212</v>
      </c>
      <c r="J700">
        <v>1366799283</v>
      </c>
      <c r="K700">
        <v>1473335295</v>
      </c>
      <c r="L700">
        <v>1463087560</v>
      </c>
      <c r="M700">
        <v>1144807173</v>
      </c>
      <c r="N700">
        <v>880153387</v>
      </c>
      <c r="O700">
        <v>727652759</v>
      </c>
      <c r="P700">
        <v>181</v>
      </c>
      <c r="Q700" t="s">
        <v>1613</v>
      </c>
    </row>
    <row r="701" spans="1:17" x14ac:dyDescent="0.3">
      <c r="A701" t="s">
        <v>73</v>
      </c>
      <c r="B701" t="str">
        <f>"002850"</f>
        <v>002850</v>
      </c>
      <c r="C701" t="s">
        <v>1614</v>
      </c>
      <c r="D701" t="s">
        <v>125</v>
      </c>
      <c r="E701">
        <v>1746247931</v>
      </c>
      <c r="F701">
        <v>880895416</v>
      </c>
      <c r="G701">
        <v>557888387</v>
      </c>
      <c r="H701">
        <v>633533888</v>
      </c>
      <c r="I701">
        <v>417615894</v>
      </c>
      <c r="J701">
        <v>376643864</v>
      </c>
      <c r="P701">
        <v>379</v>
      </c>
      <c r="Q701" t="s">
        <v>1615</v>
      </c>
    </row>
    <row r="702" spans="1:17" x14ac:dyDescent="0.3">
      <c r="A702" t="s">
        <v>17</v>
      </c>
      <c r="B702" t="str">
        <f>"600151"</f>
        <v>600151</v>
      </c>
      <c r="C702" t="s">
        <v>1616</v>
      </c>
      <c r="D702" t="s">
        <v>305</v>
      </c>
      <c r="E702">
        <v>1745225865</v>
      </c>
      <c r="F702">
        <v>1534435016</v>
      </c>
      <c r="G702">
        <v>1694279476</v>
      </c>
      <c r="H702">
        <v>1780077610</v>
      </c>
      <c r="I702">
        <v>2719074851</v>
      </c>
      <c r="J702">
        <v>1965472500</v>
      </c>
      <c r="K702">
        <v>2295514961</v>
      </c>
      <c r="L702">
        <v>1225199822</v>
      </c>
      <c r="M702">
        <v>1510759587</v>
      </c>
      <c r="N702">
        <v>1402165330</v>
      </c>
      <c r="O702">
        <v>831731613</v>
      </c>
      <c r="P702">
        <v>165</v>
      </c>
      <c r="Q702" t="s">
        <v>1617</v>
      </c>
    </row>
    <row r="703" spans="1:17" x14ac:dyDescent="0.3">
      <c r="A703" t="s">
        <v>73</v>
      </c>
      <c r="B703" t="str">
        <f>"002739"</f>
        <v>002739</v>
      </c>
      <c r="C703" t="s">
        <v>1618</v>
      </c>
      <c r="D703" t="s">
        <v>1619</v>
      </c>
      <c r="E703">
        <v>1742977076</v>
      </c>
      <c r="F703">
        <v>2708959914</v>
      </c>
      <c r="G703">
        <v>2234447757</v>
      </c>
      <c r="H703">
        <v>1677758530</v>
      </c>
      <c r="I703">
        <v>1361035002</v>
      </c>
      <c r="J703">
        <v>662727334</v>
      </c>
      <c r="K703">
        <v>403418363</v>
      </c>
      <c r="L703">
        <v>131160856</v>
      </c>
      <c r="M703">
        <v>0</v>
      </c>
      <c r="P703">
        <v>911</v>
      </c>
      <c r="Q703" t="s">
        <v>1620</v>
      </c>
    </row>
    <row r="704" spans="1:17" x14ac:dyDescent="0.3">
      <c r="A704" t="s">
        <v>73</v>
      </c>
      <c r="B704" t="str">
        <f>"300190"</f>
        <v>300190</v>
      </c>
      <c r="C704" t="s">
        <v>1621</v>
      </c>
      <c r="D704" t="s">
        <v>472</v>
      </c>
      <c r="E704">
        <v>1740392529</v>
      </c>
      <c r="F704">
        <v>1918586165</v>
      </c>
      <c r="G704">
        <v>1278073578</v>
      </c>
      <c r="H704">
        <v>1080956576</v>
      </c>
      <c r="I704">
        <v>895817298</v>
      </c>
      <c r="J704">
        <v>481381595</v>
      </c>
      <c r="K704">
        <v>462481865</v>
      </c>
      <c r="L704">
        <v>324069241</v>
      </c>
      <c r="M704">
        <v>287386026</v>
      </c>
      <c r="N704">
        <v>295072894</v>
      </c>
      <c r="O704">
        <v>163863760</v>
      </c>
      <c r="P704">
        <v>233</v>
      </c>
      <c r="Q704" t="s">
        <v>1622</v>
      </c>
    </row>
    <row r="705" spans="1:17" x14ac:dyDescent="0.3">
      <c r="A705" t="s">
        <v>73</v>
      </c>
      <c r="B705" t="str">
        <f>"300088"</f>
        <v>300088</v>
      </c>
      <c r="C705" t="s">
        <v>1623</v>
      </c>
      <c r="D705" t="s">
        <v>97</v>
      </c>
      <c r="E705">
        <v>1736908338</v>
      </c>
      <c r="F705">
        <v>1464876829</v>
      </c>
      <c r="G705">
        <v>1157254871</v>
      </c>
      <c r="H705">
        <v>1317024028</v>
      </c>
      <c r="I705">
        <v>1063220850</v>
      </c>
      <c r="J705">
        <v>1811063597</v>
      </c>
      <c r="K705">
        <v>874539073</v>
      </c>
      <c r="L705">
        <v>497159287</v>
      </c>
      <c r="M705">
        <v>417952338</v>
      </c>
      <c r="N705">
        <v>285512054</v>
      </c>
      <c r="O705">
        <v>189949089</v>
      </c>
      <c r="P705">
        <v>950</v>
      </c>
      <c r="Q705" t="s">
        <v>1624</v>
      </c>
    </row>
    <row r="706" spans="1:17" x14ac:dyDescent="0.3">
      <c r="A706" t="s">
        <v>73</v>
      </c>
      <c r="B706" t="str">
        <f>"000876"</f>
        <v>000876</v>
      </c>
      <c r="C706" t="s">
        <v>1625</v>
      </c>
      <c r="D706" t="s">
        <v>1626</v>
      </c>
      <c r="E706">
        <v>1730737688</v>
      </c>
      <c r="F706">
        <v>1347653403</v>
      </c>
      <c r="G706">
        <v>1253741672</v>
      </c>
      <c r="H706">
        <v>924712761</v>
      </c>
      <c r="I706">
        <v>766846947</v>
      </c>
      <c r="J706">
        <v>683057343</v>
      </c>
      <c r="K706">
        <v>601666126</v>
      </c>
      <c r="L706">
        <v>600476695</v>
      </c>
      <c r="M706">
        <v>740257515</v>
      </c>
      <c r="N706">
        <v>677907782</v>
      </c>
      <c r="O706">
        <v>678576111</v>
      </c>
      <c r="P706">
        <v>2609</v>
      </c>
      <c r="Q706" t="s">
        <v>1627</v>
      </c>
    </row>
    <row r="707" spans="1:17" x14ac:dyDescent="0.3">
      <c r="A707" t="s">
        <v>73</v>
      </c>
      <c r="B707" t="str">
        <f>"002466"</f>
        <v>002466</v>
      </c>
      <c r="C707" t="s">
        <v>1628</v>
      </c>
      <c r="D707" t="s">
        <v>841</v>
      </c>
      <c r="E707">
        <v>1727479495</v>
      </c>
      <c r="F707">
        <v>275068469</v>
      </c>
      <c r="G707">
        <v>617352378</v>
      </c>
      <c r="H707">
        <v>620064934</v>
      </c>
      <c r="I707">
        <v>423075801</v>
      </c>
      <c r="J707">
        <v>139184266</v>
      </c>
      <c r="K707">
        <v>73014096</v>
      </c>
      <c r="L707">
        <v>150913538</v>
      </c>
      <c r="M707">
        <v>37493009</v>
      </c>
      <c r="N707">
        <v>27096023</v>
      </c>
      <c r="O707">
        <v>30340949</v>
      </c>
      <c r="P707">
        <v>2365</v>
      </c>
      <c r="Q707" t="s">
        <v>1629</v>
      </c>
    </row>
    <row r="708" spans="1:17" x14ac:dyDescent="0.3">
      <c r="A708" t="s">
        <v>73</v>
      </c>
      <c r="B708" t="str">
        <f>"002985"</f>
        <v>002985</v>
      </c>
      <c r="C708" t="s">
        <v>1630</v>
      </c>
      <c r="D708" t="s">
        <v>130</v>
      </c>
      <c r="E708">
        <v>1724267992</v>
      </c>
      <c r="F708">
        <v>1229825186</v>
      </c>
      <c r="G708">
        <v>534307831</v>
      </c>
      <c r="P708">
        <v>548</v>
      </c>
      <c r="Q708" t="s">
        <v>1631</v>
      </c>
    </row>
    <row r="709" spans="1:17" x14ac:dyDescent="0.3">
      <c r="A709" t="s">
        <v>17</v>
      </c>
      <c r="B709" t="str">
        <f>"601827"</f>
        <v>601827</v>
      </c>
      <c r="C709" t="s">
        <v>1632</v>
      </c>
      <c r="D709" t="s">
        <v>623</v>
      </c>
      <c r="E709">
        <v>1717062342</v>
      </c>
      <c r="F709">
        <v>1494743901</v>
      </c>
      <c r="G709">
        <v>1030185512</v>
      </c>
      <c r="H709">
        <v>0</v>
      </c>
      <c r="P709">
        <v>143</v>
      </c>
      <c r="Q709" t="s">
        <v>1633</v>
      </c>
    </row>
    <row r="710" spans="1:17" x14ac:dyDescent="0.3">
      <c r="A710" t="s">
        <v>73</v>
      </c>
      <c r="B710" t="str">
        <f>"300815"</f>
        <v>300815</v>
      </c>
      <c r="C710" t="s">
        <v>1634</v>
      </c>
      <c r="D710" t="s">
        <v>623</v>
      </c>
      <c r="E710">
        <v>1715137350</v>
      </c>
      <c r="F710">
        <v>1232065488</v>
      </c>
      <c r="G710">
        <v>977026506</v>
      </c>
      <c r="H710">
        <v>0</v>
      </c>
      <c r="P710">
        <v>345</v>
      </c>
      <c r="Q710" t="s">
        <v>1635</v>
      </c>
    </row>
    <row r="711" spans="1:17" x14ac:dyDescent="0.3">
      <c r="A711" t="s">
        <v>73</v>
      </c>
      <c r="B711" t="str">
        <f>"300271"</f>
        <v>300271</v>
      </c>
      <c r="C711" t="s">
        <v>1636</v>
      </c>
      <c r="D711" t="s">
        <v>302</v>
      </c>
      <c r="E711">
        <v>1714725715</v>
      </c>
      <c r="F711">
        <v>1374505689</v>
      </c>
      <c r="G711">
        <v>1039410877</v>
      </c>
      <c r="H711">
        <v>947300919</v>
      </c>
      <c r="I711">
        <v>714442528</v>
      </c>
      <c r="J711">
        <v>467518420</v>
      </c>
      <c r="K711">
        <v>350827056</v>
      </c>
      <c r="L711">
        <v>346562564</v>
      </c>
      <c r="M711">
        <v>305989063</v>
      </c>
      <c r="N711">
        <v>213618114</v>
      </c>
      <c r="O711">
        <v>124643110</v>
      </c>
      <c r="P711">
        <v>590</v>
      </c>
      <c r="Q711" t="s">
        <v>1637</v>
      </c>
    </row>
    <row r="712" spans="1:17" x14ac:dyDescent="0.3">
      <c r="A712" t="s">
        <v>17</v>
      </c>
      <c r="B712" t="str">
        <f>"603816"</f>
        <v>603816</v>
      </c>
      <c r="C712" t="s">
        <v>1638</v>
      </c>
      <c r="D712" t="s">
        <v>1111</v>
      </c>
      <c r="E712">
        <v>1708160618</v>
      </c>
      <c r="F712">
        <v>1049587629</v>
      </c>
      <c r="G712">
        <v>910259513</v>
      </c>
      <c r="H712">
        <v>821673343</v>
      </c>
      <c r="I712">
        <v>439398668</v>
      </c>
      <c r="J712">
        <v>354149394</v>
      </c>
      <c r="P712">
        <v>1965</v>
      </c>
      <c r="Q712" t="s">
        <v>1639</v>
      </c>
    </row>
    <row r="713" spans="1:17" x14ac:dyDescent="0.3">
      <c r="A713" t="s">
        <v>73</v>
      </c>
      <c r="B713" t="str">
        <f>"002789"</f>
        <v>002789</v>
      </c>
      <c r="C713" t="s">
        <v>1640</v>
      </c>
      <c r="D713" t="s">
        <v>258</v>
      </c>
      <c r="E713">
        <v>1707568764</v>
      </c>
      <c r="F713">
        <v>1996977473</v>
      </c>
      <c r="G713">
        <v>1829355523</v>
      </c>
      <c r="H713">
        <v>1646587290</v>
      </c>
      <c r="I713">
        <v>1415136105</v>
      </c>
      <c r="J713">
        <v>1220685270</v>
      </c>
      <c r="K713">
        <v>1048442144</v>
      </c>
      <c r="L713">
        <v>0</v>
      </c>
      <c r="P713">
        <v>57</v>
      </c>
      <c r="Q713" t="s">
        <v>1641</v>
      </c>
    </row>
    <row r="714" spans="1:17" x14ac:dyDescent="0.3">
      <c r="A714" t="s">
        <v>17</v>
      </c>
      <c r="B714" t="str">
        <f>"600326"</f>
        <v>600326</v>
      </c>
      <c r="C714" t="s">
        <v>1642</v>
      </c>
      <c r="D714" t="s">
        <v>90</v>
      </c>
      <c r="E714">
        <v>1707568475</v>
      </c>
      <c r="F714">
        <v>1105532435</v>
      </c>
      <c r="G714">
        <v>974877728</v>
      </c>
      <c r="H714">
        <v>664032198</v>
      </c>
      <c r="I714">
        <v>452372652</v>
      </c>
      <c r="J714">
        <v>419535442</v>
      </c>
      <c r="K714">
        <v>542254152</v>
      </c>
      <c r="L714">
        <v>452839973</v>
      </c>
      <c r="M714">
        <v>432534999</v>
      </c>
      <c r="N714">
        <v>319157888</v>
      </c>
      <c r="O714">
        <v>298137703</v>
      </c>
      <c r="P714">
        <v>275</v>
      </c>
      <c r="Q714" t="s">
        <v>1643</v>
      </c>
    </row>
    <row r="715" spans="1:17" x14ac:dyDescent="0.3">
      <c r="A715" t="s">
        <v>73</v>
      </c>
      <c r="B715" t="str">
        <f>"002374"</f>
        <v>002374</v>
      </c>
      <c r="C715" t="s">
        <v>1644</v>
      </c>
      <c r="D715" t="s">
        <v>870</v>
      </c>
      <c r="E715">
        <v>1706167340</v>
      </c>
      <c r="F715">
        <v>1389238255</v>
      </c>
      <c r="G715">
        <v>1368992402</v>
      </c>
      <c r="H715">
        <v>1018647408</v>
      </c>
      <c r="I715">
        <v>677802099</v>
      </c>
      <c r="J715">
        <v>622254337</v>
      </c>
      <c r="K715">
        <v>388509090</v>
      </c>
      <c r="L715">
        <v>363100070</v>
      </c>
      <c r="M715">
        <v>108161999</v>
      </c>
      <c r="N715">
        <v>96416615</v>
      </c>
      <c r="O715">
        <v>76716338</v>
      </c>
      <c r="P715">
        <v>92</v>
      </c>
      <c r="Q715" t="s">
        <v>1645</v>
      </c>
    </row>
    <row r="716" spans="1:17" x14ac:dyDescent="0.3">
      <c r="A716" t="s">
        <v>17</v>
      </c>
      <c r="B716" t="str">
        <f>"603111"</f>
        <v>603111</v>
      </c>
      <c r="C716" t="s">
        <v>1646</v>
      </c>
      <c r="D716" t="s">
        <v>47</v>
      </c>
      <c r="E716">
        <v>1705077955</v>
      </c>
      <c r="F716">
        <v>1760192115</v>
      </c>
      <c r="G716">
        <v>1615335410</v>
      </c>
      <c r="H716">
        <v>1683926340</v>
      </c>
      <c r="I716">
        <v>2077584150</v>
      </c>
      <c r="J716">
        <v>1019940957</v>
      </c>
      <c r="K716">
        <v>715583844</v>
      </c>
      <c r="L716">
        <v>483533446</v>
      </c>
      <c r="M716">
        <v>0</v>
      </c>
      <c r="P716">
        <v>440</v>
      </c>
      <c r="Q716" t="s">
        <v>1647</v>
      </c>
    </row>
    <row r="717" spans="1:17" x14ac:dyDescent="0.3">
      <c r="A717" t="s">
        <v>73</v>
      </c>
      <c r="B717" t="str">
        <f>"300166"</f>
        <v>300166</v>
      </c>
      <c r="C717" t="s">
        <v>1648</v>
      </c>
      <c r="D717" t="s">
        <v>302</v>
      </c>
      <c r="E717">
        <v>1698999719</v>
      </c>
      <c r="F717">
        <v>1597428796</v>
      </c>
      <c r="G717">
        <v>551592226</v>
      </c>
      <c r="H717">
        <v>1639946624</v>
      </c>
      <c r="I717">
        <v>1267103548</v>
      </c>
      <c r="J717">
        <v>1019695371</v>
      </c>
      <c r="K717">
        <v>708571221</v>
      </c>
      <c r="L717">
        <v>478522575</v>
      </c>
      <c r="M717">
        <v>293471606</v>
      </c>
      <c r="N717">
        <v>182160842</v>
      </c>
      <c r="O717">
        <v>114773795</v>
      </c>
      <c r="P717">
        <v>461</v>
      </c>
      <c r="Q717" t="s">
        <v>1649</v>
      </c>
    </row>
    <row r="718" spans="1:17" x14ac:dyDescent="0.3">
      <c r="A718" t="s">
        <v>17</v>
      </c>
      <c r="B718" t="str">
        <f>"600997"</f>
        <v>600997</v>
      </c>
      <c r="C718" t="s">
        <v>1650</v>
      </c>
      <c r="D718" t="s">
        <v>1651</v>
      </c>
      <c r="E718">
        <v>1698766545</v>
      </c>
      <c r="F718">
        <v>1876297850</v>
      </c>
      <c r="G718">
        <v>2438778020</v>
      </c>
      <c r="H718">
        <v>2741712674</v>
      </c>
      <c r="I718">
        <v>2939137213</v>
      </c>
      <c r="J718">
        <v>2619425410</v>
      </c>
      <c r="K718">
        <v>2167459376</v>
      </c>
      <c r="L718">
        <v>2292750577</v>
      </c>
      <c r="M718">
        <v>2231307753</v>
      </c>
      <c r="N718">
        <v>1811184032</v>
      </c>
      <c r="O718">
        <v>1169707610</v>
      </c>
      <c r="P718">
        <v>729</v>
      </c>
      <c r="Q718" t="s">
        <v>1652</v>
      </c>
    </row>
    <row r="719" spans="1:17" x14ac:dyDescent="0.3">
      <c r="A719" t="s">
        <v>17</v>
      </c>
      <c r="B719" t="str">
        <f>"603220"</f>
        <v>603220</v>
      </c>
      <c r="C719" t="s">
        <v>1653</v>
      </c>
      <c r="D719" t="s">
        <v>853</v>
      </c>
      <c r="E719">
        <v>1697936885</v>
      </c>
      <c r="F719">
        <v>1760636733</v>
      </c>
      <c r="G719">
        <v>1904072226</v>
      </c>
      <c r="H719">
        <v>1361518880</v>
      </c>
      <c r="P719">
        <v>146</v>
      </c>
      <c r="Q719" t="s">
        <v>1654</v>
      </c>
    </row>
    <row r="720" spans="1:17" x14ac:dyDescent="0.3">
      <c r="A720" t="s">
        <v>73</v>
      </c>
      <c r="B720" t="str">
        <f>"002424"</f>
        <v>002424</v>
      </c>
      <c r="C720" t="s">
        <v>1655</v>
      </c>
      <c r="D720" t="s">
        <v>215</v>
      </c>
      <c r="E720">
        <v>1695183495</v>
      </c>
      <c r="F720">
        <v>1693435150</v>
      </c>
      <c r="G720">
        <v>1884006629</v>
      </c>
      <c r="H720">
        <v>1790463032</v>
      </c>
      <c r="I720">
        <v>1230628767</v>
      </c>
      <c r="J720">
        <v>839999073</v>
      </c>
      <c r="K720">
        <v>668322890</v>
      </c>
      <c r="L720">
        <v>485301644</v>
      </c>
      <c r="M720">
        <v>463059258</v>
      </c>
      <c r="N720">
        <v>450079256</v>
      </c>
      <c r="O720">
        <v>414310127</v>
      </c>
      <c r="P720">
        <v>472</v>
      </c>
      <c r="Q720" t="s">
        <v>1656</v>
      </c>
    </row>
    <row r="721" spans="1:17" x14ac:dyDescent="0.3">
      <c r="A721" t="s">
        <v>73</v>
      </c>
      <c r="B721" t="str">
        <f>"002441"</f>
        <v>002441</v>
      </c>
      <c r="C721" t="s">
        <v>1657</v>
      </c>
      <c r="D721" t="s">
        <v>230</v>
      </c>
      <c r="E721">
        <v>1694704941</v>
      </c>
      <c r="F721">
        <v>1612555405</v>
      </c>
      <c r="G721">
        <v>1389103854</v>
      </c>
      <c r="H721">
        <v>1841816196</v>
      </c>
      <c r="I721">
        <v>1365177442</v>
      </c>
      <c r="J721">
        <v>1243841597</v>
      </c>
      <c r="K721">
        <v>1102332462</v>
      </c>
      <c r="L721">
        <v>1291817318</v>
      </c>
      <c r="M721">
        <v>1115547409</v>
      </c>
      <c r="N721">
        <v>974813945</v>
      </c>
      <c r="O721">
        <v>732290322</v>
      </c>
      <c r="P721">
        <v>134</v>
      </c>
      <c r="Q721" t="s">
        <v>1658</v>
      </c>
    </row>
    <row r="722" spans="1:17" x14ac:dyDescent="0.3">
      <c r="A722" t="s">
        <v>73</v>
      </c>
      <c r="B722" t="str">
        <f>"300040"</f>
        <v>300040</v>
      </c>
      <c r="C722" t="s">
        <v>1659</v>
      </c>
      <c r="D722" t="s">
        <v>161</v>
      </c>
      <c r="E722">
        <v>1691491218</v>
      </c>
      <c r="F722">
        <v>1341429716</v>
      </c>
      <c r="G722">
        <v>892700085</v>
      </c>
      <c r="H722">
        <v>809047905</v>
      </c>
      <c r="I722">
        <v>917365925</v>
      </c>
      <c r="J722">
        <v>1007498112</v>
      </c>
      <c r="K722">
        <v>626742672</v>
      </c>
      <c r="L722">
        <v>277293329</v>
      </c>
      <c r="M722">
        <v>364139221</v>
      </c>
      <c r="N722">
        <v>447835125</v>
      </c>
      <c r="O722">
        <v>471066844</v>
      </c>
      <c r="P722">
        <v>214</v>
      </c>
      <c r="Q722" t="s">
        <v>1660</v>
      </c>
    </row>
    <row r="723" spans="1:17" x14ac:dyDescent="0.3">
      <c r="A723" t="s">
        <v>73</v>
      </c>
      <c r="B723" t="str">
        <f>"300732"</f>
        <v>300732</v>
      </c>
      <c r="C723" t="s">
        <v>1661</v>
      </c>
      <c r="D723" t="s">
        <v>661</v>
      </c>
      <c r="E723">
        <v>1691013246</v>
      </c>
      <c r="F723">
        <v>1404742138</v>
      </c>
      <c r="G723">
        <v>1327453870</v>
      </c>
      <c r="H723">
        <v>1571707780</v>
      </c>
      <c r="I723">
        <v>755668429</v>
      </c>
      <c r="J723">
        <v>0</v>
      </c>
      <c r="P723">
        <v>151</v>
      </c>
      <c r="Q723" t="s">
        <v>1662</v>
      </c>
    </row>
    <row r="724" spans="1:17" x14ac:dyDescent="0.3">
      <c r="A724" t="s">
        <v>17</v>
      </c>
      <c r="B724" t="str">
        <f>"605069"</f>
        <v>605069</v>
      </c>
      <c r="C724" t="s">
        <v>1663</v>
      </c>
      <c r="D724" t="s">
        <v>472</v>
      </c>
      <c r="E724">
        <v>1689271843</v>
      </c>
      <c r="P724">
        <v>16</v>
      </c>
      <c r="Q724" t="s">
        <v>1664</v>
      </c>
    </row>
    <row r="725" spans="1:17" x14ac:dyDescent="0.3">
      <c r="A725" t="s">
        <v>73</v>
      </c>
      <c r="B725" t="str">
        <f>"300017"</f>
        <v>300017</v>
      </c>
      <c r="C725" t="s">
        <v>1665</v>
      </c>
      <c r="D725" t="s">
        <v>302</v>
      </c>
      <c r="E725">
        <v>1685828385</v>
      </c>
      <c r="F725">
        <v>1513006658</v>
      </c>
      <c r="G725">
        <v>1957247869</v>
      </c>
      <c r="H725">
        <v>1995418678</v>
      </c>
      <c r="I725">
        <v>1630501196</v>
      </c>
      <c r="J725">
        <v>1215226492</v>
      </c>
      <c r="K725">
        <v>860452462</v>
      </c>
      <c r="L725">
        <v>412014136</v>
      </c>
      <c r="M725">
        <v>269362986</v>
      </c>
      <c r="N725">
        <v>119124941</v>
      </c>
      <c r="O725">
        <v>87808223</v>
      </c>
      <c r="P725">
        <v>759</v>
      </c>
      <c r="Q725" t="s">
        <v>1666</v>
      </c>
    </row>
    <row r="726" spans="1:17" x14ac:dyDescent="0.3">
      <c r="A726" t="s">
        <v>17</v>
      </c>
      <c r="B726" t="str">
        <f>"600983"</f>
        <v>600983</v>
      </c>
      <c r="C726" t="s">
        <v>1667</v>
      </c>
      <c r="D726" t="s">
        <v>195</v>
      </c>
      <c r="E726">
        <v>1684703459</v>
      </c>
      <c r="F726">
        <v>1669564102</v>
      </c>
      <c r="G726">
        <v>1219009955</v>
      </c>
      <c r="H726">
        <v>1417855192</v>
      </c>
      <c r="I726">
        <v>1488949202</v>
      </c>
      <c r="J726">
        <v>2025861003</v>
      </c>
      <c r="K726">
        <v>1490548939</v>
      </c>
      <c r="L726">
        <v>888981179</v>
      </c>
      <c r="M726">
        <v>489384137</v>
      </c>
      <c r="N726">
        <v>356702095</v>
      </c>
      <c r="O726">
        <v>389715211</v>
      </c>
      <c r="P726">
        <v>128</v>
      </c>
      <c r="Q726" t="s">
        <v>1668</v>
      </c>
    </row>
    <row r="727" spans="1:17" x14ac:dyDescent="0.3">
      <c r="A727" t="s">
        <v>73</v>
      </c>
      <c r="B727" t="str">
        <f>"000401"</f>
        <v>000401</v>
      </c>
      <c r="C727" t="s">
        <v>1669</v>
      </c>
      <c r="D727" t="s">
        <v>90</v>
      </c>
      <c r="E727">
        <v>1668962680</v>
      </c>
      <c r="F727">
        <v>1682558231</v>
      </c>
      <c r="G727">
        <v>2083244748</v>
      </c>
      <c r="H727">
        <v>2725661792</v>
      </c>
      <c r="I727">
        <v>1258875765</v>
      </c>
      <c r="J727">
        <v>1421491196</v>
      </c>
      <c r="K727">
        <v>1517205566</v>
      </c>
      <c r="L727">
        <v>1729274920</v>
      </c>
      <c r="M727">
        <v>1552747504</v>
      </c>
      <c r="N727">
        <v>1108505799</v>
      </c>
      <c r="O727">
        <v>840259383</v>
      </c>
      <c r="P727">
        <v>826</v>
      </c>
      <c r="Q727" t="s">
        <v>1670</v>
      </c>
    </row>
    <row r="728" spans="1:17" x14ac:dyDescent="0.3">
      <c r="A728" t="s">
        <v>73</v>
      </c>
      <c r="B728" t="str">
        <f>"002396"</f>
        <v>002396</v>
      </c>
      <c r="C728" t="s">
        <v>1671</v>
      </c>
      <c r="D728" t="s">
        <v>189</v>
      </c>
      <c r="E728">
        <v>1668568729</v>
      </c>
      <c r="F728">
        <v>1490449193</v>
      </c>
      <c r="G728">
        <v>1700313942</v>
      </c>
      <c r="H728">
        <v>1419888829</v>
      </c>
      <c r="I728">
        <v>1390210875</v>
      </c>
      <c r="J728">
        <v>885752466</v>
      </c>
      <c r="K728">
        <v>798307021</v>
      </c>
      <c r="L728">
        <v>705926918</v>
      </c>
      <c r="M728">
        <v>604531285</v>
      </c>
      <c r="N728">
        <v>527121620</v>
      </c>
      <c r="O728">
        <v>551485656</v>
      </c>
      <c r="P728">
        <v>3694</v>
      </c>
      <c r="Q728" t="s">
        <v>1672</v>
      </c>
    </row>
    <row r="729" spans="1:17" x14ac:dyDescent="0.3">
      <c r="A729" t="s">
        <v>17</v>
      </c>
      <c r="B729" t="str">
        <f>"603612"</f>
        <v>603612</v>
      </c>
      <c r="C729" t="s">
        <v>1673</v>
      </c>
      <c r="D729" t="s">
        <v>1674</v>
      </c>
      <c r="E729">
        <v>1665356698</v>
      </c>
      <c r="F729">
        <v>1216471794</v>
      </c>
      <c r="G729">
        <v>843441385</v>
      </c>
      <c r="H729">
        <v>490105454</v>
      </c>
      <c r="I729">
        <v>689625779</v>
      </c>
      <c r="P729">
        <v>162</v>
      </c>
      <c r="Q729" t="s">
        <v>1675</v>
      </c>
    </row>
    <row r="730" spans="1:17" x14ac:dyDescent="0.3">
      <c r="A730" t="s">
        <v>73</v>
      </c>
      <c r="B730" t="str">
        <f>"002616"</f>
        <v>002616</v>
      </c>
      <c r="C730" t="s">
        <v>1676</v>
      </c>
      <c r="D730" t="s">
        <v>1677</v>
      </c>
      <c r="E730">
        <v>1664572739</v>
      </c>
      <c r="F730">
        <v>1075645015</v>
      </c>
      <c r="G730">
        <v>599142346</v>
      </c>
      <c r="H730">
        <v>261764329</v>
      </c>
      <c r="I730">
        <v>511301876</v>
      </c>
      <c r="J730">
        <v>462598438</v>
      </c>
      <c r="K730">
        <v>406622354</v>
      </c>
      <c r="L730">
        <v>243192952</v>
      </c>
      <c r="M730">
        <v>209044556</v>
      </c>
      <c r="N730">
        <v>164125009</v>
      </c>
      <c r="O730">
        <v>111123722</v>
      </c>
      <c r="P730">
        <v>202</v>
      </c>
      <c r="Q730" t="s">
        <v>1678</v>
      </c>
    </row>
    <row r="731" spans="1:17" x14ac:dyDescent="0.3">
      <c r="A731" t="s">
        <v>17</v>
      </c>
      <c r="B731" t="str">
        <f>"603699"</f>
        <v>603699</v>
      </c>
      <c r="C731" t="s">
        <v>1679</v>
      </c>
      <c r="D731" t="s">
        <v>146</v>
      </c>
      <c r="E731">
        <v>1664484847</v>
      </c>
      <c r="F731">
        <v>1474572316</v>
      </c>
      <c r="G731">
        <v>1542113051</v>
      </c>
      <c r="H731">
        <v>1286057724</v>
      </c>
      <c r="I731">
        <v>1046845914</v>
      </c>
      <c r="J731">
        <v>910086403</v>
      </c>
      <c r="K731">
        <v>1073107230</v>
      </c>
      <c r="L731">
        <v>1036510235</v>
      </c>
      <c r="M731">
        <v>1086385951</v>
      </c>
      <c r="N731">
        <v>0</v>
      </c>
      <c r="P731">
        <v>271</v>
      </c>
      <c r="Q731" t="s">
        <v>1680</v>
      </c>
    </row>
    <row r="732" spans="1:17" x14ac:dyDescent="0.3">
      <c r="A732" t="s">
        <v>73</v>
      </c>
      <c r="B732" t="str">
        <f>"002120"</f>
        <v>002120</v>
      </c>
      <c r="C732" t="s">
        <v>1681</v>
      </c>
      <c r="D732" t="s">
        <v>114</v>
      </c>
      <c r="E732">
        <v>1661577882</v>
      </c>
      <c r="F732">
        <v>955332869</v>
      </c>
      <c r="G732">
        <v>669025507</v>
      </c>
      <c r="H732">
        <v>645326701</v>
      </c>
      <c r="I732">
        <v>281715616</v>
      </c>
      <c r="J732">
        <v>382578198</v>
      </c>
      <c r="K732">
        <v>154459316</v>
      </c>
      <c r="L732">
        <v>167509250</v>
      </c>
      <c r="M732">
        <v>143664967</v>
      </c>
      <c r="N732">
        <v>135570149</v>
      </c>
      <c r="O732">
        <v>134613084</v>
      </c>
      <c r="P732">
        <v>1163</v>
      </c>
      <c r="Q732" t="s">
        <v>1682</v>
      </c>
    </row>
    <row r="733" spans="1:17" x14ac:dyDescent="0.3">
      <c r="A733" t="s">
        <v>17</v>
      </c>
      <c r="B733" t="str">
        <f>"601619"</f>
        <v>601619</v>
      </c>
      <c r="C733" t="s">
        <v>1683</v>
      </c>
      <c r="D733" t="s">
        <v>133</v>
      </c>
      <c r="E733">
        <v>1659698218</v>
      </c>
      <c r="F733">
        <v>1908391217</v>
      </c>
      <c r="G733">
        <v>1637801117</v>
      </c>
      <c r="H733">
        <v>1262011567</v>
      </c>
      <c r="I733">
        <v>1071574346</v>
      </c>
      <c r="J733">
        <v>0</v>
      </c>
      <c r="P733">
        <v>184</v>
      </c>
      <c r="Q733" t="s">
        <v>1684</v>
      </c>
    </row>
    <row r="734" spans="1:17" x14ac:dyDescent="0.3">
      <c r="A734" t="s">
        <v>17</v>
      </c>
      <c r="B734" t="str">
        <f>"600761"</f>
        <v>600761</v>
      </c>
      <c r="C734" t="s">
        <v>1685</v>
      </c>
      <c r="D734" t="s">
        <v>75</v>
      </c>
      <c r="E734">
        <v>1658226902</v>
      </c>
      <c r="F734">
        <v>1230174292</v>
      </c>
      <c r="G734">
        <v>954750611</v>
      </c>
      <c r="H734">
        <v>1050559225</v>
      </c>
      <c r="I734">
        <v>1024649047</v>
      </c>
      <c r="J734">
        <v>927909512</v>
      </c>
      <c r="K734">
        <v>1057441090</v>
      </c>
      <c r="L734">
        <v>981194243</v>
      </c>
      <c r="M734">
        <v>867226429</v>
      </c>
      <c r="N734">
        <v>784169110</v>
      </c>
      <c r="O734">
        <v>730506471</v>
      </c>
      <c r="P734">
        <v>442</v>
      </c>
      <c r="Q734" t="s">
        <v>1686</v>
      </c>
    </row>
    <row r="735" spans="1:17" x14ac:dyDescent="0.3">
      <c r="A735" t="s">
        <v>73</v>
      </c>
      <c r="B735" t="str">
        <f>"300662"</f>
        <v>300662</v>
      </c>
      <c r="C735" t="s">
        <v>1687</v>
      </c>
      <c r="D735" t="s">
        <v>1688</v>
      </c>
      <c r="E735">
        <v>1657619365</v>
      </c>
      <c r="F735">
        <v>1163636421</v>
      </c>
      <c r="G735">
        <v>766519897</v>
      </c>
      <c r="H735">
        <v>626949962</v>
      </c>
      <c r="I735">
        <v>297708655</v>
      </c>
      <c r="J735">
        <v>211674083</v>
      </c>
      <c r="K735">
        <v>0</v>
      </c>
      <c r="P735">
        <v>688</v>
      </c>
      <c r="Q735" t="s">
        <v>1689</v>
      </c>
    </row>
    <row r="736" spans="1:17" x14ac:dyDescent="0.3">
      <c r="A736" t="s">
        <v>17</v>
      </c>
      <c r="B736" t="str">
        <f>"603883"</f>
        <v>603883</v>
      </c>
      <c r="C736" t="s">
        <v>1690</v>
      </c>
      <c r="D736" t="s">
        <v>1520</v>
      </c>
      <c r="E736">
        <v>1657149089</v>
      </c>
      <c r="F736">
        <v>1306440603</v>
      </c>
      <c r="G736">
        <v>1074864033</v>
      </c>
      <c r="H736">
        <v>1030249893</v>
      </c>
      <c r="I736">
        <v>843506414</v>
      </c>
      <c r="J736">
        <v>602749267</v>
      </c>
      <c r="K736">
        <v>472081368</v>
      </c>
      <c r="L736">
        <v>322448187</v>
      </c>
      <c r="M736">
        <v>0</v>
      </c>
      <c r="P736">
        <v>868</v>
      </c>
      <c r="Q736" t="s">
        <v>1691</v>
      </c>
    </row>
    <row r="737" spans="1:17" x14ac:dyDescent="0.3">
      <c r="A737" t="s">
        <v>73</v>
      </c>
      <c r="B737" t="str">
        <f>"002508"</f>
        <v>002508</v>
      </c>
      <c r="C737" t="s">
        <v>1692</v>
      </c>
      <c r="D737" t="s">
        <v>1693</v>
      </c>
      <c r="E737">
        <v>1656557325</v>
      </c>
      <c r="F737">
        <v>620868795</v>
      </c>
      <c r="G737">
        <v>618835926</v>
      </c>
      <c r="H737">
        <v>563066021</v>
      </c>
      <c r="I737">
        <v>261105309</v>
      </c>
      <c r="J737">
        <v>249103480</v>
      </c>
      <c r="K737">
        <v>218308839</v>
      </c>
      <c r="L737">
        <v>223586568</v>
      </c>
      <c r="M737">
        <v>162531658</v>
      </c>
      <c r="N737">
        <v>133651005</v>
      </c>
      <c r="O737">
        <v>104617936</v>
      </c>
      <c r="P737">
        <v>40627</v>
      </c>
      <c r="Q737" t="s">
        <v>1694</v>
      </c>
    </row>
    <row r="738" spans="1:17" x14ac:dyDescent="0.3">
      <c r="A738" t="s">
        <v>73</v>
      </c>
      <c r="B738" t="str">
        <f>"002298"</f>
        <v>002298</v>
      </c>
      <c r="C738" t="s">
        <v>1695</v>
      </c>
      <c r="D738" t="s">
        <v>795</v>
      </c>
      <c r="E738">
        <v>1655164192</v>
      </c>
      <c r="F738">
        <v>1623774175</v>
      </c>
      <c r="G738">
        <v>1226117906</v>
      </c>
      <c r="H738">
        <v>875754014</v>
      </c>
      <c r="I738">
        <v>843883047</v>
      </c>
      <c r="J738">
        <v>975984653</v>
      </c>
      <c r="K738">
        <v>1033953822</v>
      </c>
      <c r="L738">
        <v>602097206</v>
      </c>
      <c r="M738">
        <v>695818276</v>
      </c>
      <c r="N738">
        <v>553966739</v>
      </c>
      <c r="O738">
        <v>448066178</v>
      </c>
      <c r="P738">
        <v>182</v>
      </c>
      <c r="Q738" t="s">
        <v>1696</v>
      </c>
    </row>
    <row r="739" spans="1:17" x14ac:dyDescent="0.3">
      <c r="A739" t="s">
        <v>73</v>
      </c>
      <c r="B739" t="str">
        <f>"002068"</f>
        <v>002068</v>
      </c>
      <c r="C739" t="s">
        <v>1697</v>
      </c>
      <c r="D739" t="s">
        <v>1698</v>
      </c>
      <c r="E739">
        <v>1655008467</v>
      </c>
      <c r="F739">
        <v>1589679265</v>
      </c>
      <c r="G739">
        <v>1047195777</v>
      </c>
      <c r="H739">
        <v>1406315595</v>
      </c>
      <c r="I739">
        <v>1590213064</v>
      </c>
      <c r="J739">
        <v>1352266217</v>
      </c>
      <c r="K739">
        <v>937386570</v>
      </c>
      <c r="L739">
        <v>1322646491</v>
      </c>
      <c r="M739">
        <v>1169154200</v>
      </c>
      <c r="N739">
        <v>1104936996</v>
      </c>
      <c r="O739">
        <v>858122867</v>
      </c>
      <c r="P739">
        <v>300</v>
      </c>
      <c r="Q739" t="s">
        <v>1699</v>
      </c>
    </row>
    <row r="740" spans="1:17" x14ac:dyDescent="0.3">
      <c r="A740" t="s">
        <v>17</v>
      </c>
      <c r="B740" t="str">
        <f>"601330"</f>
        <v>601330</v>
      </c>
      <c r="C740" t="s">
        <v>1700</v>
      </c>
      <c r="D740" t="s">
        <v>623</v>
      </c>
      <c r="E740">
        <v>1651010123</v>
      </c>
      <c r="F740">
        <v>989406295</v>
      </c>
      <c r="G740">
        <v>439647507</v>
      </c>
      <c r="H740">
        <v>298393180</v>
      </c>
      <c r="I740">
        <v>167638450</v>
      </c>
      <c r="P740">
        <v>234</v>
      </c>
      <c r="Q740" t="s">
        <v>1701</v>
      </c>
    </row>
    <row r="741" spans="1:17" x14ac:dyDescent="0.3">
      <c r="A741" t="s">
        <v>73</v>
      </c>
      <c r="B741" t="str">
        <f>"002399"</f>
        <v>002399</v>
      </c>
      <c r="C741" t="s">
        <v>1702</v>
      </c>
      <c r="D741" t="s">
        <v>908</v>
      </c>
      <c r="E741">
        <v>1649294941</v>
      </c>
      <c r="F741">
        <v>1293789944</v>
      </c>
      <c r="G741">
        <v>1582135255</v>
      </c>
      <c r="H741">
        <v>1079413946</v>
      </c>
      <c r="I741">
        <v>798640333</v>
      </c>
      <c r="J741">
        <v>461864265</v>
      </c>
      <c r="K741">
        <v>477153646</v>
      </c>
      <c r="L741">
        <v>508197949</v>
      </c>
      <c r="M741">
        <v>219000537</v>
      </c>
      <c r="N741">
        <v>378952900</v>
      </c>
      <c r="O741">
        <v>166398115</v>
      </c>
      <c r="P741">
        <v>285</v>
      </c>
      <c r="Q741" t="s">
        <v>1703</v>
      </c>
    </row>
    <row r="742" spans="1:17" x14ac:dyDescent="0.3">
      <c r="A742" t="s">
        <v>73</v>
      </c>
      <c r="B742" t="str">
        <f>"002185"</f>
        <v>002185</v>
      </c>
      <c r="C742" t="s">
        <v>1704</v>
      </c>
      <c r="D742" t="s">
        <v>554</v>
      </c>
      <c r="E742">
        <v>1645424145</v>
      </c>
      <c r="F742">
        <v>1587144933</v>
      </c>
      <c r="G742">
        <v>1260445706</v>
      </c>
      <c r="H742">
        <v>1189553559</v>
      </c>
      <c r="I742">
        <v>934814585</v>
      </c>
      <c r="J742">
        <v>865884723</v>
      </c>
      <c r="K742">
        <v>674966514</v>
      </c>
      <c r="L742">
        <v>473612381</v>
      </c>
      <c r="M742">
        <v>430787553</v>
      </c>
      <c r="N742">
        <v>323716876</v>
      </c>
      <c r="O742">
        <v>267852209</v>
      </c>
      <c r="P742">
        <v>1176</v>
      </c>
      <c r="Q742" t="s">
        <v>1705</v>
      </c>
    </row>
    <row r="743" spans="1:17" x14ac:dyDescent="0.3">
      <c r="A743" t="s">
        <v>73</v>
      </c>
      <c r="B743" t="str">
        <f>"000910"</f>
        <v>000910</v>
      </c>
      <c r="C743" t="s">
        <v>1706</v>
      </c>
      <c r="D743" t="s">
        <v>972</v>
      </c>
      <c r="E743">
        <v>1644078253</v>
      </c>
      <c r="F743">
        <v>1220054510</v>
      </c>
      <c r="G743">
        <v>892061101</v>
      </c>
      <c r="H743">
        <v>866966135</v>
      </c>
      <c r="I743">
        <v>678963760</v>
      </c>
      <c r="J743">
        <v>721319862</v>
      </c>
      <c r="K743">
        <v>567616925</v>
      </c>
      <c r="L743">
        <v>1035857534</v>
      </c>
      <c r="M743">
        <v>1076010827</v>
      </c>
      <c r="N743">
        <v>1075570469</v>
      </c>
      <c r="O743">
        <v>1004995638</v>
      </c>
      <c r="P743">
        <v>813</v>
      </c>
      <c r="Q743" t="s">
        <v>1707</v>
      </c>
    </row>
    <row r="744" spans="1:17" x14ac:dyDescent="0.3">
      <c r="A744" t="s">
        <v>73</v>
      </c>
      <c r="B744" t="str">
        <f>"002431"</f>
        <v>002431</v>
      </c>
      <c r="C744" t="s">
        <v>1708</v>
      </c>
      <c r="D744" t="s">
        <v>445</v>
      </c>
      <c r="E744">
        <v>1640712423</v>
      </c>
      <c r="F744">
        <v>2271484036</v>
      </c>
      <c r="G744">
        <v>1293851591</v>
      </c>
      <c r="H744">
        <v>1644982803</v>
      </c>
      <c r="I744">
        <v>1931719538</v>
      </c>
      <c r="J744">
        <v>1714201329</v>
      </c>
      <c r="K744">
        <v>1718488965</v>
      </c>
      <c r="L744">
        <v>1443854998</v>
      </c>
      <c r="M744">
        <v>1143174917</v>
      </c>
      <c r="N744">
        <v>817057550</v>
      </c>
      <c r="O744">
        <v>667405214</v>
      </c>
      <c r="P744">
        <v>124</v>
      </c>
      <c r="Q744" t="s">
        <v>1709</v>
      </c>
    </row>
    <row r="745" spans="1:17" x14ac:dyDescent="0.3">
      <c r="A745" t="s">
        <v>73</v>
      </c>
      <c r="B745" t="str">
        <f>"300068"</f>
        <v>300068</v>
      </c>
      <c r="C745" t="s">
        <v>1710</v>
      </c>
      <c r="D745" t="s">
        <v>1711</v>
      </c>
      <c r="E745">
        <v>1637239407</v>
      </c>
      <c r="F745">
        <v>2857668872</v>
      </c>
      <c r="G745">
        <v>2705453920</v>
      </c>
      <c r="H745">
        <v>2129302122</v>
      </c>
      <c r="I745">
        <v>2300949690</v>
      </c>
      <c r="J745">
        <v>2258871902</v>
      </c>
      <c r="K745">
        <v>2057461842</v>
      </c>
      <c r="L745">
        <v>1521191955</v>
      </c>
      <c r="M745">
        <v>978230155</v>
      </c>
      <c r="N745">
        <v>969497159</v>
      </c>
      <c r="O745">
        <v>811311271</v>
      </c>
      <c r="P745">
        <v>305</v>
      </c>
      <c r="Q745" t="s">
        <v>1712</v>
      </c>
    </row>
    <row r="746" spans="1:17" x14ac:dyDescent="0.3">
      <c r="A746" t="s">
        <v>73</v>
      </c>
      <c r="B746" t="str">
        <f>"002533"</f>
        <v>002533</v>
      </c>
      <c r="C746" t="s">
        <v>1713</v>
      </c>
      <c r="D746" t="s">
        <v>515</v>
      </c>
      <c r="E746">
        <v>1631281997</v>
      </c>
      <c r="F746">
        <v>1652929857</v>
      </c>
      <c r="G746">
        <v>919794984</v>
      </c>
      <c r="H746">
        <v>1014045217</v>
      </c>
      <c r="I746">
        <v>798795320</v>
      </c>
      <c r="J746">
        <v>588615319</v>
      </c>
      <c r="K746">
        <v>637555629</v>
      </c>
      <c r="L746">
        <v>745338174</v>
      </c>
      <c r="M746">
        <v>711727355</v>
      </c>
      <c r="N746">
        <v>530340908</v>
      </c>
      <c r="O746">
        <v>520866171</v>
      </c>
      <c r="P746">
        <v>192</v>
      </c>
      <c r="Q746" t="s">
        <v>1714</v>
      </c>
    </row>
    <row r="747" spans="1:17" x14ac:dyDescent="0.3">
      <c r="A747" t="s">
        <v>73</v>
      </c>
      <c r="B747" t="str">
        <f>"300748"</f>
        <v>300748</v>
      </c>
      <c r="C747" t="s">
        <v>1715</v>
      </c>
      <c r="D747" t="s">
        <v>1142</v>
      </c>
      <c r="E747">
        <v>1630759726</v>
      </c>
      <c r="F747">
        <v>874432264</v>
      </c>
      <c r="G747">
        <v>831952820</v>
      </c>
      <c r="H747">
        <v>508462542</v>
      </c>
      <c r="I747">
        <v>0</v>
      </c>
      <c r="P747">
        <v>341</v>
      </c>
      <c r="Q747" t="s">
        <v>1716</v>
      </c>
    </row>
    <row r="748" spans="1:17" x14ac:dyDescent="0.3">
      <c r="A748" t="s">
        <v>73</v>
      </c>
      <c r="B748" t="str">
        <f>"002436"</f>
        <v>002436</v>
      </c>
      <c r="C748" t="s">
        <v>1717</v>
      </c>
      <c r="D748" t="s">
        <v>418</v>
      </c>
      <c r="E748">
        <v>1625339513</v>
      </c>
      <c r="F748">
        <v>1292259104</v>
      </c>
      <c r="G748">
        <v>1055420066</v>
      </c>
      <c r="H748">
        <v>1001772524</v>
      </c>
      <c r="I748">
        <v>989112076</v>
      </c>
      <c r="J748">
        <v>940967295</v>
      </c>
      <c r="K748">
        <v>752391750</v>
      </c>
      <c r="L748">
        <v>654660256</v>
      </c>
      <c r="M748">
        <v>478160254</v>
      </c>
      <c r="N748">
        <v>310180886</v>
      </c>
      <c r="O748">
        <v>247254595</v>
      </c>
      <c r="P748">
        <v>563</v>
      </c>
      <c r="Q748" t="s">
        <v>1718</v>
      </c>
    </row>
    <row r="749" spans="1:17" x14ac:dyDescent="0.3">
      <c r="A749" t="s">
        <v>17</v>
      </c>
      <c r="B749" t="str">
        <f>"600708"</f>
        <v>600708</v>
      </c>
      <c r="C749" t="s">
        <v>1719</v>
      </c>
      <c r="D749" t="s">
        <v>27</v>
      </c>
      <c r="E749">
        <v>1624839703</v>
      </c>
      <c r="F749">
        <v>1331090789</v>
      </c>
      <c r="G749">
        <v>297061492</v>
      </c>
      <c r="H749">
        <v>1894132233</v>
      </c>
      <c r="I749">
        <v>857865589</v>
      </c>
      <c r="J749">
        <v>517321271</v>
      </c>
      <c r="K749">
        <v>1703092948</v>
      </c>
      <c r="L749">
        <v>480871738</v>
      </c>
      <c r="M749">
        <v>274765199</v>
      </c>
      <c r="N749">
        <v>90448624</v>
      </c>
      <c r="O749">
        <v>96077648</v>
      </c>
      <c r="P749">
        <v>677</v>
      </c>
      <c r="Q749" t="s">
        <v>1720</v>
      </c>
    </row>
    <row r="750" spans="1:17" x14ac:dyDescent="0.3">
      <c r="A750" t="s">
        <v>17</v>
      </c>
      <c r="B750" t="str">
        <f>"601866"</f>
        <v>601866</v>
      </c>
      <c r="C750" t="s">
        <v>1721</v>
      </c>
      <c r="D750" t="s">
        <v>246</v>
      </c>
      <c r="E750">
        <v>1623648762</v>
      </c>
      <c r="F750">
        <v>2676902409</v>
      </c>
      <c r="G750">
        <v>1253201323</v>
      </c>
      <c r="H750">
        <v>900941067</v>
      </c>
      <c r="I750">
        <v>1957847602</v>
      </c>
      <c r="J750">
        <v>1633143554</v>
      </c>
      <c r="K750">
        <v>2416914452</v>
      </c>
      <c r="L750">
        <v>2033994050</v>
      </c>
      <c r="M750">
        <v>2279864699</v>
      </c>
      <c r="N750">
        <v>2055908517</v>
      </c>
      <c r="O750">
        <v>1540223612</v>
      </c>
      <c r="P750">
        <v>336</v>
      </c>
      <c r="Q750" t="s">
        <v>1722</v>
      </c>
    </row>
    <row r="751" spans="1:17" x14ac:dyDescent="0.3">
      <c r="A751" t="s">
        <v>17</v>
      </c>
      <c r="B751" t="str">
        <f>"601900"</f>
        <v>601900</v>
      </c>
      <c r="C751" t="s">
        <v>1723</v>
      </c>
      <c r="D751" t="s">
        <v>1316</v>
      </c>
      <c r="E751">
        <v>1617966135</v>
      </c>
      <c r="F751">
        <v>2105929855</v>
      </c>
      <c r="G751">
        <v>1836169065</v>
      </c>
      <c r="H751">
        <v>1104543352</v>
      </c>
      <c r="I751">
        <v>1414083903</v>
      </c>
      <c r="J751">
        <v>908526808</v>
      </c>
      <c r="K751">
        <v>1175310082</v>
      </c>
      <c r="L751">
        <v>0</v>
      </c>
      <c r="P751">
        <v>244</v>
      </c>
      <c r="Q751" t="s">
        <v>1724</v>
      </c>
    </row>
    <row r="752" spans="1:17" x14ac:dyDescent="0.3">
      <c r="A752" t="s">
        <v>17</v>
      </c>
      <c r="B752" t="str">
        <f>"600378"</f>
        <v>600378</v>
      </c>
      <c r="C752" t="s">
        <v>1725</v>
      </c>
      <c r="D752" t="s">
        <v>1726</v>
      </c>
      <c r="E752">
        <v>1617533975</v>
      </c>
      <c r="F752">
        <v>1457406821</v>
      </c>
      <c r="G752">
        <v>1265937149</v>
      </c>
      <c r="H752">
        <v>1188763231</v>
      </c>
      <c r="I752">
        <v>151174936</v>
      </c>
      <c r="J752">
        <v>109280606</v>
      </c>
      <c r="K752">
        <v>107693666</v>
      </c>
      <c r="L752">
        <v>115311329</v>
      </c>
      <c r="M752">
        <v>120710248</v>
      </c>
      <c r="N752">
        <v>97328718</v>
      </c>
      <c r="O752">
        <v>91689449</v>
      </c>
      <c r="P752">
        <v>229</v>
      </c>
      <c r="Q752" t="s">
        <v>1727</v>
      </c>
    </row>
    <row r="753" spans="1:17" x14ac:dyDescent="0.3">
      <c r="A753" t="s">
        <v>73</v>
      </c>
      <c r="B753" t="str">
        <f>"002225"</f>
        <v>002225</v>
      </c>
      <c r="C753" t="s">
        <v>1728</v>
      </c>
      <c r="D753" t="s">
        <v>1412</v>
      </c>
      <c r="E753">
        <v>1616222111</v>
      </c>
      <c r="F753">
        <v>1464475543</v>
      </c>
      <c r="G753">
        <v>1377375623</v>
      </c>
      <c r="H753">
        <v>1545271008</v>
      </c>
      <c r="I753">
        <v>1671064079</v>
      </c>
      <c r="J753">
        <v>1957281307</v>
      </c>
      <c r="K753">
        <v>2174955708</v>
      </c>
      <c r="L753">
        <v>1909338356</v>
      </c>
      <c r="M753">
        <v>1342419882</v>
      </c>
      <c r="N753">
        <v>1012228896</v>
      </c>
      <c r="O753">
        <v>837149380</v>
      </c>
      <c r="P753">
        <v>142</v>
      </c>
      <c r="Q753" t="s">
        <v>1729</v>
      </c>
    </row>
    <row r="754" spans="1:17" x14ac:dyDescent="0.3">
      <c r="A754" t="s">
        <v>73</v>
      </c>
      <c r="B754" t="str">
        <f>"002596"</f>
        <v>002596</v>
      </c>
      <c r="C754" t="s">
        <v>1730</v>
      </c>
      <c r="D754" t="s">
        <v>153</v>
      </c>
      <c r="E754">
        <v>1614252102</v>
      </c>
      <c r="F754">
        <v>1617073331</v>
      </c>
      <c r="G754">
        <v>1559290725</v>
      </c>
      <c r="H754">
        <v>2065354601</v>
      </c>
      <c r="I754">
        <v>2062319797</v>
      </c>
      <c r="J754">
        <v>1475531647</v>
      </c>
      <c r="K754">
        <v>1172151606</v>
      </c>
      <c r="L754">
        <v>660774566</v>
      </c>
      <c r="M754">
        <v>658487746</v>
      </c>
      <c r="N754">
        <v>542074192</v>
      </c>
      <c r="O754">
        <v>325534900</v>
      </c>
      <c r="P754">
        <v>100</v>
      </c>
      <c r="Q754" t="s">
        <v>1731</v>
      </c>
    </row>
    <row r="755" spans="1:17" x14ac:dyDescent="0.3">
      <c r="A755" t="s">
        <v>17</v>
      </c>
      <c r="B755" t="str">
        <f>"600707"</f>
        <v>600707</v>
      </c>
      <c r="C755" t="s">
        <v>1732</v>
      </c>
      <c r="D755" t="s">
        <v>97</v>
      </c>
      <c r="E755">
        <v>1607992074</v>
      </c>
      <c r="F755">
        <v>2156344986</v>
      </c>
      <c r="G755">
        <v>1088204082</v>
      </c>
      <c r="H755">
        <v>1401394225</v>
      </c>
      <c r="I755">
        <v>189488045</v>
      </c>
      <c r="J755">
        <v>97467287</v>
      </c>
      <c r="K755">
        <v>128360500</v>
      </c>
      <c r="L755">
        <v>70661604</v>
      </c>
      <c r="M755">
        <v>106307850</v>
      </c>
      <c r="N755">
        <v>136249261</v>
      </c>
      <c r="O755">
        <v>90692286</v>
      </c>
      <c r="P755">
        <v>251</v>
      </c>
      <c r="Q755" t="s">
        <v>1733</v>
      </c>
    </row>
    <row r="756" spans="1:17" x14ac:dyDescent="0.3">
      <c r="A756" t="s">
        <v>17</v>
      </c>
      <c r="B756" t="str">
        <f>"600213"</f>
        <v>600213</v>
      </c>
      <c r="C756" t="s">
        <v>1734</v>
      </c>
      <c r="D756" t="s">
        <v>545</v>
      </c>
      <c r="E756">
        <v>1605810721</v>
      </c>
      <c r="F756">
        <v>2788558565</v>
      </c>
      <c r="G756">
        <v>3765137895</v>
      </c>
      <c r="H756">
        <v>3934172381</v>
      </c>
      <c r="I756">
        <v>3513343545</v>
      </c>
      <c r="J756">
        <v>2921826777</v>
      </c>
      <c r="K756">
        <v>1621216072</v>
      </c>
      <c r="L756">
        <v>1274933968</v>
      </c>
      <c r="M756">
        <v>776123324</v>
      </c>
      <c r="N756">
        <v>652711249</v>
      </c>
      <c r="O756">
        <v>549628215</v>
      </c>
      <c r="P756">
        <v>109</v>
      </c>
      <c r="Q756" t="s">
        <v>1735</v>
      </c>
    </row>
    <row r="757" spans="1:17" x14ac:dyDescent="0.3">
      <c r="A757" t="s">
        <v>17</v>
      </c>
      <c r="B757" t="str">
        <f>"600587"</f>
        <v>600587</v>
      </c>
      <c r="C757" t="s">
        <v>1736</v>
      </c>
      <c r="D757" t="s">
        <v>692</v>
      </c>
      <c r="E757">
        <v>1605707626</v>
      </c>
      <c r="F757">
        <v>1723177815</v>
      </c>
      <c r="G757">
        <v>1768504605</v>
      </c>
      <c r="H757">
        <v>1834922818</v>
      </c>
      <c r="I757">
        <v>1980321800</v>
      </c>
      <c r="J757">
        <v>1914639102</v>
      </c>
      <c r="K757">
        <v>1866960709</v>
      </c>
      <c r="L757">
        <v>1716864624</v>
      </c>
      <c r="M757">
        <v>1087889044</v>
      </c>
      <c r="N757">
        <v>598471061</v>
      </c>
      <c r="O757">
        <v>500097783</v>
      </c>
      <c r="P757">
        <v>533</v>
      </c>
      <c r="Q757" t="s">
        <v>1737</v>
      </c>
    </row>
    <row r="758" spans="1:17" x14ac:dyDescent="0.3">
      <c r="A758" t="s">
        <v>17</v>
      </c>
      <c r="B758" t="str">
        <f>"600787"</f>
        <v>600787</v>
      </c>
      <c r="C758" t="s">
        <v>1738</v>
      </c>
      <c r="D758" t="s">
        <v>1321</v>
      </c>
      <c r="E758">
        <v>1604406042</v>
      </c>
      <c r="F758">
        <v>1492807181</v>
      </c>
      <c r="G758">
        <v>1655204901</v>
      </c>
      <c r="H758">
        <v>1615124285</v>
      </c>
      <c r="I758">
        <v>1301089143</v>
      </c>
      <c r="J758">
        <v>1208408700</v>
      </c>
      <c r="K758">
        <v>1128856595</v>
      </c>
      <c r="L758">
        <v>1174964339</v>
      </c>
      <c r="M758">
        <v>904079561</v>
      </c>
      <c r="N758">
        <v>972132182</v>
      </c>
      <c r="O758">
        <v>926821023</v>
      </c>
      <c r="P758">
        <v>165</v>
      </c>
      <c r="Q758" t="s">
        <v>1739</v>
      </c>
    </row>
    <row r="759" spans="1:17" x14ac:dyDescent="0.3">
      <c r="A759" t="s">
        <v>73</v>
      </c>
      <c r="B759" t="str">
        <f>"002555"</f>
        <v>002555</v>
      </c>
      <c r="C759" t="s">
        <v>1740</v>
      </c>
      <c r="D759" t="s">
        <v>899</v>
      </c>
      <c r="E759">
        <v>1594364981</v>
      </c>
      <c r="F759">
        <v>1635353863</v>
      </c>
      <c r="G759">
        <v>1603251073</v>
      </c>
      <c r="H759">
        <v>1584503589</v>
      </c>
      <c r="I759">
        <v>939298516</v>
      </c>
      <c r="J759">
        <v>781879182</v>
      </c>
      <c r="K759">
        <v>499468491</v>
      </c>
      <c r="L759">
        <v>322241405</v>
      </c>
      <c r="M759">
        <v>51137704</v>
      </c>
      <c r="N759">
        <v>38611661</v>
      </c>
      <c r="O759">
        <v>61973701</v>
      </c>
      <c r="P759">
        <v>2918</v>
      </c>
      <c r="Q759" t="s">
        <v>1741</v>
      </c>
    </row>
    <row r="760" spans="1:17" x14ac:dyDescent="0.3">
      <c r="A760" t="s">
        <v>17</v>
      </c>
      <c r="B760" t="str">
        <f>"600435"</f>
        <v>600435</v>
      </c>
      <c r="C760" t="s">
        <v>1742</v>
      </c>
      <c r="D760" t="s">
        <v>1743</v>
      </c>
      <c r="E760">
        <v>1590190694</v>
      </c>
      <c r="F760">
        <v>928831770</v>
      </c>
      <c r="G760">
        <v>837604147</v>
      </c>
      <c r="H760">
        <v>687557685</v>
      </c>
      <c r="I760">
        <v>893494767</v>
      </c>
      <c r="J760">
        <v>913793614</v>
      </c>
      <c r="K760">
        <v>646147000</v>
      </c>
      <c r="L760">
        <v>649202559</v>
      </c>
      <c r="M760">
        <v>521935817</v>
      </c>
      <c r="N760">
        <v>535324984</v>
      </c>
      <c r="O760">
        <v>629959938</v>
      </c>
      <c r="P760">
        <v>230</v>
      </c>
      <c r="Q760" t="s">
        <v>1744</v>
      </c>
    </row>
    <row r="761" spans="1:17" x14ac:dyDescent="0.3">
      <c r="A761" t="s">
        <v>73</v>
      </c>
      <c r="B761" t="str">
        <f>"300015"</f>
        <v>300015</v>
      </c>
      <c r="C761" t="s">
        <v>1745</v>
      </c>
      <c r="D761" t="s">
        <v>1255</v>
      </c>
      <c r="E761">
        <v>1588796241</v>
      </c>
      <c r="F761">
        <v>1569458526</v>
      </c>
      <c r="G761">
        <v>1133723384</v>
      </c>
      <c r="H761">
        <v>993264273</v>
      </c>
      <c r="I761">
        <v>595280338</v>
      </c>
      <c r="J761">
        <v>346064875</v>
      </c>
      <c r="K761">
        <v>245154237</v>
      </c>
      <c r="L761">
        <v>149511785</v>
      </c>
      <c r="M761">
        <v>112684878</v>
      </c>
      <c r="N761">
        <v>86907342</v>
      </c>
      <c r="O761">
        <v>58322476</v>
      </c>
      <c r="P761">
        <v>11096</v>
      </c>
      <c r="Q761" t="s">
        <v>1746</v>
      </c>
    </row>
    <row r="762" spans="1:17" x14ac:dyDescent="0.3">
      <c r="A762" t="s">
        <v>17</v>
      </c>
      <c r="B762" t="str">
        <f>"603686"</f>
        <v>603686</v>
      </c>
      <c r="C762" t="s">
        <v>1747</v>
      </c>
      <c r="D762" t="s">
        <v>540</v>
      </c>
      <c r="E762">
        <v>1588340591</v>
      </c>
      <c r="F762">
        <v>1294275586</v>
      </c>
      <c r="G762">
        <v>1765454647</v>
      </c>
      <c r="H762">
        <v>1892410300</v>
      </c>
      <c r="I762">
        <v>1450746953</v>
      </c>
      <c r="J762">
        <v>983598565</v>
      </c>
      <c r="K762">
        <v>742328819</v>
      </c>
      <c r="L762">
        <v>595916486</v>
      </c>
      <c r="M762">
        <v>0</v>
      </c>
      <c r="P762">
        <v>760</v>
      </c>
      <c r="Q762" t="s">
        <v>1748</v>
      </c>
    </row>
    <row r="763" spans="1:17" x14ac:dyDescent="0.3">
      <c r="A763" t="s">
        <v>17</v>
      </c>
      <c r="B763" t="str">
        <f>"600216"</f>
        <v>600216</v>
      </c>
      <c r="C763" t="s">
        <v>1749</v>
      </c>
      <c r="D763" t="s">
        <v>908</v>
      </c>
      <c r="E763">
        <v>1588193150</v>
      </c>
      <c r="F763">
        <v>1449733362</v>
      </c>
      <c r="G763">
        <v>1370504664</v>
      </c>
      <c r="H763">
        <v>1446720369</v>
      </c>
      <c r="I763">
        <v>1554731221</v>
      </c>
      <c r="J763">
        <v>1057950092</v>
      </c>
      <c r="K763">
        <v>1200294088</v>
      </c>
      <c r="L763">
        <v>927134981</v>
      </c>
      <c r="M763">
        <v>1122610414</v>
      </c>
      <c r="N763">
        <v>1057935894</v>
      </c>
      <c r="O763">
        <v>1050863812</v>
      </c>
      <c r="P763">
        <v>461</v>
      </c>
      <c r="Q763" t="s">
        <v>1750</v>
      </c>
    </row>
    <row r="764" spans="1:17" x14ac:dyDescent="0.3">
      <c r="A764" t="s">
        <v>17</v>
      </c>
      <c r="B764" t="str">
        <f>"600823"</f>
        <v>600823</v>
      </c>
      <c r="C764" t="s">
        <v>1751</v>
      </c>
      <c r="D764" t="s">
        <v>27</v>
      </c>
      <c r="E764">
        <v>1585891002</v>
      </c>
      <c r="F764">
        <v>3556375194</v>
      </c>
      <c r="G764">
        <v>2517964953</v>
      </c>
      <c r="H764">
        <v>2826358868</v>
      </c>
      <c r="I764">
        <v>983219633</v>
      </c>
      <c r="J764">
        <v>1251195345</v>
      </c>
      <c r="K764">
        <v>1897369545</v>
      </c>
      <c r="L764">
        <v>1090725641</v>
      </c>
      <c r="M764">
        <v>726629805</v>
      </c>
      <c r="N764">
        <v>566977650</v>
      </c>
      <c r="O764">
        <v>298588914</v>
      </c>
      <c r="P764">
        <v>1056</v>
      </c>
      <c r="Q764" t="s">
        <v>1752</v>
      </c>
    </row>
    <row r="765" spans="1:17" x14ac:dyDescent="0.3">
      <c r="A765" t="s">
        <v>17</v>
      </c>
      <c r="B765" t="str">
        <f>"600499"</f>
        <v>600499</v>
      </c>
      <c r="C765" t="s">
        <v>1753</v>
      </c>
      <c r="D765" t="s">
        <v>1451</v>
      </c>
      <c r="E765">
        <v>1583250476</v>
      </c>
      <c r="F765">
        <v>1273587809</v>
      </c>
      <c r="G765">
        <v>1357267143</v>
      </c>
      <c r="H765">
        <v>1885067170</v>
      </c>
      <c r="I765">
        <v>1782177370</v>
      </c>
      <c r="J765">
        <v>1499188475</v>
      </c>
      <c r="K765">
        <v>1183209433</v>
      </c>
      <c r="L765">
        <v>940730299</v>
      </c>
      <c r="M765">
        <v>635516046</v>
      </c>
      <c r="N765">
        <v>379387028</v>
      </c>
      <c r="O765">
        <v>230092813</v>
      </c>
      <c r="P765">
        <v>246</v>
      </c>
      <c r="Q765" t="s">
        <v>1754</v>
      </c>
    </row>
    <row r="766" spans="1:17" x14ac:dyDescent="0.3">
      <c r="A766" t="s">
        <v>73</v>
      </c>
      <c r="B766" t="str">
        <f>"002649"</f>
        <v>002649</v>
      </c>
      <c r="C766" t="s">
        <v>1755</v>
      </c>
      <c r="D766" t="s">
        <v>302</v>
      </c>
      <c r="E766">
        <v>1583225992</v>
      </c>
      <c r="F766">
        <v>1010602997</v>
      </c>
      <c r="G766">
        <v>910711471</v>
      </c>
      <c r="H766">
        <v>784429603</v>
      </c>
      <c r="I766">
        <v>624879186</v>
      </c>
      <c r="J766">
        <v>460283143</v>
      </c>
      <c r="K766">
        <v>434968001</v>
      </c>
      <c r="L766">
        <v>429190121</v>
      </c>
      <c r="M766">
        <v>360906921</v>
      </c>
      <c r="N766">
        <v>315307391</v>
      </c>
      <c r="O766">
        <v>165091914</v>
      </c>
      <c r="P766">
        <v>273</v>
      </c>
      <c r="Q766" t="s">
        <v>1756</v>
      </c>
    </row>
    <row r="767" spans="1:17" x14ac:dyDescent="0.3">
      <c r="A767" t="s">
        <v>73</v>
      </c>
      <c r="B767" t="str">
        <f>"002055"</f>
        <v>002055</v>
      </c>
      <c r="C767" t="s">
        <v>1757</v>
      </c>
      <c r="D767" t="s">
        <v>42</v>
      </c>
      <c r="E767">
        <v>1582903122</v>
      </c>
      <c r="F767">
        <v>1562071419</v>
      </c>
      <c r="G767">
        <v>1788339644</v>
      </c>
      <c r="H767">
        <v>1789924616</v>
      </c>
      <c r="I767">
        <v>1722455201</v>
      </c>
      <c r="J767">
        <v>1303375243</v>
      </c>
      <c r="K767">
        <v>908527273</v>
      </c>
      <c r="L767">
        <v>871801915</v>
      </c>
      <c r="M767">
        <v>748780544</v>
      </c>
      <c r="N767">
        <v>526704939</v>
      </c>
      <c r="O767">
        <v>343706201</v>
      </c>
      <c r="P767">
        <v>245</v>
      </c>
      <c r="Q767" t="s">
        <v>1758</v>
      </c>
    </row>
    <row r="768" spans="1:17" x14ac:dyDescent="0.3">
      <c r="A768" t="s">
        <v>17</v>
      </c>
      <c r="B768" t="str">
        <f>"603303"</f>
        <v>603303</v>
      </c>
      <c r="C768" t="s">
        <v>1759</v>
      </c>
      <c r="D768" t="s">
        <v>1424</v>
      </c>
      <c r="E768">
        <v>1582190467</v>
      </c>
      <c r="F768">
        <v>1083163762</v>
      </c>
      <c r="G768">
        <v>924406195</v>
      </c>
      <c r="H768">
        <v>840711421</v>
      </c>
      <c r="I768">
        <v>870669969</v>
      </c>
      <c r="J768">
        <v>827778561</v>
      </c>
      <c r="P768">
        <v>180</v>
      </c>
      <c r="Q768" t="s">
        <v>1760</v>
      </c>
    </row>
    <row r="769" spans="1:17" x14ac:dyDescent="0.3">
      <c r="A769" t="s">
        <v>73</v>
      </c>
      <c r="B769" t="str">
        <f>"300280"</f>
        <v>300280</v>
      </c>
      <c r="C769" t="s">
        <v>1761</v>
      </c>
      <c r="D769" t="s">
        <v>1175</v>
      </c>
      <c r="E769">
        <v>1580583487</v>
      </c>
      <c r="F769">
        <v>1464271411</v>
      </c>
      <c r="G769">
        <v>892906979</v>
      </c>
      <c r="H769">
        <v>362090127</v>
      </c>
      <c r="I769">
        <v>20408117</v>
      </c>
      <c r="J769">
        <v>7277482</v>
      </c>
      <c r="K769">
        <v>11110348</v>
      </c>
      <c r="L769">
        <v>19308715</v>
      </c>
      <c r="M769">
        <v>33580937</v>
      </c>
      <c r="N769">
        <v>65584270</v>
      </c>
      <c r="O769">
        <v>40421381</v>
      </c>
      <c r="P769">
        <v>144</v>
      </c>
      <c r="Q769" t="s">
        <v>1762</v>
      </c>
    </row>
    <row r="770" spans="1:17" x14ac:dyDescent="0.3">
      <c r="A770" t="s">
        <v>17</v>
      </c>
      <c r="B770" t="str">
        <f>"688298"</f>
        <v>688298</v>
      </c>
      <c r="C770" t="s">
        <v>1763</v>
      </c>
      <c r="D770" t="s">
        <v>773</v>
      </c>
      <c r="E770">
        <v>1577057472</v>
      </c>
      <c r="F770">
        <v>483085253</v>
      </c>
      <c r="G770">
        <v>79142172</v>
      </c>
      <c r="P770">
        <v>477</v>
      </c>
      <c r="Q770" t="s">
        <v>1764</v>
      </c>
    </row>
    <row r="771" spans="1:17" x14ac:dyDescent="0.3">
      <c r="A771" t="s">
        <v>73</v>
      </c>
      <c r="B771" t="str">
        <f>"300185"</f>
        <v>300185</v>
      </c>
      <c r="C771" t="s">
        <v>1765</v>
      </c>
      <c r="D771" t="s">
        <v>778</v>
      </c>
      <c r="E771">
        <v>1574447724</v>
      </c>
      <c r="F771">
        <v>1700859743</v>
      </c>
      <c r="G771">
        <v>1719256636</v>
      </c>
      <c r="H771">
        <v>1417438825</v>
      </c>
      <c r="I771">
        <v>1236769150</v>
      </c>
      <c r="J771">
        <v>1156381407</v>
      </c>
      <c r="K771">
        <v>1112109916</v>
      </c>
      <c r="L771">
        <v>896279682</v>
      </c>
      <c r="M771">
        <v>837629917</v>
      </c>
      <c r="N771">
        <v>798023649</v>
      </c>
      <c r="O771">
        <v>647649234</v>
      </c>
      <c r="P771">
        <v>201</v>
      </c>
      <c r="Q771" t="s">
        <v>1766</v>
      </c>
    </row>
    <row r="772" spans="1:17" x14ac:dyDescent="0.3">
      <c r="A772" t="s">
        <v>17</v>
      </c>
      <c r="B772" t="str">
        <f>"600282"</f>
        <v>600282</v>
      </c>
      <c r="C772" t="s">
        <v>1767</v>
      </c>
      <c r="D772" t="s">
        <v>221</v>
      </c>
      <c r="E772">
        <v>1572980061</v>
      </c>
      <c r="F772">
        <v>818593980</v>
      </c>
      <c r="G772">
        <v>1198847776</v>
      </c>
      <c r="H772">
        <v>708068375</v>
      </c>
      <c r="I772">
        <v>712667483</v>
      </c>
      <c r="J772">
        <v>530444123</v>
      </c>
      <c r="K772">
        <v>538393084</v>
      </c>
      <c r="L772">
        <v>604523094</v>
      </c>
      <c r="M772">
        <v>759437749</v>
      </c>
      <c r="N772">
        <v>612334819</v>
      </c>
      <c r="O772">
        <v>855805606</v>
      </c>
      <c r="P772">
        <v>1311</v>
      </c>
      <c r="Q772" t="s">
        <v>1768</v>
      </c>
    </row>
    <row r="773" spans="1:17" x14ac:dyDescent="0.3">
      <c r="A773" t="s">
        <v>73</v>
      </c>
      <c r="B773" t="str">
        <f>"300715"</f>
        <v>300715</v>
      </c>
      <c r="C773" t="s">
        <v>1769</v>
      </c>
      <c r="D773" t="s">
        <v>317</v>
      </c>
      <c r="E773">
        <v>1572402862</v>
      </c>
      <c r="F773">
        <v>862277654</v>
      </c>
      <c r="G773">
        <v>610773994</v>
      </c>
      <c r="H773">
        <v>291516680</v>
      </c>
      <c r="I773">
        <v>162440050</v>
      </c>
      <c r="J773">
        <v>0</v>
      </c>
      <c r="P773">
        <v>413</v>
      </c>
      <c r="Q773" t="s">
        <v>1770</v>
      </c>
    </row>
    <row r="774" spans="1:17" x14ac:dyDescent="0.3">
      <c r="A774" t="s">
        <v>73</v>
      </c>
      <c r="B774" t="str">
        <f>"300098"</f>
        <v>300098</v>
      </c>
      <c r="C774" t="s">
        <v>1771</v>
      </c>
      <c r="D774" t="s">
        <v>795</v>
      </c>
      <c r="E774">
        <v>1569104489</v>
      </c>
      <c r="F774">
        <v>1489230028</v>
      </c>
      <c r="G774">
        <v>1534799567</v>
      </c>
      <c r="H774">
        <v>2305651668</v>
      </c>
      <c r="I774">
        <v>974438353</v>
      </c>
      <c r="J774">
        <v>737291915</v>
      </c>
      <c r="K774">
        <v>545057136</v>
      </c>
      <c r="L774">
        <v>281293957</v>
      </c>
      <c r="M774">
        <v>242075090</v>
      </c>
      <c r="N774">
        <v>230552309</v>
      </c>
      <c r="O774">
        <v>241488646</v>
      </c>
      <c r="P774">
        <v>368</v>
      </c>
      <c r="Q774" t="s">
        <v>1772</v>
      </c>
    </row>
    <row r="775" spans="1:17" x14ac:dyDescent="0.3">
      <c r="A775" t="s">
        <v>73</v>
      </c>
      <c r="B775" t="str">
        <f>"002212"</f>
        <v>002212</v>
      </c>
      <c r="C775" t="s">
        <v>1773</v>
      </c>
      <c r="D775" t="s">
        <v>404</v>
      </c>
      <c r="E775">
        <v>1568772302</v>
      </c>
      <c r="F775">
        <v>918690195</v>
      </c>
      <c r="G775">
        <v>1451256392</v>
      </c>
      <c r="H775">
        <v>1358166720</v>
      </c>
      <c r="I775">
        <v>1069564405</v>
      </c>
      <c r="J775">
        <v>896954668</v>
      </c>
      <c r="K775">
        <v>645927429</v>
      </c>
      <c r="L775">
        <v>644400728</v>
      </c>
      <c r="M775">
        <v>560707569</v>
      </c>
      <c r="N775">
        <v>638795878</v>
      </c>
      <c r="O775">
        <v>524498916</v>
      </c>
      <c r="P775">
        <v>249</v>
      </c>
      <c r="Q775" t="s">
        <v>1774</v>
      </c>
    </row>
    <row r="776" spans="1:17" x14ac:dyDescent="0.3">
      <c r="A776" t="s">
        <v>73</v>
      </c>
      <c r="B776" t="str">
        <f>"002245"</f>
        <v>002245</v>
      </c>
      <c r="C776" t="s">
        <v>1775</v>
      </c>
      <c r="D776" t="s">
        <v>125</v>
      </c>
      <c r="E776">
        <v>1567836033</v>
      </c>
      <c r="F776">
        <v>1236399685</v>
      </c>
      <c r="G776">
        <v>818696585</v>
      </c>
      <c r="H776">
        <v>0</v>
      </c>
      <c r="I776">
        <v>1118679987</v>
      </c>
      <c r="J776">
        <v>755897192</v>
      </c>
      <c r="K776">
        <v>313682559</v>
      </c>
      <c r="L776">
        <v>406495366</v>
      </c>
      <c r="M776">
        <v>328130795</v>
      </c>
      <c r="N776">
        <v>271177416</v>
      </c>
      <c r="O776">
        <v>389275249</v>
      </c>
      <c r="P776">
        <v>377</v>
      </c>
      <c r="Q776" t="s">
        <v>1776</v>
      </c>
    </row>
    <row r="777" spans="1:17" x14ac:dyDescent="0.3">
      <c r="A777" t="s">
        <v>17</v>
      </c>
      <c r="B777" t="str">
        <f>"601111"</f>
        <v>601111</v>
      </c>
      <c r="C777" t="s">
        <v>1777</v>
      </c>
      <c r="D777" t="s">
        <v>948</v>
      </c>
      <c r="E777">
        <v>1565549000</v>
      </c>
      <c r="F777">
        <v>3898888000</v>
      </c>
      <c r="G777">
        <v>5167147000</v>
      </c>
      <c r="H777">
        <v>6388352000</v>
      </c>
      <c r="I777">
        <v>3544918000</v>
      </c>
      <c r="J777">
        <v>3443407000</v>
      </c>
      <c r="K777">
        <v>3424541000</v>
      </c>
      <c r="L777">
        <v>3409601000</v>
      </c>
      <c r="M777">
        <v>3250330000</v>
      </c>
      <c r="N777">
        <v>3372526000</v>
      </c>
      <c r="O777">
        <v>2662787000</v>
      </c>
      <c r="P777">
        <v>1106</v>
      </c>
      <c r="Q777" t="s">
        <v>1778</v>
      </c>
    </row>
    <row r="778" spans="1:17" x14ac:dyDescent="0.3">
      <c r="A778" t="s">
        <v>17</v>
      </c>
      <c r="B778" t="str">
        <f>"603236"</f>
        <v>603236</v>
      </c>
      <c r="C778" t="s">
        <v>1779</v>
      </c>
      <c r="D778" t="s">
        <v>332</v>
      </c>
      <c r="E778">
        <v>1565258935</v>
      </c>
      <c r="F778">
        <v>939606741</v>
      </c>
      <c r="G778">
        <v>692939714</v>
      </c>
      <c r="H778">
        <v>0</v>
      </c>
      <c r="P778">
        <v>589</v>
      </c>
      <c r="Q778" t="s">
        <v>1780</v>
      </c>
    </row>
    <row r="779" spans="1:17" x14ac:dyDescent="0.3">
      <c r="A779" t="s">
        <v>17</v>
      </c>
      <c r="B779" t="str">
        <f>"600990"</f>
        <v>600990</v>
      </c>
      <c r="C779" t="s">
        <v>1781</v>
      </c>
      <c r="D779" t="s">
        <v>502</v>
      </c>
      <c r="E779">
        <v>1560845116</v>
      </c>
      <c r="F779">
        <v>1968558831</v>
      </c>
      <c r="G779">
        <v>1391487827</v>
      </c>
      <c r="H779">
        <v>1690046207</v>
      </c>
      <c r="I779">
        <v>1347604499</v>
      </c>
      <c r="J779">
        <v>701575232</v>
      </c>
      <c r="K779">
        <v>827731051</v>
      </c>
      <c r="L779">
        <v>574555846</v>
      </c>
      <c r="M779">
        <v>441561193</v>
      </c>
      <c r="N779">
        <v>421369088</v>
      </c>
      <c r="O779">
        <v>452655432</v>
      </c>
      <c r="P779">
        <v>166</v>
      </c>
      <c r="Q779" t="s">
        <v>1782</v>
      </c>
    </row>
    <row r="780" spans="1:17" x14ac:dyDescent="0.3">
      <c r="A780" t="s">
        <v>17</v>
      </c>
      <c r="B780" t="str">
        <f>"688819"</f>
        <v>688819</v>
      </c>
      <c r="C780" t="s">
        <v>1783</v>
      </c>
      <c r="D780" t="s">
        <v>1711</v>
      </c>
      <c r="E780">
        <v>1560578860</v>
      </c>
      <c r="F780">
        <v>1734780993</v>
      </c>
      <c r="G780">
        <v>0</v>
      </c>
      <c r="P780">
        <v>159</v>
      </c>
      <c r="Q780" t="s">
        <v>1784</v>
      </c>
    </row>
    <row r="781" spans="1:17" x14ac:dyDescent="0.3">
      <c r="A781" t="s">
        <v>17</v>
      </c>
      <c r="B781" t="str">
        <f>"600894"</f>
        <v>600894</v>
      </c>
      <c r="C781" t="s">
        <v>1785</v>
      </c>
      <c r="D781" t="s">
        <v>744</v>
      </c>
      <c r="E781">
        <v>1560234593</v>
      </c>
      <c r="F781">
        <v>1234246302</v>
      </c>
      <c r="G781">
        <v>951718198</v>
      </c>
      <c r="H781">
        <v>1180712839</v>
      </c>
      <c r="I781">
        <v>956328475</v>
      </c>
      <c r="J781">
        <v>908469540</v>
      </c>
      <c r="K781">
        <v>712569177</v>
      </c>
      <c r="L781">
        <v>759762317</v>
      </c>
      <c r="M781">
        <v>573591005</v>
      </c>
      <c r="N781">
        <v>564291105</v>
      </c>
      <c r="O781">
        <v>173690032</v>
      </c>
      <c r="P781">
        <v>394</v>
      </c>
      <c r="Q781" t="s">
        <v>1786</v>
      </c>
    </row>
    <row r="782" spans="1:17" x14ac:dyDescent="0.3">
      <c r="A782" t="s">
        <v>73</v>
      </c>
      <c r="B782" t="str">
        <f>"000801"</f>
        <v>000801</v>
      </c>
      <c r="C782" t="s">
        <v>1787</v>
      </c>
      <c r="D782" t="s">
        <v>957</v>
      </c>
      <c r="E782">
        <v>1560096683</v>
      </c>
      <c r="F782">
        <v>1916714992</v>
      </c>
      <c r="G782">
        <v>2243021690</v>
      </c>
      <c r="H782">
        <v>2811921229</v>
      </c>
      <c r="I782">
        <v>2254186173</v>
      </c>
      <c r="J782">
        <v>2228276991</v>
      </c>
      <c r="K782">
        <v>2029435856</v>
      </c>
      <c r="L782">
        <v>939430087</v>
      </c>
      <c r="M782">
        <v>1133756371</v>
      </c>
      <c r="N782">
        <v>969023264</v>
      </c>
      <c r="O782">
        <v>743368187</v>
      </c>
      <c r="P782">
        <v>218</v>
      </c>
      <c r="Q782" t="s">
        <v>1788</v>
      </c>
    </row>
    <row r="783" spans="1:17" x14ac:dyDescent="0.3">
      <c r="A783" t="s">
        <v>73</v>
      </c>
      <c r="B783" t="str">
        <f>"300368"</f>
        <v>300368</v>
      </c>
      <c r="C783" t="s">
        <v>1789</v>
      </c>
      <c r="D783" t="s">
        <v>158</v>
      </c>
      <c r="E783">
        <v>1558920167</v>
      </c>
      <c r="F783">
        <v>1513724019</v>
      </c>
      <c r="G783">
        <v>520030476</v>
      </c>
      <c r="H783">
        <v>247896270</v>
      </c>
      <c r="I783">
        <v>438775406</v>
      </c>
      <c r="J783">
        <v>333722434</v>
      </c>
      <c r="K783">
        <v>213680192</v>
      </c>
      <c r="L783">
        <v>133651206</v>
      </c>
      <c r="M783">
        <v>58070812</v>
      </c>
      <c r="N783">
        <v>0</v>
      </c>
      <c r="P783">
        <v>119</v>
      </c>
      <c r="Q783" t="s">
        <v>1790</v>
      </c>
    </row>
    <row r="784" spans="1:17" x14ac:dyDescent="0.3">
      <c r="A784" t="s">
        <v>73</v>
      </c>
      <c r="B784" t="str">
        <f>"002324"</f>
        <v>002324</v>
      </c>
      <c r="C784" t="s">
        <v>1791</v>
      </c>
      <c r="D784" t="s">
        <v>570</v>
      </c>
      <c r="E784">
        <v>1558045849</v>
      </c>
      <c r="F784">
        <v>1281828529</v>
      </c>
      <c r="G784">
        <v>1031354945</v>
      </c>
      <c r="H784">
        <v>1188892062</v>
      </c>
      <c r="I784">
        <v>1229357230</v>
      </c>
      <c r="J784">
        <v>1256898908</v>
      </c>
      <c r="K784">
        <v>1006904081</v>
      </c>
      <c r="L784">
        <v>899550935</v>
      </c>
      <c r="M784">
        <v>640671518</v>
      </c>
      <c r="N784">
        <v>472073466</v>
      </c>
      <c r="O784">
        <v>308539916</v>
      </c>
      <c r="P784">
        <v>212</v>
      </c>
      <c r="Q784" t="s">
        <v>1792</v>
      </c>
    </row>
    <row r="785" spans="1:17" x14ac:dyDescent="0.3">
      <c r="A785" t="s">
        <v>73</v>
      </c>
      <c r="B785" t="str">
        <f>"002705"</f>
        <v>002705</v>
      </c>
      <c r="C785" t="s">
        <v>1793</v>
      </c>
      <c r="D785" t="s">
        <v>1186</v>
      </c>
      <c r="E785">
        <v>1555176639</v>
      </c>
      <c r="F785">
        <v>1298646615</v>
      </c>
      <c r="G785">
        <v>834623432</v>
      </c>
      <c r="H785">
        <v>876253606</v>
      </c>
      <c r="I785">
        <v>681826188</v>
      </c>
      <c r="J785">
        <v>661423995</v>
      </c>
      <c r="K785">
        <v>560807875</v>
      </c>
      <c r="L785">
        <v>498341406</v>
      </c>
      <c r="M785">
        <v>349852724</v>
      </c>
      <c r="N785">
        <v>0</v>
      </c>
      <c r="P785">
        <v>1093</v>
      </c>
      <c r="Q785" t="s">
        <v>1794</v>
      </c>
    </row>
    <row r="786" spans="1:17" x14ac:dyDescent="0.3">
      <c r="A786" t="s">
        <v>17</v>
      </c>
      <c r="B786" t="str">
        <f>"600518"</f>
        <v>600518</v>
      </c>
      <c r="C786" t="s">
        <v>1795</v>
      </c>
      <c r="D786" t="s">
        <v>215</v>
      </c>
      <c r="E786">
        <v>1551924233</v>
      </c>
      <c r="F786">
        <v>2354016385</v>
      </c>
      <c r="G786">
        <v>3576467014</v>
      </c>
      <c r="H786">
        <v>6294646300</v>
      </c>
      <c r="I786">
        <v>5017388732</v>
      </c>
      <c r="J786">
        <v>3545775757</v>
      </c>
      <c r="K786">
        <v>2845834137</v>
      </c>
      <c r="L786">
        <v>2424054328</v>
      </c>
      <c r="M786">
        <v>1850379173</v>
      </c>
      <c r="N786">
        <v>1525294947</v>
      </c>
      <c r="O786">
        <v>891067626</v>
      </c>
      <c r="P786">
        <v>1483</v>
      </c>
      <c r="Q786" t="s">
        <v>1796</v>
      </c>
    </row>
    <row r="787" spans="1:17" x14ac:dyDescent="0.3">
      <c r="A787" t="s">
        <v>17</v>
      </c>
      <c r="B787" t="str">
        <f>"688122"</f>
        <v>688122</v>
      </c>
      <c r="C787" t="s">
        <v>1797</v>
      </c>
      <c r="D787" t="s">
        <v>130</v>
      </c>
      <c r="E787">
        <v>1545510458</v>
      </c>
      <c r="F787">
        <v>986812843</v>
      </c>
      <c r="G787">
        <v>759635746</v>
      </c>
      <c r="H787">
        <v>0</v>
      </c>
      <c r="I787">
        <v>0</v>
      </c>
      <c r="P787">
        <v>309</v>
      </c>
      <c r="Q787" t="s">
        <v>1798</v>
      </c>
    </row>
    <row r="788" spans="1:17" x14ac:dyDescent="0.3">
      <c r="A788" t="s">
        <v>73</v>
      </c>
      <c r="B788" t="str">
        <f>"002430"</f>
        <v>002430</v>
      </c>
      <c r="C788" t="s">
        <v>1799</v>
      </c>
      <c r="D788" t="s">
        <v>1451</v>
      </c>
      <c r="E788">
        <v>1545185686</v>
      </c>
      <c r="F788">
        <v>1167322273</v>
      </c>
      <c r="G788">
        <v>2036976419</v>
      </c>
      <c r="H788">
        <v>1906844151</v>
      </c>
      <c r="I788">
        <v>1689701737</v>
      </c>
      <c r="J788">
        <v>2249470117</v>
      </c>
      <c r="K788">
        <v>2132593259</v>
      </c>
      <c r="L788">
        <v>1865514008</v>
      </c>
      <c r="M788">
        <v>1727529594</v>
      </c>
      <c r="N788">
        <v>1516804536</v>
      </c>
      <c r="O788">
        <v>1234864995</v>
      </c>
      <c r="P788">
        <v>395</v>
      </c>
      <c r="Q788" t="s">
        <v>1800</v>
      </c>
    </row>
    <row r="789" spans="1:17" x14ac:dyDescent="0.3">
      <c r="A789" t="s">
        <v>17</v>
      </c>
      <c r="B789" t="str">
        <f>"603678"</f>
        <v>603678</v>
      </c>
      <c r="C789" t="s">
        <v>1801</v>
      </c>
      <c r="D789" t="s">
        <v>502</v>
      </c>
      <c r="E789">
        <v>1543057529</v>
      </c>
      <c r="F789">
        <v>1760453297</v>
      </c>
      <c r="G789">
        <v>1111799905</v>
      </c>
      <c r="H789">
        <v>829802550</v>
      </c>
      <c r="I789">
        <v>753870452</v>
      </c>
      <c r="J789">
        <v>521747597</v>
      </c>
      <c r="K789">
        <v>424425352</v>
      </c>
      <c r="L789">
        <v>352682913</v>
      </c>
      <c r="M789">
        <v>0</v>
      </c>
      <c r="P789">
        <v>639</v>
      </c>
      <c r="Q789" t="s">
        <v>1802</v>
      </c>
    </row>
    <row r="790" spans="1:17" x14ac:dyDescent="0.3">
      <c r="A790" t="s">
        <v>73</v>
      </c>
      <c r="B790" t="str">
        <f>"000800"</f>
        <v>000800</v>
      </c>
      <c r="C790" t="s">
        <v>1803</v>
      </c>
      <c r="D790" t="s">
        <v>428</v>
      </c>
      <c r="E790">
        <v>1539920388</v>
      </c>
      <c r="F790">
        <v>1954720935</v>
      </c>
      <c r="G790">
        <v>743368556</v>
      </c>
      <c r="H790">
        <v>1564842962</v>
      </c>
      <c r="I790">
        <v>217440791</v>
      </c>
      <c r="J790">
        <v>525945018</v>
      </c>
      <c r="K790">
        <v>70459816</v>
      </c>
      <c r="L790">
        <v>217449443</v>
      </c>
      <c r="M790">
        <v>362667366</v>
      </c>
      <c r="N790">
        <v>435766208</v>
      </c>
      <c r="O790">
        <v>355586792</v>
      </c>
      <c r="P790">
        <v>446</v>
      </c>
      <c r="Q790" t="s">
        <v>1804</v>
      </c>
    </row>
    <row r="791" spans="1:17" x14ac:dyDescent="0.3">
      <c r="A791" t="s">
        <v>73</v>
      </c>
      <c r="B791" t="str">
        <f>"300047"</f>
        <v>300047</v>
      </c>
      <c r="C791" t="s">
        <v>1805</v>
      </c>
      <c r="D791" t="s">
        <v>795</v>
      </c>
      <c r="E791">
        <v>1535854206</v>
      </c>
      <c r="F791">
        <v>1586058852</v>
      </c>
      <c r="G791">
        <v>1381939447</v>
      </c>
      <c r="H791">
        <v>1604365467</v>
      </c>
      <c r="I791">
        <v>1189646690</v>
      </c>
      <c r="J791">
        <v>967380777</v>
      </c>
      <c r="K791">
        <v>664788050</v>
      </c>
      <c r="L791">
        <v>538222655</v>
      </c>
      <c r="M791">
        <v>503118875</v>
      </c>
      <c r="N791">
        <v>401650257</v>
      </c>
      <c r="O791">
        <v>245430031</v>
      </c>
      <c r="P791">
        <v>338</v>
      </c>
      <c r="Q791" t="s">
        <v>1806</v>
      </c>
    </row>
    <row r="792" spans="1:17" x14ac:dyDescent="0.3">
      <c r="A792" t="s">
        <v>73</v>
      </c>
      <c r="B792" t="str">
        <f>"002472"</f>
        <v>002472</v>
      </c>
      <c r="C792" t="s">
        <v>1807</v>
      </c>
      <c r="D792" t="s">
        <v>122</v>
      </c>
      <c r="E792">
        <v>1531533671</v>
      </c>
      <c r="F792">
        <v>1090784036</v>
      </c>
      <c r="G792">
        <v>649458431</v>
      </c>
      <c r="H792">
        <v>796791110</v>
      </c>
      <c r="I792">
        <v>631422931</v>
      </c>
      <c r="J792">
        <v>469590380</v>
      </c>
      <c r="K792">
        <v>357361163</v>
      </c>
      <c r="L792">
        <v>350701208</v>
      </c>
      <c r="M792">
        <v>260893104</v>
      </c>
      <c r="N792">
        <v>206149861</v>
      </c>
      <c r="O792">
        <v>199847218</v>
      </c>
      <c r="P792">
        <v>258</v>
      </c>
      <c r="Q792" t="s">
        <v>1808</v>
      </c>
    </row>
    <row r="793" spans="1:17" x14ac:dyDescent="0.3">
      <c r="A793" t="s">
        <v>17</v>
      </c>
      <c r="B793" t="str">
        <f>"603056"</f>
        <v>603056</v>
      </c>
      <c r="C793" t="s">
        <v>1809</v>
      </c>
      <c r="D793" t="s">
        <v>1341</v>
      </c>
      <c r="E793">
        <v>1530607397</v>
      </c>
      <c r="F793">
        <v>1591840821</v>
      </c>
      <c r="G793">
        <v>1280733182</v>
      </c>
      <c r="H793">
        <v>1180744149</v>
      </c>
      <c r="I793">
        <v>909730861</v>
      </c>
      <c r="J793">
        <v>0</v>
      </c>
      <c r="P793">
        <v>412</v>
      </c>
      <c r="Q793" t="s">
        <v>1810</v>
      </c>
    </row>
    <row r="794" spans="1:17" x14ac:dyDescent="0.3">
      <c r="A794" t="s">
        <v>17</v>
      </c>
      <c r="B794" t="str">
        <f>"600297"</f>
        <v>600297</v>
      </c>
      <c r="C794" t="s">
        <v>1811</v>
      </c>
      <c r="D794" t="s">
        <v>415</v>
      </c>
      <c r="E794">
        <v>1521860221</v>
      </c>
      <c r="F794">
        <v>1868814074</v>
      </c>
      <c r="G794">
        <v>1652473809</v>
      </c>
      <c r="H794">
        <v>2772530068</v>
      </c>
      <c r="I794">
        <v>2813897232</v>
      </c>
      <c r="J794">
        <v>2519644240</v>
      </c>
      <c r="K794">
        <v>1524848049</v>
      </c>
      <c r="L794">
        <v>101601068</v>
      </c>
      <c r="M794">
        <v>81637710</v>
      </c>
      <c r="N794">
        <v>23720962</v>
      </c>
      <c r="O794">
        <v>174356272</v>
      </c>
      <c r="P794">
        <v>469</v>
      </c>
      <c r="Q794" t="s">
        <v>1812</v>
      </c>
    </row>
    <row r="795" spans="1:17" x14ac:dyDescent="0.3">
      <c r="A795" t="s">
        <v>73</v>
      </c>
      <c r="B795" t="str">
        <f>"002106"</f>
        <v>002106</v>
      </c>
      <c r="C795" t="s">
        <v>1813</v>
      </c>
      <c r="D795" t="s">
        <v>97</v>
      </c>
      <c r="E795">
        <v>1520832125</v>
      </c>
      <c r="F795">
        <v>2114162114</v>
      </c>
      <c r="G795">
        <v>1125935936</v>
      </c>
      <c r="H795">
        <v>867212429</v>
      </c>
      <c r="I795">
        <v>731503848</v>
      </c>
      <c r="J795">
        <v>679237613</v>
      </c>
      <c r="K795">
        <v>549286693</v>
      </c>
      <c r="L795">
        <v>579872959</v>
      </c>
      <c r="M795">
        <v>358949667</v>
      </c>
      <c r="N795">
        <v>193108347</v>
      </c>
      <c r="O795">
        <v>130210437</v>
      </c>
      <c r="P795">
        <v>296</v>
      </c>
      <c r="Q795" t="s">
        <v>1814</v>
      </c>
    </row>
    <row r="796" spans="1:17" x14ac:dyDescent="0.3">
      <c r="A796" t="s">
        <v>17</v>
      </c>
      <c r="B796" t="str">
        <f>"601872"</f>
        <v>601872</v>
      </c>
      <c r="C796" t="s">
        <v>1815</v>
      </c>
      <c r="D796" t="s">
        <v>246</v>
      </c>
      <c r="E796">
        <v>1520181226</v>
      </c>
      <c r="F796">
        <v>1110586107</v>
      </c>
      <c r="G796">
        <v>1799632753</v>
      </c>
      <c r="H796">
        <v>2085770269</v>
      </c>
      <c r="I796">
        <v>376628177</v>
      </c>
      <c r="J796">
        <v>870707846</v>
      </c>
      <c r="K796">
        <v>1015833823</v>
      </c>
      <c r="L796">
        <v>721364624</v>
      </c>
      <c r="M796">
        <v>309260525</v>
      </c>
      <c r="N796">
        <v>301448726</v>
      </c>
      <c r="O796">
        <v>296821172</v>
      </c>
      <c r="P796">
        <v>574</v>
      </c>
      <c r="Q796" t="s">
        <v>1816</v>
      </c>
    </row>
    <row r="797" spans="1:17" x14ac:dyDescent="0.3">
      <c r="A797" t="s">
        <v>73</v>
      </c>
      <c r="B797" t="str">
        <f>"000156"</f>
        <v>000156</v>
      </c>
      <c r="C797" t="s">
        <v>1817</v>
      </c>
      <c r="D797" t="s">
        <v>1040</v>
      </c>
      <c r="E797">
        <v>1519081629</v>
      </c>
      <c r="F797">
        <v>1426057038</v>
      </c>
      <c r="G797">
        <v>863131984</v>
      </c>
      <c r="H797">
        <v>790067175</v>
      </c>
      <c r="I797">
        <v>649352064</v>
      </c>
      <c r="J797">
        <v>676975646</v>
      </c>
      <c r="K797">
        <v>562521953</v>
      </c>
      <c r="L797">
        <v>456333477</v>
      </c>
      <c r="M797">
        <v>410799052</v>
      </c>
      <c r="N797">
        <v>311190571</v>
      </c>
      <c r="O797">
        <v>48166218</v>
      </c>
      <c r="P797">
        <v>309</v>
      </c>
      <c r="Q797" t="s">
        <v>1818</v>
      </c>
    </row>
    <row r="798" spans="1:17" x14ac:dyDescent="0.3">
      <c r="A798" t="s">
        <v>73</v>
      </c>
      <c r="B798" t="str">
        <f>"000791"</f>
        <v>000791</v>
      </c>
      <c r="C798" t="s">
        <v>1819</v>
      </c>
      <c r="D798" t="s">
        <v>290</v>
      </c>
      <c r="E798">
        <v>1517544443</v>
      </c>
      <c r="F798">
        <v>1267465530</v>
      </c>
      <c r="G798">
        <v>1016675972</v>
      </c>
      <c r="H798">
        <v>863821032</v>
      </c>
      <c r="I798">
        <v>522941270</v>
      </c>
      <c r="J798">
        <v>416507684</v>
      </c>
      <c r="K798">
        <v>332903007</v>
      </c>
      <c r="L798">
        <v>65584733</v>
      </c>
      <c r="M798">
        <v>87934969</v>
      </c>
      <c r="N798">
        <v>81522206</v>
      </c>
      <c r="O798">
        <v>63267383</v>
      </c>
      <c r="P798">
        <v>219</v>
      </c>
      <c r="Q798" t="s">
        <v>1820</v>
      </c>
    </row>
    <row r="799" spans="1:17" x14ac:dyDescent="0.3">
      <c r="A799" t="s">
        <v>73</v>
      </c>
      <c r="B799" t="str">
        <f>"300038"</f>
        <v>300038</v>
      </c>
      <c r="C799" t="s">
        <v>1821</v>
      </c>
      <c r="D799" t="s">
        <v>425</v>
      </c>
      <c r="E799">
        <v>1515199772</v>
      </c>
      <c r="F799">
        <v>1396601173</v>
      </c>
      <c r="G799">
        <v>3169013076</v>
      </c>
      <c r="H799">
        <v>1917764491</v>
      </c>
      <c r="I799">
        <v>1057464999</v>
      </c>
      <c r="J799">
        <v>1241291514</v>
      </c>
      <c r="K799">
        <v>879751013</v>
      </c>
      <c r="L799">
        <v>920211227</v>
      </c>
      <c r="M799">
        <v>759956938</v>
      </c>
      <c r="N799">
        <v>437249940</v>
      </c>
      <c r="O799">
        <v>311072368</v>
      </c>
      <c r="P799">
        <v>263</v>
      </c>
      <c r="Q799" t="s">
        <v>1822</v>
      </c>
    </row>
    <row r="800" spans="1:17" x14ac:dyDescent="0.3">
      <c r="A800" t="s">
        <v>17</v>
      </c>
      <c r="B800" t="str">
        <f>"601028"</f>
        <v>601028</v>
      </c>
      <c r="C800" t="s">
        <v>1823</v>
      </c>
      <c r="D800" t="s">
        <v>299</v>
      </c>
      <c r="E800">
        <v>1514616976</v>
      </c>
      <c r="F800">
        <v>247571313</v>
      </c>
      <c r="G800">
        <v>153419221</v>
      </c>
      <c r="H800">
        <v>146526952</v>
      </c>
      <c r="I800">
        <v>191856368</v>
      </c>
      <c r="J800">
        <v>264265716</v>
      </c>
      <c r="K800">
        <v>406599851</v>
      </c>
      <c r="L800">
        <v>648809280</v>
      </c>
      <c r="M800">
        <v>425900427</v>
      </c>
      <c r="N800">
        <v>348119176</v>
      </c>
      <c r="O800">
        <v>224802896</v>
      </c>
      <c r="P800">
        <v>87</v>
      </c>
      <c r="Q800" t="s">
        <v>1824</v>
      </c>
    </row>
    <row r="801" spans="1:17" x14ac:dyDescent="0.3">
      <c r="A801" t="s">
        <v>73</v>
      </c>
      <c r="B801" t="str">
        <f>"000709"</f>
        <v>000709</v>
      </c>
      <c r="C801" t="s">
        <v>1825</v>
      </c>
      <c r="D801" t="s">
        <v>221</v>
      </c>
      <c r="E801">
        <v>1509405703</v>
      </c>
      <c r="F801">
        <v>1682815130</v>
      </c>
      <c r="G801">
        <v>5420677146</v>
      </c>
      <c r="H801">
        <v>3225458454</v>
      </c>
      <c r="I801">
        <v>2935180086</v>
      </c>
      <c r="J801">
        <v>2187976269</v>
      </c>
      <c r="K801">
        <v>2093366588</v>
      </c>
      <c r="L801">
        <v>2137509961</v>
      </c>
      <c r="M801">
        <v>1147711421</v>
      </c>
      <c r="N801">
        <v>1736202548</v>
      </c>
      <c r="O801">
        <v>1460917670</v>
      </c>
      <c r="P801">
        <v>524</v>
      </c>
      <c r="Q801" t="s">
        <v>1826</v>
      </c>
    </row>
    <row r="802" spans="1:17" x14ac:dyDescent="0.3">
      <c r="A802" t="s">
        <v>73</v>
      </c>
      <c r="B802" t="str">
        <f>"000966"</f>
        <v>000966</v>
      </c>
      <c r="C802" t="s">
        <v>1827</v>
      </c>
      <c r="D802" t="s">
        <v>71</v>
      </c>
      <c r="E802">
        <v>1509365441</v>
      </c>
      <c r="F802">
        <v>755232166</v>
      </c>
      <c r="G802">
        <v>472250665</v>
      </c>
      <c r="H802">
        <v>753649255</v>
      </c>
      <c r="I802">
        <v>640626919</v>
      </c>
      <c r="J802">
        <v>435878735</v>
      </c>
      <c r="K802">
        <v>419216591</v>
      </c>
      <c r="L802">
        <v>635862907</v>
      </c>
      <c r="M802">
        <v>587654301</v>
      </c>
      <c r="N802">
        <v>696061228</v>
      </c>
      <c r="O802">
        <v>894273941</v>
      </c>
      <c r="P802">
        <v>398</v>
      </c>
      <c r="Q802" t="s">
        <v>1828</v>
      </c>
    </row>
    <row r="803" spans="1:17" x14ac:dyDescent="0.3">
      <c r="A803" t="s">
        <v>17</v>
      </c>
      <c r="B803" t="str">
        <f>"688519"</f>
        <v>688519</v>
      </c>
      <c r="C803" t="s">
        <v>1829</v>
      </c>
      <c r="D803" t="s">
        <v>418</v>
      </c>
      <c r="E803">
        <v>1506262010</v>
      </c>
      <c r="F803">
        <v>1150914932</v>
      </c>
      <c r="G803">
        <v>664896127</v>
      </c>
      <c r="P803">
        <v>80</v>
      </c>
      <c r="Q803" t="s">
        <v>1830</v>
      </c>
    </row>
    <row r="804" spans="1:17" x14ac:dyDescent="0.3">
      <c r="A804" t="s">
        <v>17</v>
      </c>
      <c r="B804" t="str">
        <f>"600550"</f>
        <v>600550</v>
      </c>
      <c r="C804" t="s">
        <v>1831</v>
      </c>
      <c r="D804" t="s">
        <v>224</v>
      </c>
      <c r="E804">
        <v>1505556296</v>
      </c>
      <c r="F804">
        <v>995861821</v>
      </c>
      <c r="G804">
        <v>1790947400</v>
      </c>
      <c r="H804">
        <v>1852984897</v>
      </c>
      <c r="I804">
        <v>2217263834</v>
      </c>
      <c r="J804">
        <v>2702916590</v>
      </c>
      <c r="K804">
        <v>2499601288</v>
      </c>
      <c r="L804">
        <v>1838972456</v>
      </c>
      <c r="M804">
        <v>2157561507</v>
      </c>
      <c r="N804">
        <v>2516094851</v>
      </c>
      <c r="O804">
        <v>2650634129</v>
      </c>
      <c r="P804">
        <v>183</v>
      </c>
      <c r="Q804" t="s">
        <v>1832</v>
      </c>
    </row>
    <row r="805" spans="1:17" x14ac:dyDescent="0.3">
      <c r="A805" t="s">
        <v>73</v>
      </c>
      <c r="B805" t="str">
        <f>"300872"</f>
        <v>300872</v>
      </c>
      <c r="C805" t="s">
        <v>1833</v>
      </c>
      <c r="D805" t="s">
        <v>302</v>
      </c>
      <c r="E805">
        <v>1504164744</v>
      </c>
      <c r="F805">
        <v>1166369385</v>
      </c>
      <c r="P805">
        <v>74</v>
      </c>
      <c r="Q805" t="s">
        <v>1834</v>
      </c>
    </row>
    <row r="806" spans="1:17" x14ac:dyDescent="0.3">
      <c r="A806" t="s">
        <v>73</v>
      </c>
      <c r="B806" t="str">
        <f>"002641"</f>
        <v>002641</v>
      </c>
      <c r="C806" t="s">
        <v>1835</v>
      </c>
      <c r="D806" t="s">
        <v>1836</v>
      </c>
      <c r="E806">
        <v>1501559268</v>
      </c>
      <c r="F806">
        <v>798981696</v>
      </c>
      <c r="G806">
        <v>840004987</v>
      </c>
      <c r="H806">
        <v>0</v>
      </c>
      <c r="I806">
        <v>675096434</v>
      </c>
      <c r="J806">
        <v>621643944</v>
      </c>
      <c r="K806">
        <v>547736822</v>
      </c>
      <c r="L806">
        <v>439310766</v>
      </c>
      <c r="M806">
        <v>330389965</v>
      </c>
      <c r="N806">
        <v>241579182</v>
      </c>
      <c r="O806">
        <v>166914666</v>
      </c>
      <c r="P806">
        <v>360</v>
      </c>
      <c r="Q806" t="s">
        <v>1837</v>
      </c>
    </row>
    <row r="807" spans="1:17" x14ac:dyDescent="0.3">
      <c r="A807" t="s">
        <v>17</v>
      </c>
      <c r="B807" t="str">
        <f>"603569"</f>
        <v>603569</v>
      </c>
      <c r="C807" t="s">
        <v>1838</v>
      </c>
      <c r="D807" t="s">
        <v>1341</v>
      </c>
      <c r="E807">
        <v>1500346460</v>
      </c>
      <c r="F807">
        <v>1282386761</v>
      </c>
      <c r="G807">
        <v>1441035299</v>
      </c>
      <c r="H807">
        <v>1985447397</v>
      </c>
      <c r="I807">
        <v>1505658849</v>
      </c>
      <c r="J807">
        <v>1443596841</v>
      </c>
      <c r="K807">
        <v>975408023</v>
      </c>
      <c r="L807">
        <v>0</v>
      </c>
      <c r="P807">
        <v>198</v>
      </c>
      <c r="Q807" t="s">
        <v>1839</v>
      </c>
    </row>
    <row r="808" spans="1:17" x14ac:dyDescent="0.3">
      <c r="A808" t="s">
        <v>17</v>
      </c>
      <c r="B808" t="str">
        <f>"600115"</f>
        <v>600115</v>
      </c>
      <c r="C808" t="s">
        <v>1840</v>
      </c>
      <c r="D808" t="s">
        <v>948</v>
      </c>
      <c r="E808">
        <v>1498000000</v>
      </c>
      <c r="F808">
        <v>1730000000</v>
      </c>
      <c r="G808">
        <v>1769000000</v>
      </c>
      <c r="H808">
        <v>0</v>
      </c>
      <c r="I808">
        <v>1395000000</v>
      </c>
      <c r="J808">
        <v>2245000000</v>
      </c>
      <c r="K808">
        <v>2395000000</v>
      </c>
      <c r="L808">
        <v>3706000000</v>
      </c>
      <c r="M808">
        <v>3828000000</v>
      </c>
      <c r="N808">
        <v>3038367000</v>
      </c>
      <c r="O808">
        <v>2393029000</v>
      </c>
      <c r="P808">
        <v>690</v>
      </c>
      <c r="Q808" t="s">
        <v>1841</v>
      </c>
    </row>
    <row r="809" spans="1:17" x14ac:dyDescent="0.3">
      <c r="A809" t="s">
        <v>17</v>
      </c>
      <c r="B809" t="str">
        <f>"600062"</f>
        <v>600062</v>
      </c>
      <c r="C809" t="s">
        <v>1842</v>
      </c>
      <c r="D809" t="s">
        <v>348</v>
      </c>
      <c r="E809">
        <v>1496814196</v>
      </c>
      <c r="F809">
        <v>1484404721</v>
      </c>
      <c r="G809">
        <v>1390189429</v>
      </c>
      <c r="H809">
        <v>1467591868</v>
      </c>
      <c r="I809">
        <v>1228638445</v>
      </c>
      <c r="J809">
        <v>1034608776</v>
      </c>
      <c r="K809">
        <v>1043849603</v>
      </c>
      <c r="L809">
        <v>807005050</v>
      </c>
      <c r="M809">
        <v>765804479</v>
      </c>
      <c r="N809">
        <v>1283091542</v>
      </c>
      <c r="O809">
        <v>1263704142</v>
      </c>
      <c r="P809">
        <v>635</v>
      </c>
      <c r="Q809" t="s">
        <v>1843</v>
      </c>
    </row>
    <row r="810" spans="1:17" x14ac:dyDescent="0.3">
      <c r="A810" t="s">
        <v>17</v>
      </c>
      <c r="B810" t="str">
        <f>"603267"</f>
        <v>603267</v>
      </c>
      <c r="C810" t="s">
        <v>1844</v>
      </c>
      <c r="D810" t="s">
        <v>502</v>
      </c>
      <c r="E810">
        <v>1495125519</v>
      </c>
      <c r="F810">
        <v>1262776217</v>
      </c>
      <c r="G810">
        <v>749859911</v>
      </c>
      <c r="H810">
        <v>0</v>
      </c>
      <c r="P810">
        <v>469</v>
      </c>
      <c r="Q810" t="s">
        <v>1845</v>
      </c>
    </row>
    <row r="811" spans="1:17" x14ac:dyDescent="0.3">
      <c r="A811" t="s">
        <v>17</v>
      </c>
      <c r="B811" t="str">
        <f>"605196"</f>
        <v>605196</v>
      </c>
      <c r="C811" t="s">
        <v>1846</v>
      </c>
      <c r="D811" t="s">
        <v>515</v>
      </c>
      <c r="E811">
        <v>1494923948</v>
      </c>
      <c r="F811">
        <v>856230926</v>
      </c>
      <c r="P811">
        <v>27</v>
      </c>
      <c r="Q811" t="s">
        <v>1847</v>
      </c>
    </row>
    <row r="812" spans="1:17" x14ac:dyDescent="0.3">
      <c r="A812" t="s">
        <v>17</v>
      </c>
      <c r="B812" t="str">
        <f>"603603"</f>
        <v>603603</v>
      </c>
      <c r="C812" t="s">
        <v>1848</v>
      </c>
      <c r="D812" t="s">
        <v>308</v>
      </c>
      <c r="E812">
        <v>1492181547</v>
      </c>
      <c r="F812">
        <v>1332715938</v>
      </c>
      <c r="G812">
        <v>1465189400</v>
      </c>
      <c r="H812">
        <v>2039550728</v>
      </c>
      <c r="I812">
        <v>1718512821</v>
      </c>
      <c r="J812">
        <v>1294113820</v>
      </c>
      <c r="P812">
        <v>118</v>
      </c>
      <c r="Q812" t="s">
        <v>1849</v>
      </c>
    </row>
    <row r="813" spans="1:17" x14ac:dyDescent="0.3">
      <c r="A813" t="s">
        <v>17</v>
      </c>
      <c r="B813" t="str">
        <f>"600298"</f>
        <v>600298</v>
      </c>
      <c r="C813" t="s">
        <v>1850</v>
      </c>
      <c r="D813" t="s">
        <v>1851</v>
      </c>
      <c r="E813">
        <v>1489810972</v>
      </c>
      <c r="F813">
        <v>1012289599</v>
      </c>
      <c r="G813">
        <v>984970772</v>
      </c>
      <c r="H813">
        <v>920753122</v>
      </c>
      <c r="I813">
        <v>707403503</v>
      </c>
      <c r="J813">
        <v>645115721</v>
      </c>
      <c r="K813">
        <v>525765889</v>
      </c>
      <c r="L813">
        <v>437139737</v>
      </c>
      <c r="M813">
        <v>409080335</v>
      </c>
      <c r="N813">
        <v>552801153</v>
      </c>
      <c r="O813">
        <v>485457064</v>
      </c>
      <c r="P813">
        <v>4513</v>
      </c>
      <c r="Q813" t="s">
        <v>1852</v>
      </c>
    </row>
    <row r="814" spans="1:17" x14ac:dyDescent="0.3">
      <c r="A814" t="s">
        <v>73</v>
      </c>
      <c r="B814" t="str">
        <f>"300438"</f>
        <v>300438</v>
      </c>
      <c r="C814" t="s">
        <v>1853</v>
      </c>
      <c r="D814" t="s">
        <v>125</v>
      </c>
      <c r="E814">
        <v>1487498829</v>
      </c>
      <c r="F814">
        <v>1669772565</v>
      </c>
      <c r="G814">
        <v>1348360147</v>
      </c>
      <c r="H814">
        <v>1675770546</v>
      </c>
      <c r="I814">
        <v>1202645146</v>
      </c>
      <c r="J814">
        <v>661962350</v>
      </c>
      <c r="K814">
        <v>445009293</v>
      </c>
      <c r="L814">
        <v>269678877</v>
      </c>
      <c r="M814">
        <v>0</v>
      </c>
      <c r="P814">
        <v>394</v>
      </c>
      <c r="Q814" t="s">
        <v>1854</v>
      </c>
    </row>
    <row r="815" spans="1:17" x14ac:dyDescent="0.3">
      <c r="A815" t="s">
        <v>17</v>
      </c>
      <c r="B815" t="str">
        <f>"600717"</f>
        <v>600717</v>
      </c>
      <c r="C815" t="s">
        <v>1855</v>
      </c>
      <c r="D815" t="s">
        <v>706</v>
      </c>
      <c r="E815">
        <v>1483468393</v>
      </c>
      <c r="F815">
        <v>1723402854</v>
      </c>
      <c r="G815">
        <v>1728665503</v>
      </c>
      <c r="H815">
        <v>1738293851</v>
      </c>
      <c r="I815">
        <v>1629097947</v>
      </c>
      <c r="J815">
        <v>1449390717</v>
      </c>
      <c r="K815">
        <v>1289816327</v>
      </c>
      <c r="L815">
        <v>1718445515</v>
      </c>
      <c r="M815">
        <v>1784197708</v>
      </c>
      <c r="N815">
        <v>2071618105</v>
      </c>
      <c r="O815">
        <v>1841635332</v>
      </c>
      <c r="P815">
        <v>262</v>
      </c>
      <c r="Q815" t="s">
        <v>1856</v>
      </c>
    </row>
    <row r="816" spans="1:17" x14ac:dyDescent="0.3">
      <c r="A816" t="s">
        <v>73</v>
      </c>
      <c r="B816" t="str">
        <f>"300975"</f>
        <v>300975</v>
      </c>
      <c r="C816" t="s">
        <v>1857</v>
      </c>
      <c r="D816" t="s">
        <v>651</v>
      </c>
      <c r="E816">
        <v>1483419373</v>
      </c>
      <c r="F816">
        <v>1152076634</v>
      </c>
      <c r="P816">
        <v>30</v>
      </c>
      <c r="Q816" t="s">
        <v>1858</v>
      </c>
    </row>
    <row r="817" spans="1:17" x14ac:dyDescent="0.3">
      <c r="A817" t="s">
        <v>17</v>
      </c>
      <c r="B817" t="str">
        <f>"605365"</f>
        <v>605365</v>
      </c>
      <c r="C817" t="s">
        <v>1859</v>
      </c>
      <c r="D817" t="s">
        <v>1424</v>
      </c>
      <c r="E817">
        <v>1482389445</v>
      </c>
      <c r="F817">
        <v>1079619325</v>
      </c>
      <c r="P817">
        <v>28</v>
      </c>
      <c r="Q817" t="s">
        <v>1860</v>
      </c>
    </row>
    <row r="818" spans="1:17" x14ac:dyDescent="0.3">
      <c r="A818" t="s">
        <v>73</v>
      </c>
      <c r="B818" t="str">
        <f>"002906"</f>
        <v>002906</v>
      </c>
      <c r="C818" t="s">
        <v>1861</v>
      </c>
      <c r="D818" t="s">
        <v>442</v>
      </c>
      <c r="E818">
        <v>1478069811</v>
      </c>
      <c r="F818">
        <v>1148105261</v>
      </c>
      <c r="G818">
        <v>741476667</v>
      </c>
      <c r="H818">
        <v>1041505669</v>
      </c>
      <c r="I818">
        <v>982834583</v>
      </c>
      <c r="J818">
        <v>1353494456</v>
      </c>
      <c r="P818">
        <v>228</v>
      </c>
      <c r="Q818" t="s">
        <v>1862</v>
      </c>
    </row>
    <row r="819" spans="1:17" x14ac:dyDescent="0.3">
      <c r="A819" t="s">
        <v>17</v>
      </c>
      <c r="B819" t="str">
        <f>"605122"</f>
        <v>605122</v>
      </c>
      <c r="C819" t="s">
        <v>1863</v>
      </c>
      <c r="D819" t="s">
        <v>153</v>
      </c>
      <c r="E819">
        <v>1476995287</v>
      </c>
      <c r="F819">
        <v>957547347</v>
      </c>
      <c r="P819">
        <v>36</v>
      </c>
      <c r="Q819" t="s">
        <v>1864</v>
      </c>
    </row>
    <row r="820" spans="1:17" x14ac:dyDescent="0.3">
      <c r="A820" t="s">
        <v>17</v>
      </c>
      <c r="B820" t="str">
        <f>"600330"</f>
        <v>600330</v>
      </c>
      <c r="C820" t="s">
        <v>1865</v>
      </c>
      <c r="D820" t="s">
        <v>1451</v>
      </c>
      <c r="E820">
        <v>1474815344</v>
      </c>
      <c r="F820">
        <v>1365955605</v>
      </c>
      <c r="G820">
        <v>1014976999</v>
      </c>
      <c r="H820">
        <v>921191822</v>
      </c>
      <c r="I820">
        <v>675045225</v>
      </c>
      <c r="J820">
        <v>598825706</v>
      </c>
      <c r="K820">
        <v>444660054</v>
      </c>
      <c r="L820">
        <v>318506832</v>
      </c>
      <c r="M820">
        <v>287364010</v>
      </c>
      <c r="N820">
        <v>273576445</v>
      </c>
      <c r="O820">
        <v>268205933</v>
      </c>
      <c r="P820">
        <v>3157</v>
      </c>
      <c r="Q820" t="s">
        <v>1866</v>
      </c>
    </row>
    <row r="821" spans="1:17" x14ac:dyDescent="0.3">
      <c r="A821" t="s">
        <v>17</v>
      </c>
      <c r="B821" t="str">
        <f>"603890"</f>
        <v>603890</v>
      </c>
      <c r="C821" t="s">
        <v>1867</v>
      </c>
      <c r="D821" t="s">
        <v>42</v>
      </c>
      <c r="E821">
        <v>1474492134</v>
      </c>
      <c r="F821">
        <v>1424136912</v>
      </c>
      <c r="G821">
        <v>705507816</v>
      </c>
      <c r="H821">
        <v>601248097</v>
      </c>
      <c r="I821">
        <v>518473326</v>
      </c>
      <c r="P821">
        <v>155</v>
      </c>
      <c r="Q821" t="s">
        <v>1868</v>
      </c>
    </row>
    <row r="822" spans="1:17" x14ac:dyDescent="0.3">
      <c r="A822" t="s">
        <v>73</v>
      </c>
      <c r="B822" t="str">
        <f>"002300"</f>
        <v>002300</v>
      </c>
      <c r="C822" t="s">
        <v>1869</v>
      </c>
      <c r="D822" t="s">
        <v>515</v>
      </c>
      <c r="E822">
        <v>1473264690</v>
      </c>
      <c r="F822">
        <v>1223657806</v>
      </c>
      <c r="G822">
        <v>1002368464</v>
      </c>
      <c r="H822">
        <v>1209471819</v>
      </c>
      <c r="I822">
        <v>826636424</v>
      </c>
      <c r="J822">
        <v>815045803</v>
      </c>
      <c r="K822">
        <v>745925297</v>
      </c>
      <c r="L822">
        <v>711116663</v>
      </c>
      <c r="M822">
        <v>738253399</v>
      </c>
      <c r="N822">
        <v>755820896</v>
      </c>
      <c r="O822">
        <v>678664429</v>
      </c>
      <c r="P822">
        <v>125</v>
      </c>
      <c r="Q822" t="s">
        <v>1870</v>
      </c>
    </row>
    <row r="823" spans="1:17" x14ac:dyDescent="0.3">
      <c r="A823" t="s">
        <v>17</v>
      </c>
      <c r="B823" t="str">
        <f>"601956"</f>
        <v>601956</v>
      </c>
      <c r="C823" t="s">
        <v>1871</v>
      </c>
      <c r="D823" t="s">
        <v>654</v>
      </c>
      <c r="E823">
        <v>1472956826</v>
      </c>
      <c r="F823">
        <v>1564019423</v>
      </c>
      <c r="P823">
        <v>23</v>
      </c>
      <c r="Q823" t="s">
        <v>1872</v>
      </c>
    </row>
    <row r="824" spans="1:17" x14ac:dyDescent="0.3">
      <c r="A824" t="s">
        <v>17</v>
      </c>
      <c r="B824" t="str">
        <f>"600477"</f>
        <v>600477</v>
      </c>
      <c r="C824" t="s">
        <v>1873</v>
      </c>
      <c r="D824" t="s">
        <v>711</v>
      </c>
      <c r="E824">
        <v>1463773691</v>
      </c>
      <c r="F824">
        <v>1046268419</v>
      </c>
      <c r="G824">
        <v>1099917591</v>
      </c>
      <c r="H824">
        <v>1162279255</v>
      </c>
      <c r="I824">
        <v>1133296303</v>
      </c>
      <c r="J824">
        <v>972421049</v>
      </c>
      <c r="K824">
        <v>842580959</v>
      </c>
      <c r="L824">
        <v>627310330</v>
      </c>
      <c r="M824">
        <v>581987107</v>
      </c>
      <c r="N824">
        <v>356058807</v>
      </c>
      <c r="O824">
        <v>446781694</v>
      </c>
      <c r="P824">
        <v>347</v>
      </c>
      <c r="Q824" t="s">
        <v>1874</v>
      </c>
    </row>
    <row r="825" spans="1:17" x14ac:dyDescent="0.3">
      <c r="A825" t="s">
        <v>73</v>
      </c>
      <c r="B825" t="str">
        <f>"002797"</f>
        <v>002797</v>
      </c>
      <c r="C825" t="s">
        <v>1875</v>
      </c>
      <c r="D825" t="s">
        <v>53</v>
      </c>
      <c r="E825">
        <v>1462940022</v>
      </c>
      <c r="F825">
        <v>237629894</v>
      </c>
      <c r="G825">
        <v>253188803</v>
      </c>
      <c r="H825">
        <v>256240339</v>
      </c>
      <c r="I825">
        <v>480981660</v>
      </c>
      <c r="J825">
        <v>388411644</v>
      </c>
      <c r="K825">
        <v>0</v>
      </c>
      <c r="L825">
        <v>0</v>
      </c>
      <c r="N825">
        <v>0</v>
      </c>
      <c r="P825">
        <v>838</v>
      </c>
      <c r="Q825" t="s">
        <v>1876</v>
      </c>
    </row>
    <row r="826" spans="1:17" x14ac:dyDescent="0.3">
      <c r="A826" t="s">
        <v>17</v>
      </c>
      <c r="B826" t="str">
        <f>"600218"</f>
        <v>600218</v>
      </c>
      <c r="C826" t="s">
        <v>1877</v>
      </c>
      <c r="D826" t="s">
        <v>122</v>
      </c>
      <c r="E826">
        <v>1458102298</v>
      </c>
      <c r="F826">
        <v>1157345989</v>
      </c>
      <c r="G826">
        <v>741391610</v>
      </c>
      <c r="H826">
        <v>914241764</v>
      </c>
      <c r="I826">
        <v>923222285</v>
      </c>
      <c r="J826">
        <v>819306252</v>
      </c>
      <c r="K826">
        <v>646006528</v>
      </c>
      <c r="L826">
        <v>767260221</v>
      </c>
      <c r="M826">
        <v>774800476</v>
      </c>
      <c r="N826">
        <v>572082337</v>
      </c>
      <c r="O826">
        <v>472465155</v>
      </c>
      <c r="P826">
        <v>166</v>
      </c>
      <c r="Q826" t="s">
        <v>1878</v>
      </c>
    </row>
    <row r="827" spans="1:17" x14ac:dyDescent="0.3">
      <c r="A827" t="s">
        <v>73</v>
      </c>
      <c r="B827" t="str">
        <f>"300451"</f>
        <v>300451</v>
      </c>
      <c r="C827" t="s">
        <v>1879</v>
      </c>
      <c r="D827" t="s">
        <v>795</v>
      </c>
      <c r="E827">
        <v>1455294203</v>
      </c>
      <c r="F827">
        <v>961927122</v>
      </c>
      <c r="G827">
        <v>625581047</v>
      </c>
      <c r="H827">
        <v>705087874</v>
      </c>
      <c r="I827">
        <v>551381892</v>
      </c>
      <c r="J827">
        <v>467486270</v>
      </c>
      <c r="K827">
        <v>240529532</v>
      </c>
      <c r="L827">
        <v>207863662</v>
      </c>
      <c r="M827">
        <v>0</v>
      </c>
      <c r="P827">
        <v>351</v>
      </c>
      <c r="Q827" t="s">
        <v>1880</v>
      </c>
    </row>
    <row r="828" spans="1:17" x14ac:dyDescent="0.3">
      <c r="A828" t="s">
        <v>73</v>
      </c>
      <c r="B828" t="str">
        <f>"002540"</f>
        <v>002540</v>
      </c>
      <c r="C828" t="s">
        <v>1881</v>
      </c>
      <c r="D828" t="s">
        <v>616</v>
      </c>
      <c r="E828">
        <v>1445836077</v>
      </c>
      <c r="F828">
        <v>1194213646</v>
      </c>
      <c r="G828">
        <v>690673352</v>
      </c>
      <c r="H828">
        <v>632417416</v>
      </c>
      <c r="I828">
        <v>671552945</v>
      </c>
      <c r="J828">
        <v>612554334</v>
      </c>
      <c r="K828">
        <v>471691391</v>
      </c>
      <c r="L828">
        <v>438234706</v>
      </c>
      <c r="M828">
        <v>394236377</v>
      </c>
      <c r="N828">
        <v>321790185</v>
      </c>
      <c r="O828">
        <v>257799787</v>
      </c>
      <c r="P828">
        <v>161</v>
      </c>
      <c r="Q828" t="s">
        <v>1882</v>
      </c>
    </row>
    <row r="829" spans="1:17" x14ac:dyDescent="0.3">
      <c r="A829" t="s">
        <v>73</v>
      </c>
      <c r="B829" t="str">
        <f>"000739"</f>
        <v>000739</v>
      </c>
      <c r="C829" t="s">
        <v>1883</v>
      </c>
      <c r="D829" t="s">
        <v>908</v>
      </c>
      <c r="E829">
        <v>1444777589</v>
      </c>
      <c r="F829">
        <v>1205743266</v>
      </c>
      <c r="G829">
        <v>1095285471</v>
      </c>
      <c r="H829">
        <v>1150021473</v>
      </c>
      <c r="I829">
        <v>1175355121</v>
      </c>
      <c r="J829">
        <v>962329000</v>
      </c>
      <c r="K829">
        <v>685859430</v>
      </c>
      <c r="L829">
        <v>768103706</v>
      </c>
      <c r="M829">
        <v>614530512</v>
      </c>
      <c r="N829">
        <v>617138614</v>
      </c>
      <c r="O829">
        <v>241743458</v>
      </c>
      <c r="P829">
        <v>758</v>
      </c>
      <c r="Q829" t="s">
        <v>1884</v>
      </c>
    </row>
    <row r="830" spans="1:17" x14ac:dyDescent="0.3">
      <c r="A830" t="s">
        <v>73</v>
      </c>
      <c r="B830" t="str">
        <f>"300252"</f>
        <v>300252</v>
      </c>
      <c r="C830" t="s">
        <v>1885</v>
      </c>
      <c r="D830" t="s">
        <v>502</v>
      </c>
      <c r="E830">
        <v>1441845044</v>
      </c>
      <c r="F830">
        <v>1147384939</v>
      </c>
      <c r="G830">
        <v>1257209097</v>
      </c>
      <c r="H830">
        <v>1306797100</v>
      </c>
      <c r="I830">
        <v>1249503201</v>
      </c>
      <c r="J830">
        <v>847421554</v>
      </c>
      <c r="K830">
        <v>755802325</v>
      </c>
      <c r="L830">
        <v>593808165</v>
      </c>
      <c r="M830">
        <v>516818573</v>
      </c>
      <c r="N830">
        <v>359857629</v>
      </c>
      <c r="O830">
        <v>372916102</v>
      </c>
      <c r="P830">
        <v>217</v>
      </c>
      <c r="Q830" t="s">
        <v>1886</v>
      </c>
    </row>
    <row r="831" spans="1:17" x14ac:dyDescent="0.3">
      <c r="A831" t="s">
        <v>17</v>
      </c>
      <c r="B831" t="str">
        <f>"600916"</f>
        <v>600916</v>
      </c>
      <c r="C831" t="s">
        <v>1887</v>
      </c>
      <c r="D831" t="s">
        <v>1260</v>
      </c>
      <c r="E831">
        <v>1438257691</v>
      </c>
      <c r="F831">
        <v>926930757</v>
      </c>
      <c r="P831">
        <v>97</v>
      </c>
      <c r="Q831" t="s">
        <v>1888</v>
      </c>
    </row>
    <row r="832" spans="1:17" x14ac:dyDescent="0.3">
      <c r="A832" t="s">
        <v>73</v>
      </c>
      <c r="B832" t="str">
        <f>"002160"</f>
        <v>002160</v>
      </c>
      <c r="C832" t="s">
        <v>1889</v>
      </c>
      <c r="D832" t="s">
        <v>616</v>
      </c>
      <c r="E832">
        <v>1435363214</v>
      </c>
      <c r="F832">
        <v>1264373974</v>
      </c>
      <c r="G832">
        <v>877821999</v>
      </c>
      <c r="H832">
        <v>0</v>
      </c>
      <c r="I832">
        <v>845910197</v>
      </c>
      <c r="J832">
        <v>803732576</v>
      </c>
      <c r="K832">
        <v>607455911</v>
      </c>
      <c r="L832">
        <v>415645784</v>
      </c>
      <c r="M832">
        <v>349238727</v>
      </c>
      <c r="N832">
        <v>327479620</v>
      </c>
      <c r="O832">
        <v>375400916</v>
      </c>
      <c r="P832">
        <v>166</v>
      </c>
      <c r="Q832" t="s">
        <v>1890</v>
      </c>
    </row>
    <row r="833" spans="1:17" x14ac:dyDescent="0.3">
      <c r="A833" t="s">
        <v>73</v>
      </c>
      <c r="B833" t="str">
        <f>"300285"</f>
        <v>300285</v>
      </c>
      <c r="C833" t="s">
        <v>1891</v>
      </c>
      <c r="D833" t="s">
        <v>588</v>
      </c>
      <c r="E833">
        <v>1434068444</v>
      </c>
      <c r="F833">
        <v>1100422123</v>
      </c>
      <c r="G833">
        <v>985568372</v>
      </c>
      <c r="H833">
        <v>773707797</v>
      </c>
      <c r="I833">
        <v>539848327</v>
      </c>
      <c r="J833">
        <v>439977698</v>
      </c>
      <c r="K833">
        <v>252351218</v>
      </c>
      <c r="L833">
        <v>165307504</v>
      </c>
      <c r="M833">
        <v>72587464</v>
      </c>
      <c r="N833">
        <v>44165508</v>
      </c>
      <c r="O833">
        <v>42916843</v>
      </c>
      <c r="P833">
        <v>1537</v>
      </c>
      <c r="Q833" t="s">
        <v>1892</v>
      </c>
    </row>
    <row r="834" spans="1:17" x14ac:dyDescent="0.3">
      <c r="A834" t="s">
        <v>73</v>
      </c>
      <c r="B834" t="str">
        <f>"300391"</f>
        <v>300391</v>
      </c>
      <c r="C834" t="s">
        <v>1893</v>
      </c>
      <c r="D834" t="s">
        <v>122</v>
      </c>
      <c r="E834">
        <v>1433465607</v>
      </c>
      <c r="F834">
        <v>1236208740</v>
      </c>
      <c r="G834">
        <v>325370126</v>
      </c>
      <c r="H834">
        <v>409214630</v>
      </c>
      <c r="I834">
        <v>352551292</v>
      </c>
      <c r="J834">
        <v>123534963</v>
      </c>
      <c r="K834">
        <v>112793294</v>
      </c>
      <c r="L834">
        <v>159556525</v>
      </c>
      <c r="M834">
        <v>118556196</v>
      </c>
      <c r="N834">
        <v>0</v>
      </c>
      <c r="P834">
        <v>80</v>
      </c>
      <c r="Q834" t="s">
        <v>1894</v>
      </c>
    </row>
    <row r="835" spans="1:17" x14ac:dyDescent="0.3">
      <c r="A835" t="s">
        <v>73</v>
      </c>
      <c r="B835" t="str">
        <f>"002387"</f>
        <v>002387</v>
      </c>
      <c r="C835" t="s">
        <v>1895</v>
      </c>
      <c r="D835" t="s">
        <v>97</v>
      </c>
      <c r="E835">
        <v>1433309580</v>
      </c>
      <c r="F835">
        <v>878052341</v>
      </c>
      <c r="G835">
        <v>532937251</v>
      </c>
      <c r="H835">
        <v>196153677</v>
      </c>
      <c r="I835">
        <v>131994924</v>
      </c>
      <c r="J835">
        <v>2509977</v>
      </c>
      <c r="K835">
        <v>5424080</v>
      </c>
      <c r="L835">
        <v>83099692</v>
      </c>
      <c r="M835">
        <v>42058852</v>
      </c>
      <c r="N835">
        <v>30891024</v>
      </c>
      <c r="O835">
        <v>15515684</v>
      </c>
      <c r="P835">
        <v>274</v>
      </c>
      <c r="Q835" t="s">
        <v>1896</v>
      </c>
    </row>
    <row r="836" spans="1:17" x14ac:dyDescent="0.3">
      <c r="A836" t="s">
        <v>73</v>
      </c>
      <c r="B836" t="str">
        <f>"300490"</f>
        <v>300490</v>
      </c>
      <c r="C836" t="s">
        <v>1897</v>
      </c>
      <c r="D836" t="s">
        <v>161</v>
      </c>
      <c r="E836">
        <v>1428443343</v>
      </c>
      <c r="F836">
        <v>905758641</v>
      </c>
      <c r="G836">
        <v>883156214</v>
      </c>
      <c r="H836">
        <v>919768943</v>
      </c>
      <c r="I836">
        <v>565768659</v>
      </c>
      <c r="J836">
        <v>292067423</v>
      </c>
      <c r="K836">
        <v>220446377</v>
      </c>
      <c r="L836">
        <v>184068663</v>
      </c>
      <c r="M836">
        <v>0</v>
      </c>
      <c r="P836">
        <v>161</v>
      </c>
      <c r="Q836" t="s">
        <v>1898</v>
      </c>
    </row>
    <row r="837" spans="1:17" x14ac:dyDescent="0.3">
      <c r="A837" t="s">
        <v>17</v>
      </c>
      <c r="B837" t="str">
        <f>"600004"</f>
        <v>600004</v>
      </c>
      <c r="C837" t="s">
        <v>1899</v>
      </c>
      <c r="D837" t="s">
        <v>1900</v>
      </c>
      <c r="E837">
        <v>1424650947</v>
      </c>
      <c r="F837">
        <v>1310896866</v>
      </c>
      <c r="G837">
        <v>740188109</v>
      </c>
      <c r="H837">
        <v>1393441322</v>
      </c>
      <c r="I837">
        <v>1346254402</v>
      </c>
      <c r="J837">
        <v>1148185400</v>
      </c>
      <c r="K837">
        <v>937887932</v>
      </c>
      <c r="L837">
        <v>1051645934</v>
      </c>
      <c r="M837">
        <v>910700869</v>
      </c>
      <c r="N837">
        <v>939769184</v>
      </c>
      <c r="O837">
        <v>934291877</v>
      </c>
      <c r="P837">
        <v>1892</v>
      </c>
      <c r="Q837" t="s">
        <v>1901</v>
      </c>
    </row>
    <row r="838" spans="1:17" x14ac:dyDescent="0.3">
      <c r="A838" t="s">
        <v>17</v>
      </c>
      <c r="B838" t="str">
        <f>"600515"</f>
        <v>600515</v>
      </c>
      <c r="C838" t="s">
        <v>1902</v>
      </c>
      <c r="D838" t="s">
        <v>27</v>
      </c>
      <c r="E838">
        <v>1422976488</v>
      </c>
      <c r="F838">
        <v>1714068884</v>
      </c>
      <c r="G838">
        <v>3090104982</v>
      </c>
      <c r="H838">
        <v>3770218480</v>
      </c>
      <c r="I838">
        <v>2619732712</v>
      </c>
      <c r="J838">
        <v>1790501586</v>
      </c>
      <c r="K838">
        <v>107626256</v>
      </c>
      <c r="L838">
        <v>53382626</v>
      </c>
      <c r="M838">
        <v>81199638</v>
      </c>
      <c r="N838">
        <v>83129042</v>
      </c>
      <c r="O838">
        <v>40120180</v>
      </c>
      <c r="P838">
        <v>163</v>
      </c>
      <c r="Q838" t="s">
        <v>1903</v>
      </c>
    </row>
    <row r="839" spans="1:17" x14ac:dyDescent="0.3">
      <c r="A839" t="s">
        <v>73</v>
      </c>
      <c r="B839" t="str">
        <f>"300769"</f>
        <v>300769</v>
      </c>
      <c r="C839" t="s">
        <v>1904</v>
      </c>
      <c r="D839" t="s">
        <v>561</v>
      </c>
      <c r="E839">
        <v>1421212302</v>
      </c>
      <c r="F839">
        <v>313248880</v>
      </c>
      <c r="G839">
        <v>216904582</v>
      </c>
      <c r="H839">
        <v>198046150</v>
      </c>
      <c r="I839">
        <v>0</v>
      </c>
      <c r="P839">
        <v>325</v>
      </c>
      <c r="Q839" t="s">
        <v>1905</v>
      </c>
    </row>
    <row r="840" spans="1:17" x14ac:dyDescent="0.3">
      <c r="A840" t="s">
        <v>73</v>
      </c>
      <c r="B840" t="str">
        <f>"000723"</f>
        <v>000723</v>
      </c>
      <c r="C840" t="s">
        <v>1906</v>
      </c>
      <c r="D840" t="s">
        <v>1651</v>
      </c>
      <c r="E840">
        <v>1417732675</v>
      </c>
      <c r="F840">
        <v>2567744219</v>
      </c>
      <c r="G840">
        <v>2247652045</v>
      </c>
      <c r="H840">
        <v>2694827394</v>
      </c>
      <c r="I840">
        <v>1727159560</v>
      </c>
      <c r="J840">
        <v>1184705362</v>
      </c>
      <c r="K840">
        <v>1656966683</v>
      </c>
      <c r="L840">
        <v>433748824</v>
      </c>
      <c r="M840">
        <v>119646830</v>
      </c>
      <c r="N840">
        <v>165737263</v>
      </c>
      <c r="O840">
        <v>143894394</v>
      </c>
      <c r="P840">
        <v>673</v>
      </c>
      <c r="Q840" t="s">
        <v>1907</v>
      </c>
    </row>
    <row r="841" spans="1:17" x14ac:dyDescent="0.3">
      <c r="A841" t="s">
        <v>73</v>
      </c>
      <c r="B841" t="str">
        <f>"002101"</f>
        <v>002101</v>
      </c>
      <c r="C841" t="s">
        <v>1908</v>
      </c>
      <c r="D841" t="s">
        <v>722</v>
      </c>
      <c r="E841">
        <v>1415592431</v>
      </c>
      <c r="F841">
        <v>1456210935</v>
      </c>
      <c r="G841">
        <v>710437857</v>
      </c>
      <c r="H841">
        <v>1482719479</v>
      </c>
      <c r="I841">
        <v>1477282763</v>
      </c>
      <c r="J841">
        <v>823356323</v>
      </c>
      <c r="K841">
        <v>692565845</v>
      </c>
      <c r="L841">
        <v>661937379</v>
      </c>
      <c r="M841">
        <v>642182054</v>
      </c>
      <c r="N841">
        <v>454313252</v>
      </c>
      <c r="O841">
        <v>392708802</v>
      </c>
      <c r="P841">
        <v>267</v>
      </c>
      <c r="Q841" t="s">
        <v>1909</v>
      </c>
    </row>
    <row r="842" spans="1:17" x14ac:dyDescent="0.3">
      <c r="A842" t="s">
        <v>17</v>
      </c>
      <c r="B842" t="str">
        <f>"600810"</f>
        <v>600810</v>
      </c>
      <c r="C842" t="s">
        <v>1910</v>
      </c>
      <c r="D842" t="s">
        <v>1911</v>
      </c>
      <c r="E842">
        <v>1415376482</v>
      </c>
      <c r="F842">
        <v>1518944565</v>
      </c>
      <c r="G842">
        <v>1282957685</v>
      </c>
      <c r="H842">
        <v>1552430081</v>
      </c>
      <c r="I842">
        <v>1212367743</v>
      </c>
      <c r="J842">
        <v>1510796062</v>
      </c>
      <c r="K842">
        <v>560891689</v>
      </c>
      <c r="L842">
        <v>1038745913</v>
      </c>
      <c r="M842">
        <v>947389825</v>
      </c>
      <c r="N842">
        <v>829296002</v>
      </c>
      <c r="O842">
        <v>837442895</v>
      </c>
      <c r="P842">
        <v>354</v>
      </c>
      <c r="Q842" t="s">
        <v>1912</v>
      </c>
    </row>
    <row r="843" spans="1:17" x14ac:dyDescent="0.3">
      <c r="A843" t="s">
        <v>73</v>
      </c>
      <c r="B843" t="str">
        <f>"002285"</f>
        <v>002285</v>
      </c>
      <c r="C843" t="s">
        <v>1913</v>
      </c>
      <c r="D843" t="s">
        <v>1914</v>
      </c>
      <c r="E843">
        <v>1415280224</v>
      </c>
      <c r="F843">
        <v>1459586066</v>
      </c>
      <c r="G843">
        <v>1117478514</v>
      </c>
      <c r="H843">
        <v>1373059903</v>
      </c>
      <c r="I843">
        <v>1611822000</v>
      </c>
      <c r="J843">
        <v>916260392</v>
      </c>
      <c r="K843">
        <v>749843384</v>
      </c>
      <c r="L843">
        <v>669808718</v>
      </c>
      <c r="M843">
        <v>446788483</v>
      </c>
      <c r="N843">
        <v>336086465</v>
      </c>
      <c r="O843">
        <v>212485039</v>
      </c>
      <c r="P843">
        <v>477</v>
      </c>
      <c r="Q843" t="s">
        <v>1915</v>
      </c>
    </row>
    <row r="844" spans="1:17" x14ac:dyDescent="0.3">
      <c r="A844" t="s">
        <v>73</v>
      </c>
      <c r="B844" t="str">
        <f>"301126"</f>
        <v>301126</v>
      </c>
      <c r="C844" t="s">
        <v>1916</v>
      </c>
      <c r="D844" t="s">
        <v>50</v>
      </c>
      <c r="E844">
        <v>1411932581</v>
      </c>
      <c r="P844">
        <v>14</v>
      </c>
      <c r="Q844" t="s">
        <v>1917</v>
      </c>
    </row>
    <row r="845" spans="1:17" x14ac:dyDescent="0.3">
      <c r="A845" t="s">
        <v>17</v>
      </c>
      <c r="B845" t="str">
        <f>"600676"</f>
        <v>600676</v>
      </c>
      <c r="C845" t="s">
        <v>1918</v>
      </c>
      <c r="D845" t="s">
        <v>466</v>
      </c>
      <c r="E845">
        <v>1410189028</v>
      </c>
      <c r="F845">
        <v>1376498278</v>
      </c>
      <c r="G845">
        <v>1167485186</v>
      </c>
      <c r="H845">
        <v>1210363440</v>
      </c>
      <c r="I845">
        <v>1116177651</v>
      </c>
      <c r="J845">
        <v>1147020545</v>
      </c>
      <c r="K845">
        <v>915460236</v>
      </c>
      <c r="L845">
        <v>980412834</v>
      </c>
      <c r="M845">
        <v>1053099330</v>
      </c>
      <c r="N845">
        <v>997007297</v>
      </c>
      <c r="O845">
        <v>811740823</v>
      </c>
      <c r="P845">
        <v>88</v>
      </c>
      <c r="Q845" t="s">
        <v>1919</v>
      </c>
    </row>
    <row r="846" spans="1:17" x14ac:dyDescent="0.3">
      <c r="A846" t="s">
        <v>73</v>
      </c>
      <c r="B846" t="str">
        <f>"000719"</f>
        <v>000719</v>
      </c>
      <c r="C846" t="s">
        <v>1920</v>
      </c>
      <c r="D846" t="s">
        <v>1921</v>
      </c>
      <c r="E846">
        <v>1406310284</v>
      </c>
      <c r="F846">
        <v>1597675494</v>
      </c>
      <c r="G846">
        <v>1503444159</v>
      </c>
      <c r="H846">
        <v>1252976641</v>
      </c>
      <c r="I846">
        <v>1288018352</v>
      </c>
      <c r="J846">
        <v>1206977925</v>
      </c>
      <c r="K846">
        <v>1114273283</v>
      </c>
      <c r="L846">
        <v>973693307</v>
      </c>
      <c r="M846">
        <v>467408644</v>
      </c>
      <c r="N846">
        <v>446314682</v>
      </c>
      <c r="O846">
        <v>291706271</v>
      </c>
      <c r="P846">
        <v>695</v>
      </c>
      <c r="Q846" t="s">
        <v>1922</v>
      </c>
    </row>
    <row r="847" spans="1:17" x14ac:dyDescent="0.3">
      <c r="A847" t="s">
        <v>73</v>
      </c>
      <c r="B847" t="str">
        <f>"000035"</f>
        <v>000035</v>
      </c>
      <c r="C847" t="s">
        <v>1923</v>
      </c>
      <c r="D847" t="s">
        <v>623</v>
      </c>
      <c r="E847">
        <v>1405631475</v>
      </c>
      <c r="F847">
        <v>5994547615</v>
      </c>
      <c r="G847">
        <v>5791576595</v>
      </c>
      <c r="H847">
        <v>5356394535</v>
      </c>
      <c r="I847">
        <v>495968526</v>
      </c>
      <c r="J847">
        <v>219745921</v>
      </c>
      <c r="K847">
        <v>179837519</v>
      </c>
      <c r="L847">
        <v>134412336</v>
      </c>
      <c r="M847">
        <v>0</v>
      </c>
      <c r="N847">
        <v>0</v>
      </c>
      <c r="O847">
        <v>13506730</v>
      </c>
      <c r="P847">
        <v>198</v>
      </c>
      <c r="Q847" t="s">
        <v>1924</v>
      </c>
    </row>
    <row r="848" spans="1:17" x14ac:dyDescent="0.3">
      <c r="A848" t="s">
        <v>73</v>
      </c>
      <c r="B848" t="str">
        <f>"002851"</f>
        <v>002851</v>
      </c>
      <c r="C848" t="s">
        <v>1925</v>
      </c>
      <c r="D848" t="s">
        <v>747</v>
      </c>
      <c r="E848">
        <v>1405419400</v>
      </c>
      <c r="F848">
        <v>890146284</v>
      </c>
      <c r="G848">
        <v>642236648</v>
      </c>
      <c r="H848">
        <v>669316689</v>
      </c>
      <c r="I848">
        <v>389872838</v>
      </c>
      <c r="J848">
        <v>275561424</v>
      </c>
      <c r="P848">
        <v>565</v>
      </c>
      <c r="Q848" t="s">
        <v>1926</v>
      </c>
    </row>
    <row r="849" spans="1:17" x14ac:dyDescent="0.3">
      <c r="A849" t="s">
        <v>73</v>
      </c>
      <c r="B849" t="str">
        <f>"002434"</f>
        <v>002434</v>
      </c>
      <c r="C849" t="s">
        <v>1927</v>
      </c>
      <c r="D849" t="s">
        <v>122</v>
      </c>
      <c r="E849">
        <v>1403295057</v>
      </c>
      <c r="F849">
        <v>1371199635</v>
      </c>
      <c r="G849">
        <v>1445478189</v>
      </c>
      <c r="H849">
        <v>1259314581</v>
      </c>
      <c r="I849">
        <v>1124241750</v>
      </c>
      <c r="J849">
        <v>1478982458</v>
      </c>
      <c r="K849">
        <v>966999405</v>
      </c>
      <c r="L849">
        <v>384826516</v>
      </c>
      <c r="M849">
        <v>303436706</v>
      </c>
      <c r="N849">
        <v>288478162</v>
      </c>
      <c r="O849">
        <v>315519399</v>
      </c>
      <c r="P849">
        <v>238</v>
      </c>
      <c r="Q849" t="s">
        <v>1928</v>
      </c>
    </row>
    <row r="850" spans="1:17" x14ac:dyDescent="0.3">
      <c r="A850" t="s">
        <v>73</v>
      </c>
      <c r="B850" t="str">
        <f>"000968"</f>
        <v>000968</v>
      </c>
      <c r="C850" t="s">
        <v>1929</v>
      </c>
      <c r="D850" t="s">
        <v>1930</v>
      </c>
      <c r="E850">
        <v>1402667103</v>
      </c>
      <c r="F850">
        <v>1447853781</v>
      </c>
      <c r="G850">
        <v>1602655186</v>
      </c>
      <c r="H850">
        <v>1407688049</v>
      </c>
      <c r="I850">
        <v>1169504239</v>
      </c>
      <c r="J850">
        <v>1097241229</v>
      </c>
      <c r="K850">
        <v>405172566</v>
      </c>
      <c r="L850">
        <v>487783069</v>
      </c>
      <c r="M850">
        <v>480828912</v>
      </c>
      <c r="N850">
        <v>306991169</v>
      </c>
      <c r="O850">
        <v>725524242</v>
      </c>
      <c r="P850">
        <v>244</v>
      </c>
      <c r="Q850" t="s">
        <v>1931</v>
      </c>
    </row>
    <row r="851" spans="1:17" x14ac:dyDescent="0.3">
      <c r="A851" t="s">
        <v>17</v>
      </c>
      <c r="B851" t="str">
        <f>"601098"</f>
        <v>601098</v>
      </c>
      <c r="C851" t="s">
        <v>1932</v>
      </c>
      <c r="D851" t="s">
        <v>1316</v>
      </c>
      <c r="E851">
        <v>1398762833</v>
      </c>
      <c r="F851">
        <v>1589318546</v>
      </c>
      <c r="G851">
        <v>1782138303</v>
      </c>
      <c r="H851">
        <v>1848421736</v>
      </c>
      <c r="I851">
        <v>1683875500</v>
      </c>
      <c r="J851">
        <v>1278782799</v>
      </c>
      <c r="K851">
        <v>1155002189</v>
      </c>
      <c r="L851">
        <v>1257816080</v>
      </c>
      <c r="M851">
        <v>1040793987</v>
      </c>
      <c r="N851">
        <v>685574925</v>
      </c>
      <c r="O851">
        <v>745283899</v>
      </c>
      <c r="P851">
        <v>882</v>
      </c>
      <c r="Q851" t="s">
        <v>1933</v>
      </c>
    </row>
    <row r="852" spans="1:17" x14ac:dyDescent="0.3">
      <c r="A852" t="s">
        <v>17</v>
      </c>
      <c r="B852" t="str">
        <f>"600336"</f>
        <v>600336</v>
      </c>
      <c r="C852" t="s">
        <v>1934</v>
      </c>
      <c r="D852" t="s">
        <v>195</v>
      </c>
      <c r="E852">
        <v>1397491782</v>
      </c>
      <c r="F852">
        <v>1143819779</v>
      </c>
      <c r="G852">
        <v>1247610948</v>
      </c>
      <c r="H852">
        <v>880214757</v>
      </c>
      <c r="I852">
        <v>663280042</v>
      </c>
      <c r="J852">
        <v>500102384</v>
      </c>
      <c r="K852">
        <v>415742812</v>
      </c>
      <c r="L852">
        <v>251634846</v>
      </c>
      <c r="M852">
        <v>208301057</v>
      </c>
      <c r="N852">
        <v>253475161</v>
      </c>
      <c r="O852">
        <v>193610575</v>
      </c>
      <c r="P852">
        <v>223</v>
      </c>
      <c r="Q852" t="s">
        <v>1935</v>
      </c>
    </row>
    <row r="853" spans="1:17" x14ac:dyDescent="0.3">
      <c r="A853" t="s">
        <v>17</v>
      </c>
      <c r="B853" t="str">
        <f>"688036"</f>
        <v>688036</v>
      </c>
      <c r="C853" t="s">
        <v>1936</v>
      </c>
      <c r="D853" t="s">
        <v>1937</v>
      </c>
      <c r="E853">
        <v>1397168349</v>
      </c>
      <c r="F853">
        <v>921617728</v>
      </c>
      <c r="G853">
        <v>560269343</v>
      </c>
      <c r="H853">
        <v>0</v>
      </c>
      <c r="P853">
        <v>596</v>
      </c>
      <c r="Q853" t="s">
        <v>1938</v>
      </c>
    </row>
    <row r="854" spans="1:17" x14ac:dyDescent="0.3">
      <c r="A854" t="s">
        <v>17</v>
      </c>
      <c r="B854" t="str">
        <f>"600588"</f>
        <v>600588</v>
      </c>
      <c r="C854" t="s">
        <v>1939</v>
      </c>
      <c r="D854" t="s">
        <v>404</v>
      </c>
      <c r="E854">
        <v>1394457640</v>
      </c>
      <c r="F854">
        <v>1075241434</v>
      </c>
      <c r="G854">
        <v>1215595617</v>
      </c>
      <c r="H854">
        <v>1342943370</v>
      </c>
      <c r="I854">
        <v>1535303931</v>
      </c>
      <c r="J854">
        <v>1614391582</v>
      </c>
      <c r="K854">
        <v>1568754430</v>
      </c>
      <c r="L854">
        <v>1462111571</v>
      </c>
      <c r="M854">
        <v>1417472566</v>
      </c>
      <c r="N854">
        <v>1335858122</v>
      </c>
      <c r="O854">
        <v>1228728984</v>
      </c>
      <c r="P854">
        <v>4576</v>
      </c>
      <c r="Q854" t="s">
        <v>1940</v>
      </c>
    </row>
    <row r="855" spans="1:17" x14ac:dyDescent="0.3">
      <c r="A855" t="s">
        <v>17</v>
      </c>
      <c r="B855" t="str">
        <f>"603081"</f>
        <v>603081</v>
      </c>
      <c r="C855" t="s">
        <v>1941</v>
      </c>
      <c r="D855" t="s">
        <v>258</v>
      </c>
      <c r="E855">
        <v>1394279954</v>
      </c>
      <c r="F855">
        <v>1059782804</v>
      </c>
      <c r="G855">
        <v>786048725</v>
      </c>
      <c r="H855">
        <v>897021597</v>
      </c>
      <c r="I855">
        <v>920841426</v>
      </c>
      <c r="J855">
        <v>570066246</v>
      </c>
      <c r="K855">
        <v>0</v>
      </c>
      <c r="P855">
        <v>144</v>
      </c>
      <c r="Q855" t="s">
        <v>1942</v>
      </c>
    </row>
    <row r="856" spans="1:17" x14ac:dyDescent="0.3">
      <c r="A856" t="s">
        <v>73</v>
      </c>
      <c r="B856" t="str">
        <f>"002138"</f>
        <v>002138</v>
      </c>
      <c r="C856" t="s">
        <v>1943</v>
      </c>
      <c r="D856" t="s">
        <v>1944</v>
      </c>
      <c r="E856">
        <v>1391954338</v>
      </c>
      <c r="F856">
        <v>1279958884</v>
      </c>
      <c r="G856">
        <v>845744250</v>
      </c>
      <c r="H856">
        <v>787030542</v>
      </c>
      <c r="I856">
        <v>701871469</v>
      </c>
      <c r="J856">
        <v>580622735</v>
      </c>
      <c r="K856">
        <v>492332179</v>
      </c>
      <c r="L856">
        <v>351194493</v>
      </c>
      <c r="M856">
        <v>321508040</v>
      </c>
      <c r="N856">
        <v>260233132</v>
      </c>
      <c r="O856">
        <v>163781181</v>
      </c>
      <c r="P856">
        <v>1065</v>
      </c>
      <c r="Q856" t="s">
        <v>1945</v>
      </c>
    </row>
    <row r="857" spans="1:17" x14ac:dyDescent="0.3">
      <c r="A857" t="s">
        <v>73</v>
      </c>
      <c r="B857" t="str">
        <f>"000976"</f>
        <v>000976</v>
      </c>
      <c r="C857" t="s">
        <v>1946</v>
      </c>
      <c r="D857" t="s">
        <v>47</v>
      </c>
      <c r="E857">
        <v>1389605498</v>
      </c>
      <c r="F857">
        <v>935379664</v>
      </c>
      <c r="G857">
        <v>1133466350</v>
      </c>
      <c r="H857">
        <v>0</v>
      </c>
      <c r="I857">
        <v>785752575</v>
      </c>
      <c r="J857">
        <v>599590803</v>
      </c>
      <c r="K857">
        <v>404099137</v>
      </c>
      <c r="L857">
        <v>20283420</v>
      </c>
      <c r="M857">
        <v>14155222</v>
      </c>
      <c r="N857">
        <v>5765796</v>
      </c>
      <c r="O857">
        <v>7464540</v>
      </c>
      <c r="P857">
        <v>146</v>
      </c>
      <c r="Q857" t="s">
        <v>1947</v>
      </c>
    </row>
    <row r="858" spans="1:17" x14ac:dyDescent="0.3">
      <c r="A858" t="s">
        <v>73</v>
      </c>
      <c r="B858" t="str">
        <f>"000969"</f>
        <v>000969</v>
      </c>
      <c r="C858" t="s">
        <v>1948</v>
      </c>
      <c r="D858" t="s">
        <v>1949</v>
      </c>
      <c r="E858">
        <v>1389030150</v>
      </c>
      <c r="F858">
        <v>1168719681</v>
      </c>
      <c r="G858">
        <v>1121213645</v>
      </c>
      <c r="H858">
        <v>1374308860</v>
      </c>
      <c r="I858">
        <v>1352760454</v>
      </c>
      <c r="J858">
        <v>1262834000</v>
      </c>
      <c r="K858">
        <v>1159669611</v>
      </c>
      <c r="L858">
        <v>1157173189</v>
      </c>
      <c r="M858">
        <v>1009871493</v>
      </c>
      <c r="N858">
        <v>828150770</v>
      </c>
      <c r="O858">
        <v>835318551</v>
      </c>
      <c r="P858">
        <v>224</v>
      </c>
      <c r="Q858" t="s">
        <v>1950</v>
      </c>
    </row>
    <row r="859" spans="1:17" x14ac:dyDescent="0.3">
      <c r="A859" t="s">
        <v>17</v>
      </c>
      <c r="B859" t="str">
        <f>"601311"</f>
        <v>601311</v>
      </c>
      <c r="C859" t="s">
        <v>1951</v>
      </c>
      <c r="D859" t="s">
        <v>1711</v>
      </c>
      <c r="E859">
        <v>1383458471</v>
      </c>
      <c r="F859">
        <v>1760966511</v>
      </c>
      <c r="G859">
        <v>1064257940</v>
      </c>
      <c r="H859">
        <v>1627395041</v>
      </c>
      <c r="I859">
        <v>1430507532</v>
      </c>
      <c r="J859">
        <v>1009079059</v>
      </c>
      <c r="K859">
        <v>824633411</v>
      </c>
      <c r="L859">
        <v>741902882</v>
      </c>
      <c r="M859">
        <v>496369052</v>
      </c>
      <c r="N859">
        <v>446666520</v>
      </c>
      <c r="O859">
        <v>398032832</v>
      </c>
      <c r="P859">
        <v>339</v>
      </c>
      <c r="Q859" t="s">
        <v>1952</v>
      </c>
    </row>
    <row r="860" spans="1:17" x14ac:dyDescent="0.3">
      <c r="A860" t="s">
        <v>17</v>
      </c>
      <c r="B860" t="str">
        <f>"600085"</f>
        <v>600085</v>
      </c>
      <c r="C860" t="s">
        <v>1953</v>
      </c>
      <c r="D860" t="s">
        <v>215</v>
      </c>
      <c r="E860">
        <v>1381863768</v>
      </c>
      <c r="F860">
        <v>1360837179</v>
      </c>
      <c r="G860">
        <v>1469187800</v>
      </c>
      <c r="H860">
        <v>1608419122</v>
      </c>
      <c r="I860">
        <v>1660584878</v>
      </c>
      <c r="J860">
        <v>1596727348</v>
      </c>
      <c r="K860">
        <v>1230270767</v>
      </c>
      <c r="L860">
        <v>785108055</v>
      </c>
      <c r="M860">
        <v>718130624</v>
      </c>
      <c r="N860">
        <v>406027128</v>
      </c>
      <c r="O860">
        <v>414287636</v>
      </c>
      <c r="P860">
        <v>2030</v>
      </c>
      <c r="Q860" t="s">
        <v>1954</v>
      </c>
    </row>
    <row r="861" spans="1:17" x14ac:dyDescent="0.3">
      <c r="A861" t="s">
        <v>73</v>
      </c>
      <c r="B861" t="str">
        <f>"300523"</f>
        <v>300523</v>
      </c>
      <c r="C861" t="s">
        <v>1955</v>
      </c>
      <c r="D861" t="s">
        <v>302</v>
      </c>
      <c r="E861">
        <v>1380077012</v>
      </c>
      <c r="F861">
        <v>1219087174</v>
      </c>
      <c r="G861">
        <v>1294316317</v>
      </c>
      <c r="H861">
        <v>771147099</v>
      </c>
      <c r="I861">
        <v>320797867</v>
      </c>
      <c r="J861">
        <v>222219045</v>
      </c>
      <c r="K861">
        <v>0</v>
      </c>
      <c r="P861">
        <v>135</v>
      </c>
      <c r="Q861" t="s">
        <v>1956</v>
      </c>
    </row>
    <row r="862" spans="1:17" x14ac:dyDescent="0.3">
      <c r="A862" t="s">
        <v>73</v>
      </c>
      <c r="B862" t="str">
        <f>"300388"</f>
        <v>300388</v>
      </c>
      <c r="C862" t="s">
        <v>1957</v>
      </c>
      <c r="D862" t="s">
        <v>308</v>
      </c>
      <c r="E862">
        <v>1375988907</v>
      </c>
      <c r="F862">
        <v>1253077262</v>
      </c>
      <c r="G862">
        <v>1122275714</v>
      </c>
      <c r="H862">
        <v>889988895</v>
      </c>
      <c r="I862">
        <v>686209773</v>
      </c>
      <c r="J862">
        <v>580120921</v>
      </c>
      <c r="K862">
        <v>634848261</v>
      </c>
      <c r="L862">
        <v>303507436</v>
      </c>
      <c r="M862">
        <v>0</v>
      </c>
      <c r="P862">
        <v>225</v>
      </c>
      <c r="Q862" t="s">
        <v>1958</v>
      </c>
    </row>
    <row r="863" spans="1:17" x14ac:dyDescent="0.3">
      <c r="A863" t="s">
        <v>73</v>
      </c>
      <c r="B863" t="str">
        <f>"002127"</f>
        <v>002127</v>
      </c>
      <c r="C863" t="s">
        <v>1959</v>
      </c>
      <c r="D863" t="s">
        <v>1960</v>
      </c>
      <c r="E863">
        <v>1374255073</v>
      </c>
      <c r="F863">
        <v>1265295660</v>
      </c>
      <c r="G863">
        <v>1124578386</v>
      </c>
      <c r="H863">
        <v>880508871</v>
      </c>
      <c r="I863">
        <v>900924354</v>
      </c>
      <c r="J863">
        <v>277897044</v>
      </c>
      <c r="K863">
        <v>318005325</v>
      </c>
      <c r="L863">
        <v>28378002</v>
      </c>
      <c r="M863">
        <v>60893116</v>
      </c>
      <c r="N863">
        <v>48815489</v>
      </c>
      <c r="O863">
        <v>67324014</v>
      </c>
      <c r="P863">
        <v>1745</v>
      </c>
      <c r="Q863" t="s">
        <v>1961</v>
      </c>
    </row>
    <row r="864" spans="1:17" x14ac:dyDescent="0.3">
      <c r="A864" t="s">
        <v>17</v>
      </c>
      <c r="B864" t="str">
        <f>"603212"</f>
        <v>603212</v>
      </c>
      <c r="C864" t="s">
        <v>1962</v>
      </c>
      <c r="D864" t="s">
        <v>919</v>
      </c>
      <c r="E864">
        <v>1373581002</v>
      </c>
      <c r="F864">
        <v>1032736116</v>
      </c>
      <c r="G864">
        <v>822829920</v>
      </c>
      <c r="P864">
        <v>129</v>
      </c>
      <c r="Q864" t="s">
        <v>1963</v>
      </c>
    </row>
    <row r="865" spans="1:17" x14ac:dyDescent="0.3">
      <c r="A865" t="s">
        <v>73</v>
      </c>
      <c r="B865" t="str">
        <f>"000960"</f>
        <v>000960</v>
      </c>
      <c r="C865" t="s">
        <v>1964</v>
      </c>
      <c r="D865" t="s">
        <v>1240</v>
      </c>
      <c r="E865">
        <v>1371476736</v>
      </c>
      <c r="F865">
        <v>1285739842</v>
      </c>
      <c r="G865">
        <v>868959128</v>
      </c>
      <c r="H865">
        <v>909141652</v>
      </c>
      <c r="I865">
        <v>1655122065</v>
      </c>
      <c r="J865">
        <v>1018593797</v>
      </c>
      <c r="K865">
        <v>1068894594</v>
      </c>
      <c r="L865">
        <v>915419937</v>
      </c>
      <c r="M865">
        <v>701875452</v>
      </c>
      <c r="N865">
        <v>512622599</v>
      </c>
      <c r="O865">
        <v>468029667</v>
      </c>
      <c r="P865">
        <v>356</v>
      </c>
      <c r="Q865" t="s">
        <v>1965</v>
      </c>
    </row>
    <row r="866" spans="1:17" x14ac:dyDescent="0.3">
      <c r="A866" t="s">
        <v>17</v>
      </c>
      <c r="B866" t="str">
        <f>"688097"</f>
        <v>688097</v>
      </c>
      <c r="C866" t="s">
        <v>1966</v>
      </c>
      <c r="D866" t="s">
        <v>1967</v>
      </c>
      <c r="E866">
        <v>1370978310</v>
      </c>
      <c r="F866">
        <v>1230609876</v>
      </c>
      <c r="G866">
        <v>611564716</v>
      </c>
      <c r="P866">
        <v>25</v>
      </c>
      <c r="Q866" t="s">
        <v>1968</v>
      </c>
    </row>
    <row r="867" spans="1:17" x14ac:dyDescent="0.3">
      <c r="A867" t="s">
        <v>17</v>
      </c>
      <c r="B867" t="str">
        <f>"600295"</f>
        <v>600295</v>
      </c>
      <c r="C867" t="s">
        <v>1969</v>
      </c>
      <c r="D867" t="s">
        <v>1970</v>
      </c>
      <c r="E867">
        <v>1370309149</v>
      </c>
      <c r="F867">
        <v>1047910573</v>
      </c>
      <c r="G867">
        <v>1384112624</v>
      </c>
      <c r="H867">
        <v>1569218645</v>
      </c>
      <c r="I867">
        <v>1980463917</v>
      </c>
      <c r="J867">
        <v>1577238240</v>
      </c>
      <c r="K867">
        <v>2065937326</v>
      </c>
      <c r="L867">
        <v>1972771225</v>
      </c>
      <c r="M867">
        <v>1908398189</v>
      </c>
      <c r="N867">
        <v>1941987881</v>
      </c>
      <c r="O867">
        <v>1427957867</v>
      </c>
      <c r="P867">
        <v>435</v>
      </c>
      <c r="Q867" t="s">
        <v>1971</v>
      </c>
    </row>
    <row r="868" spans="1:17" x14ac:dyDescent="0.3">
      <c r="A868" t="s">
        <v>17</v>
      </c>
      <c r="B868" t="str">
        <f>"603186"</f>
        <v>603186</v>
      </c>
      <c r="C868" t="s">
        <v>1972</v>
      </c>
      <c r="D868" t="s">
        <v>418</v>
      </c>
      <c r="E868">
        <v>1369207533</v>
      </c>
      <c r="F868">
        <v>1048522899</v>
      </c>
      <c r="G868">
        <v>695657918</v>
      </c>
      <c r="H868">
        <v>685766656</v>
      </c>
      <c r="I868">
        <v>608575637</v>
      </c>
      <c r="J868">
        <v>488074367</v>
      </c>
      <c r="P868">
        <v>328</v>
      </c>
      <c r="Q868" t="s">
        <v>1973</v>
      </c>
    </row>
    <row r="869" spans="1:17" x14ac:dyDescent="0.3">
      <c r="A869" t="s">
        <v>73</v>
      </c>
      <c r="B869" t="str">
        <f>"000507"</f>
        <v>000507</v>
      </c>
      <c r="C869" t="s">
        <v>1974</v>
      </c>
      <c r="D869" t="s">
        <v>706</v>
      </c>
      <c r="E869">
        <v>1366719421</v>
      </c>
      <c r="F869">
        <v>732601034</v>
      </c>
      <c r="G869">
        <v>457864913</v>
      </c>
      <c r="H869">
        <v>420928319</v>
      </c>
      <c r="I869">
        <v>373296189</v>
      </c>
      <c r="J869">
        <v>308604776</v>
      </c>
      <c r="K869">
        <v>371704432</v>
      </c>
      <c r="L869">
        <v>391334290</v>
      </c>
      <c r="M869">
        <v>142488840</v>
      </c>
      <c r="N869">
        <v>112927286</v>
      </c>
      <c r="O869">
        <v>90256750</v>
      </c>
      <c r="P869">
        <v>185</v>
      </c>
      <c r="Q869" t="s">
        <v>1975</v>
      </c>
    </row>
    <row r="870" spans="1:17" x14ac:dyDescent="0.3">
      <c r="A870" t="s">
        <v>17</v>
      </c>
      <c r="B870" t="str">
        <f>"600572"</f>
        <v>600572</v>
      </c>
      <c r="C870" t="s">
        <v>1976</v>
      </c>
      <c r="D870" t="s">
        <v>215</v>
      </c>
      <c r="E870">
        <v>1360484564</v>
      </c>
      <c r="F870">
        <v>1250153117</v>
      </c>
      <c r="G870">
        <v>1479784704</v>
      </c>
      <c r="H870">
        <v>1453044593</v>
      </c>
      <c r="I870">
        <v>1098360433</v>
      </c>
      <c r="J870">
        <v>599753315</v>
      </c>
      <c r="K870">
        <v>1247182954</v>
      </c>
      <c r="L870">
        <v>533918366</v>
      </c>
      <c r="M870">
        <v>505637702</v>
      </c>
      <c r="N870">
        <v>400826950</v>
      </c>
      <c r="O870">
        <v>285453178</v>
      </c>
      <c r="P870">
        <v>467</v>
      </c>
      <c r="Q870" t="s">
        <v>1977</v>
      </c>
    </row>
    <row r="871" spans="1:17" x14ac:dyDescent="0.3">
      <c r="A871" t="s">
        <v>17</v>
      </c>
      <c r="B871" t="str">
        <f>"603869"</f>
        <v>603869</v>
      </c>
      <c r="C871" t="s">
        <v>1978</v>
      </c>
      <c r="D871" t="s">
        <v>302</v>
      </c>
      <c r="E871">
        <v>1358985300</v>
      </c>
      <c r="F871">
        <v>1562357880</v>
      </c>
      <c r="G871">
        <v>478845600</v>
      </c>
      <c r="H871">
        <v>1475232768</v>
      </c>
      <c r="I871">
        <v>1313252991</v>
      </c>
      <c r="J871">
        <v>965757516</v>
      </c>
      <c r="K871">
        <v>18265536</v>
      </c>
      <c r="L871">
        <v>16840004</v>
      </c>
      <c r="M871">
        <v>0</v>
      </c>
      <c r="P871">
        <v>143</v>
      </c>
      <c r="Q871" t="s">
        <v>1979</v>
      </c>
    </row>
    <row r="872" spans="1:17" x14ac:dyDescent="0.3">
      <c r="A872" t="s">
        <v>17</v>
      </c>
      <c r="B872" t="str">
        <f>"603179"</f>
        <v>603179</v>
      </c>
      <c r="C872" t="s">
        <v>1980</v>
      </c>
      <c r="D872" t="s">
        <v>442</v>
      </c>
      <c r="E872">
        <v>1358627332</v>
      </c>
      <c r="F872">
        <v>1168410327</v>
      </c>
      <c r="G872">
        <v>681433242</v>
      </c>
      <c r="H872">
        <v>741244280</v>
      </c>
      <c r="I872">
        <v>705268843</v>
      </c>
      <c r="J872">
        <v>623898158</v>
      </c>
      <c r="P872">
        <v>302</v>
      </c>
      <c r="Q872" t="s">
        <v>1981</v>
      </c>
    </row>
    <row r="873" spans="1:17" x14ac:dyDescent="0.3">
      <c r="A873" t="s">
        <v>17</v>
      </c>
      <c r="B873" t="str">
        <f>"603858"</f>
        <v>603858</v>
      </c>
      <c r="C873" t="s">
        <v>1982</v>
      </c>
      <c r="D873" t="s">
        <v>215</v>
      </c>
      <c r="E873">
        <v>1357688041</v>
      </c>
      <c r="F873">
        <v>1150622791</v>
      </c>
      <c r="G873">
        <v>1048827628</v>
      </c>
      <c r="H873">
        <v>1277780478</v>
      </c>
      <c r="I873">
        <v>1297477037</v>
      </c>
      <c r="J873">
        <v>969003062</v>
      </c>
      <c r="P873">
        <v>828</v>
      </c>
      <c r="Q873" t="s">
        <v>1983</v>
      </c>
    </row>
    <row r="874" spans="1:17" x14ac:dyDescent="0.3">
      <c r="A874" t="s">
        <v>73</v>
      </c>
      <c r="B874" t="str">
        <f>"300075"</f>
        <v>300075</v>
      </c>
      <c r="C874" t="s">
        <v>1984</v>
      </c>
      <c r="D874" t="s">
        <v>795</v>
      </c>
      <c r="E874">
        <v>1357095268</v>
      </c>
      <c r="F874">
        <v>1086128729</v>
      </c>
      <c r="G874">
        <v>1174702690</v>
      </c>
      <c r="H874">
        <v>1093996595</v>
      </c>
      <c r="I874">
        <v>969027678</v>
      </c>
      <c r="J874">
        <v>672668937</v>
      </c>
      <c r="K874">
        <v>519609630</v>
      </c>
      <c r="L874">
        <v>370051631</v>
      </c>
      <c r="M874">
        <v>207697866</v>
      </c>
      <c r="N874">
        <v>148503223</v>
      </c>
      <c r="O874">
        <v>79767420</v>
      </c>
      <c r="P874">
        <v>258</v>
      </c>
      <c r="Q874" t="s">
        <v>1985</v>
      </c>
    </row>
    <row r="875" spans="1:17" x14ac:dyDescent="0.3">
      <c r="A875" t="s">
        <v>73</v>
      </c>
      <c r="B875" t="str">
        <f>"300083"</f>
        <v>300083</v>
      </c>
      <c r="C875" t="s">
        <v>1986</v>
      </c>
      <c r="D875" t="s">
        <v>626</v>
      </c>
      <c r="E875">
        <v>1354305918</v>
      </c>
      <c r="F875">
        <v>1479745874</v>
      </c>
      <c r="G875">
        <v>1341114303</v>
      </c>
      <c r="H875">
        <v>1540728334</v>
      </c>
      <c r="I875">
        <v>1425645876</v>
      </c>
      <c r="J875">
        <v>1387810548</v>
      </c>
      <c r="K875">
        <v>1076744873</v>
      </c>
      <c r="L875">
        <v>531088469</v>
      </c>
      <c r="M875">
        <v>461541928</v>
      </c>
      <c r="N875">
        <v>167363643</v>
      </c>
      <c r="O875">
        <v>121380658</v>
      </c>
      <c r="P875">
        <v>487</v>
      </c>
      <c r="Q875" t="s">
        <v>1987</v>
      </c>
    </row>
    <row r="876" spans="1:17" x14ac:dyDescent="0.3">
      <c r="A876" t="s">
        <v>17</v>
      </c>
      <c r="B876" t="str">
        <f>"603690"</f>
        <v>603690</v>
      </c>
      <c r="C876" t="s">
        <v>1988</v>
      </c>
      <c r="D876" t="s">
        <v>1291</v>
      </c>
      <c r="E876">
        <v>1353885175</v>
      </c>
      <c r="F876">
        <v>876881760</v>
      </c>
      <c r="G876">
        <v>747975379</v>
      </c>
      <c r="H876">
        <v>703503170</v>
      </c>
      <c r="I876">
        <v>344807933</v>
      </c>
      <c r="J876">
        <v>256215541</v>
      </c>
      <c r="P876">
        <v>450</v>
      </c>
      <c r="Q876" t="s">
        <v>1989</v>
      </c>
    </row>
    <row r="877" spans="1:17" x14ac:dyDescent="0.3">
      <c r="A877" t="s">
        <v>73</v>
      </c>
      <c r="B877" t="str">
        <f>"000948"</f>
        <v>000948</v>
      </c>
      <c r="C877" t="s">
        <v>1990</v>
      </c>
      <c r="D877" t="s">
        <v>795</v>
      </c>
      <c r="E877">
        <v>1352487769</v>
      </c>
      <c r="F877">
        <v>793670995</v>
      </c>
      <c r="G877">
        <v>742370473</v>
      </c>
      <c r="H877">
        <v>550963771</v>
      </c>
      <c r="I877">
        <v>562432954</v>
      </c>
      <c r="J877">
        <v>442803797</v>
      </c>
      <c r="K877">
        <v>455408184</v>
      </c>
      <c r="L877">
        <v>454986947</v>
      </c>
      <c r="M877">
        <v>415723010</v>
      </c>
      <c r="N877">
        <v>457145920</v>
      </c>
      <c r="O877">
        <v>509140579</v>
      </c>
      <c r="P877">
        <v>213</v>
      </c>
      <c r="Q877" t="s">
        <v>1991</v>
      </c>
    </row>
    <row r="878" spans="1:17" x14ac:dyDescent="0.3">
      <c r="A878" t="s">
        <v>73</v>
      </c>
      <c r="B878" t="str">
        <f>"002239"</f>
        <v>002239</v>
      </c>
      <c r="C878" t="s">
        <v>1992</v>
      </c>
      <c r="D878" t="s">
        <v>442</v>
      </c>
      <c r="E878">
        <v>1351550109</v>
      </c>
      <c r="F878">
        <v>1117152470</v>
      </c>
      <c r="G878">
        <v>837027768</v>
      </c>
      <c r="H878">
        <v>1069887618</v>
      </c>
      <c r="I878">
        <v>1335153491</v>
      </c>
      <c r="J878">
        <v>1347431038</v>
      </c>
      <c r="K878">
        <v>1104213916</v>
      </c>
      <c r="L878">
        <v>95529697</v>
      </c>
      <c r="M878">
        <v>80257118</v>
      </c>
      <c r="N878">
        <v>99375642</v>
      </c>
      <c r="O878">
        <v>75228062</v>
      </c>
      <c r="P878">
        <v>242</v>
      </c>
      <c r="Q878" t="s">
        <v>1993</v>
      </c>
    </row>
    <row r="879" spans="1:17" x14ac:dyDescent="0.3">
      <c r="A879" t="s">
        <v>73</v>
      </c>
      <c r="B879" t="str">
        <f>"002528"</f>
        <v>002528</v>
      </c>
      <c r="C879" t="s">
        <v>1994</v>
      </c>
      <c r="D879" t="s">
        <v>119</v>
      </c>
      <c r="E879">
        <v>1350793734</v>
      </c>
      <c r="F879">
        <v>1915155375</v>
      </c>
      <c r="G879">
        <v>1722542557</v>
      </c>
      <c r="H879">
        <v>1384731274</v>
      </c>
      <c r="I879">
        <v>996180639</v>
      </c>
      <c r="J879">
        <v>655767990</v>
      </c>
      <c r="K879">
        <v>550842857</v>
      </c>
      <c r="L879">
        <v>435580453</v>
      </c>
      <c r="M879">
        <v>247829609</v>
      </c>
      <c r="N879">
        <v>207534695</v>
      </c>
      <c r="O879">
        <v>122719529</v>
      </c>
      <c r="P879">
        <v>169</v>
      </c>
      <c r="Q879" t="s">
        <v>1995</v>
      </c>
    </row>
    <row r="880" spans="1:17" x14ac:dyDescent="0.3">
      <c r="A880" t="s">
        <v>73</v>
      </c>
      <c r="B880" t="str">
        <f>"000301"</f>
        <v>000301</v>
      </c>
      <c r="C880" t="s">
        <v>1996</v>
      </c>
      <c r="D880" t="s">
        <v>36</v>
      </c>
      <c r="E880">
        <v>1349224047</v>
      </c>
      <c r="F880">
        <v>302126228</v>
      </c>
      <c r="G880">
        <v>207191156</v>
      </c>
      <c r="H880">
        <v>267542924</v>
      </c>
      <c r="I880">
        <v>61754648</v>
      </c>
      <c r="J880">
        <v>59900429</v>
      </c>
      <c r="K880">
        <v>50754010</v>
      </c>
      <c r="L880">
        <v>48218148</v>
      </c>
      <c r="M880">
        <v>53994499</v>
      </c>
      <c r="N880">
        <v>54163575</v>
      </c>
      <c r="O880">
        <v>73230028</v>
      </c>
      <c r="P880">
        <v>397</v>
      </c>
      <c r="Q880" t="s">
        <v>1997</v>
      </c>
    </row>
    <row r="881" spans="1:17" x14ac:dyDescent="0.3">
      <c r="A881" t="s">
        <v>17</v>
      </c>
      <c r="B881" t="str">
        <f>"603636"</f>
        <v>603636</v>
      </c>
      <c r="C881" t="s">
        <v>1998</v>
      </c>
      <c r="D881" t="s">
        <v>302</v>
      </c>
      <c r="E881">
        <v>1348493328</v>
      </c>
      <c r="F881">
        <v>801697022</v>
      </c>
      <c r="G881">
        <v>531712238</v>
      </c>
      <c r="H881">
        <v>268380271</v>
      </c>
      <c r="I881">
        <v>271970874</v>
      </c>
      <c r="J881">
        <v>240440886</v>
      </c>
      <c r="K881">
        <v>127750585</v>
      </c>
      <c r="L881">
        <v>104953816</v>
      </c>
      <c r="M881">
        <v>0</v>
      </c>
      <c r="P881">
        <v>202</v>
      </c>
      <c r="Q881" t="s">
        <v>1999</v>
      </c>
    </row>
    <row r="882" spans="1:17" x14ac:dyDescent="0.3">
      <c r="A882" t="s">
        <v>73</v>
      </c>
      <c r="B882" t="str">
        <f>"300408"</f>
        <v>300408</v>
      </c>
      <c r="C882" t="s">
        <v>2000</v>
      </c>
      <c r="D882" t="s">
        <v>1944</v>
      </c>
      <c r="E882">
        <v>1347868088</v>
      </c>
      <c r="F882">
        <v>1233709502</v>
      </c>
      <c r="G882">
        <v>664642067</v>
      </c>
      <c r="H882">
        <v>746472964</v>
      </c>
      <c r="I882">
        <v>1005119732</v>
      </c>
      <c r="J882">
        <v>800489656</v>
      </c>
      <c r="K882">
        <v>879157459</v>
      </c>
      <c r="L882">
        <v>683708843</v>
      </c>
      <c r="M882">
        <v>0</v>
      </c>
      <c r="P882">
        <v>1510</v>
      </c>
      <c r="Q882" t="s">
        <v>2001</v>
      </c>
    </row>
    <row r="883" spans="1:17" x14ac:dyDescent="0.3">
      <c r="A883" t="s">
        <v>17</v>
      </c>
      <c r="B883" t="str">
        <f>"603588"</f>
        <v>603588</v>
      </c>
      <c r="C883" t="s">
        <v>2002</v>
      </c>
      <c r="D883" t="s">
        <v>623</v>
      </c>
      <c r="E883">
        <v>1347370013</v>
      </c>
      <c r="F883">
        <v>636561832</v>
      </c>
      <c r="G883">
        <v>420718648</v>
      </c>
      <c r="H883">
        <v>192631262</v>
      </c>
      <c r="I883">
        <v>169344511</v>
      </c>
      <c r="J883">
        <v>138005803</v>
      </c>
      <c r="K883">
        <v>102990455</v>
      </c>
      <c r="L883">
        <v>61492696</v>
      </c>
      <c r="M883">
        <v>0</v>
      </c>
      <c r="P883">
        <v>580</v>
      </c>
      <c r="Q883" t="s">
        <v>2003</v>
      </c>
    </row>
    <row r="884" spans="1:17" x14ac:dyDescent="0.3">
      <c r="A884" t="s">
        <v>73</v>
      </c>
      <c r="B884" t="str">
        <f>"002925"</f>
        <v>002925</v>
      </c>
      <c r="C884" t="s">
        <v>2004</v>
      </c>
      <c r="D884" t="s">
        <v>42</v>
      </c>
      <c r="E884">
        <v>1345666893</v>
      </c>
      <c r="F884">
        <v>1577077897</v>
      </c>
      <c r="G884">
        <v>913718030</v>
      </c>
      <c r="H884">
        <v>702600497</v>
      </c>
      <c r="I884">
        <v>509827422</v>
      </c>
      <c r="P884">
        <v>1061</v>
      </c>
      <c r="Q884" t="s">
        <v>2005</v>
      </c>
    </row>
    <row r="885" spans="1:17" x14ac:dyDescent="0.3">
      <c r="A885" t="s">
        <v>73</v>
      </c>
      <c r="B885" t="str">
        <f>"002988"</f>
        <v>002988</v>
      </c>
      <c r="C885" t="s">
        <v>2006</v>
      </c>
      <c r="D885" t="s">
        <v>616</v>
      </c>
      <c r="E885">
        <v>1343034771</v>
      </c>
      <c r="F885">
        <v>989605387</v>
      </c>
      <c r="G885">
        <v>698563823</v>
      </c>
      <c r="P885">
        <v>61</v>
      </c>
      <c r="Q885" t="s">
        <v>2007</v>
      </c>
    </row>
    <row r="886" spans="1:17" x14ac:dyDescent="0.3">
      <c r="A886" t="s">
        <v>17</v>
      </c>
      <c r="B886" t="str">
        <f>"688567"</f>
        <v>688567</v>
      </c>
      <c r="C886" t="s">
        <v>2008</v>
      </c>
      <c r="D886" t="s">
        <v>125</v>
      </c>
      <c r="E886">
        <v>1342938532</v>
      </c>
      <c r="F886">
        <v>719494913</v>
      </c>
      <c r="G886">
        <v>1010466791</v>
      </c>
      <c r="P886">
        <v>107</v>
      </c>
      <c r="Q886" t="s">
        <v>2009</v>
      </c>
    </row>
    <row r="887" spans="1:17" x14ac:dyDescent="0.3">
      <c r="A887" t="s">
        <v>17</v>
      </c>
      <c r="B887" t="str">
        <f>"600777"</f>
        <v>600777</v>
      </c>
      <c r="C887" t="s">
        <v>2010</v>
      </c>
      <c r="D887" t="s">
        <v>1930</v>
      </c>
      <c r="E887">
        <v>1342899480</v>
      </c>
      <c r="F887">
        <v>1275962070</v>
      </c>
      <c r="G887">
        <v>430806270</v>
      </c>
      <c r="H887">
        <v>730122801</v>
      </c>
      <c r="I887">
        <v>384245020</v>
      </c>
      <c r="J887">
        <v>15505006</v>
      </c>
      <c r="K887">
        <v>58368141</v>
      </c>
      <c r="L887">
        <v>52356079</v>
      </c>
      <c r="M887">
        <v>106250285</v>
      </c>
      <c r="N887">
        <v>79413905</v>
      </c>
      <c r="O887">
        <v>89708605</v>
      </c>
      <c r="P887">
        <v>212</v>
      </c>
      <c r="Q887" t="s">
        <v>2011</v>
      </c>
    </row>
    <row r="888" spans="1:17" x14ac:dyDescent="0.3">
      <c r="A888" t="s">
        <v>73</v>
      </c>
      <c r="B888" t="str">
        <f>"300123"</f>
        <v>300123</v>
      </c>
      <c r="C888" t="s">
        <v>2012</v>
      </c>
      <c r="D888" t="s">
        <v>502</v>
      </c>
      <c r="E888">
        <v>1341941018</v>
      </c>
      <c r="F888">
        <v>1400931258</v>
      </c>
      <c r="G888">
        <v>1380097565</v>
      </c>
      <c r="H888">
        <v>0</v>
      </c>
      <c r="I888">
        <v>1105284174</v>
      </c>
      <c r="J888">
        <v>202714311</v>
      </c>
      <c r="K888">
        <v>142927430</v>
      </c>
      <c r="L888">
        <v>132278875</v>
      </c>
      <c r="M888">
        <v>119985994</v>
      </c>
      <c r="N888">
        <v>75084788</v>
      </c>
      <c r="O888">
        <v>74107234</v>
      </c>
      <c r="P888">
        <v>232</v>
      </c>
      <c r="Q888" t="s">
        <v>2013</v>
      </c>
    </row>
    <row r="889" spans="1:17" x14ac:dyDescent="0.3">
      <c r="A889" t="s">
        <v>73</v>
      </c>
      <c r="B889" t="str">
        <f>"300057"</f>
        <v>300057</v>
      </c>
      <c r="C889" t="s">
        <v>2014</v>
      </c>
      <c r="D889" t="s">
        <v>616</v>
      </c>
      <c r="E889">
        <v>1337485180</v>
      </c>
      <c r="F889">
        <v>1417018615</v>
      </c>
      <c r="G889">
        <v>1237617191</v>
      </c>
      <c r="H889">
        <v>0</v>
      </c>
      <c r="I889">
        <v>1015974502</v>
      </c>
      <c r="J889">
        <v>742248040</v>
      </c>
      <c r="K889">
        <v>603519660</v>
      </c>
      <c r="L889">
        <v>603768128</v>
      </c>
      <c r="M889">
        <v>550402272</v>
      </c>
      <c r="N889">
        <v>451895504</v>
      </c>
      <c r="O889">
        <v>176846350</v>
      </c>
      <c r="P889">
        <v>438</v>
      </c>
      <c r="Q889" t="s">
        <v>2015</v>
      </c>
    </row>
    <row r="890" spans="1:17" x14ac:dyDescent="0.3">
      <c r="A890" t="s">
        <v>73</v>
      </c>
      <c r="B890" t="str">
        <f>"000885"</f>
        <v>000885</v>
      </c>
      <c r="C890" t="s">
        <v>2016</v>
      </c>
      <c r="D890" t="s">
        <v>1592</v>
      </c>
      <c r="E890">
        <v>1332392291</v>
      </c>
      <c r="F890">
        <v>365537216</v>
      </c>
      <c r="G890">
        <v>109724207</v>
      </c>
      <c r="H890">
        <v>85098912</v>
      </c>
      <c r="I890">
        <v>75111495</v>
      </c>
      <c r="J890">
        <v>81280936</v>
      </c>
      <c r="K890">
        <v>111103663</v>
      </c>
      <c r="L890">
        <v>80810378</v>
      </c>
      <c r="M890">
        <v>84282048</v>
      </c>
      <c r="N890">
        <v>75919804</v>
      </c>
      <c r="O890">
        <v>58701299</v>
      </c>
      <c r="P890">
        <v>236</v>
      </c>
      <c r="Q890" t="s">
        <v>2017</v>
      </c>
    </row>
    <row r="891" spans="1:17" x14ac:dyDescent="0.3">
      <c r="A891" t="s">
        <v>17</v>
      </c>
      <c r="B891" t="str">
        <f>"688707"</f>
        <v>688707</v>
      </c>
      <c r="C891" t="s">
        <v>2018</v>
      </c>
      <c r="D891" t="s">
        <v>561</v>
      </c>
      <c r="E891">
        <v>1331177185</v>
      </c>
      <c r="F891">
        <v>675585786</v>
      </c>
      <c r="P891">
        <v>31</v>
      </c>
      <c r="Q891" t="s">
        <v>2019</v>
      </c>
    </row>
    <row r="892" spans="1:17" x14ac:dyDescent="0.3">
      <c r="A892" t="s">
        <v>73</v>
      </c>
      <c r="B892" t="str">
        <f>"001965"</f>
        <v>001965</v>
      </c>
      <c r="C892" t="s">
        <v>2020</v>
      </c>
      <c r="D892" t="s">
        <v>1592</v>
      </c>
      <c r="E892">
        <v>1330889575</v>
      </c>
      <c r="F892">
        <v>1376099906</v>
      </c>
      <c r="G892">
        <v>1237710359</v>
      </c>
      <c r="H892">
        <v>1700765951</v>
      </c>
      <c r="I892">
        <v>1296729530</v>
      </c>
      <c r="J892">
        <v>0</v>
      </c>
      <c r="P892">
        <v>359</v>
      </c>
      <c r="Q892" t="s">
        <v>2021</v>
      </c>
    </row>
    <row r="893" spans="1:17" x14ac:dyDescent="0.3">
      <c r="A893" t="s">
        <v>73</v>
      </c>
      <c r="B893" t="str">
        <f>"000789"</f>
        <v>000789</v>
      </c>
      <c r="C893" t="s">
        <v>2022</v>
      </c>
      <c r="D893" t="s">
        <v>90</v>
      </c>
      <c r="E893">
        <v>1330481934</v>
      </c>
      <c r="F893">
        <v>835951371</v>
      </c>
      <c r="G893">
        <v>744666645</v>
      </c>
      <c r="H893">
        <v>693898424</v>
      </c>
      <c r="I893">
        <v>693171630</v>
      </c>
      <c r="J893">
        <v>579946107</v>
      </c>
      <c r="K893">
        <v>573181999</v>
      </c>
      <c r="L893">
        <v>552974374</v>
      </c>
      <c r="M893">
        <v>438540411</v>
      </c>
      <c r="N893">
        <v>233612637</v>
      </c>
      <c r="O893">
        <v>152165662</v>
      </c>
      <c r="P893">
        <v>1139</v>
      </c>
      <c r="Q893" t="s">
        <v>2023</v>
      </c>
    </row>
    <row r="894" spans="1:17" x14ac:dyDescent="0.3">
      <c r="A894" t="s">
        <v>17</v>
      </c>
      <c r="B894" t="str">
        <f>"603611"</f>
        <v>603611</v>
      </c>
      <c r="C894" t="s">
        <v>2024</v>
      </c>
      <c r="D894" t="s">
        <v>75</v>
      </c>
      <c r="E894">
        <v>1330106978</v>
      </c>
      <c r="F894">
        <v>1092069748</v>
      </c>
      <c r="G894">
        <v>857138075</v>
      </c>
      <c r="H894">
        <v>554423317</v>
      </c>
      <c r="I894">
        <v>417609471</v>
      </c>
      <c r="J894">
        <v>360801527</v>
      </c>
      <c r="K894">
        <v>165064631</v>
      </c>
      <c r="L894">
        <v>123297684</v>
      </c>
      <c r="M894">
        <v>0</v>
      </c>
      <c r="P894">
        <v>315</v>
      </c>
      <c r="Q894" t="s">
        <v>2025</v>
      </c>
    </row>
    <row r="895" spans="1:17" x14ac:dyDescent="0.3">
      <c r="A895" t="s">
        <v>17</v>
      </c>
      <c r="B895" t="str">
        <f>"600691"</f>
        <v>600691</v>
      </c>
      <c r="C895" t="s">
        <v>2026</v>
      </c>
      <c r="D895" t="s">
        <v>2027</v>
      </c>
      <c r="E895">
        <v>1327324255</v>
      </c>
      <c r="F895">
        <v>1158470635</v>
      </c>
      <c r="G895">
        <v>1179853802</v>
      </c>
      <c r="H895">
        <v>731498569</v>
      </c>
      <c r="I895">
        <v>967836772</v>
      </c>
      <c r="J895">
        <v>1430422386</v>
      </c>
      <c r="K895">
        <v>1564373632</v>
      </c>
      <c r="L895">
        <v>1664964325</v>
      </c>
      <c r="M895">
        <v>646096996</v>
      </c>
      <c r="N895">
        <v>463397452</v>
      </c>
      <c r="O895">
        <v>19264266</v>
      </c>
      <c r="P895">
        <v>130</v>
      </c>
      <c r="Q895" t="s">
        <v>2028</v>
      </c>
    </row>
    <row r="896" spans="1:17" x14ac:dyDescent="0.3">
      <c r="A896" t="s">
        <v>17</v>
      </c>
      <c r="B896" t="str">
        <f>"601038"</f>
        <v>601038</v>
      </c>
      <c r="C896" t="s">
        <v>2029</v>
      </c>
      <c r="D896" t="s">
        <v>2030</v>
      </c>
      <c r="E896">
        <v>1326300745</v>
      </c>
      <c r="F896">
        <v>1216402523</v>
      </c>
      <c r="G896">
        <v>946978146</v>
      </c>
      <c r="H896">
        <v>691258318</v>
      </c>
      <c r="I896">
        <v>2083106243</v>
      </c>
      <c r="J896">
        <v>1273326911</v>
      </c>
      <c r="K896">
        <v>1040514425</v>
      </c>
      <c r="L896">
        <v>1354098137</v>
      </c>
      <c r="M896">
        <v>2198643985</v>
      </c>
      <c r="N896">
        <v>2185990934</v>
      </c>
      <c r="O896">
        <v>0</v>
      </c>
      <c r="P896">
        <v>179</v>
      </c>
      <c r="Q896" t="s">
        <v>2031</v>
      </c>
    </row>
    <row r="897" spans="1:17" x14ac:dyDescent="0.3">
      <c r="A897" t="s">
        <v>73</v>
      </c>
      <c r="B897" t="str">
        <f>"300339"</f>
        <v>300339</v>
      </c>
      <c r="C897" t="s">
        <v>2032</v>
      </c>
      <c r="D897" t="s">
        <v>302</v>
      </c>
      <c r="E897">
        <v>1325945363</v>
      </c>
      <c r="F897">
        <v>1152940177</v>
      </c>
      <c r="G897">
        <v>1150330477</v>
      </c>
      <c r="H897">
        <v>1485705316</v>
      </c>
      <c r="I897">
        <v>1262297408</v>
      </c>
      <c r="J897">
        <v>996434056</v>
      </c>
      <c r="K897">
        <v>915154665</v>
      </c>
      <c r="L897">
        <v>377341707</v>
      </c>
      <c r="M897">
        <v>217582131</v>
      </c>
      <c r="N897">
        <v>119939979</v>
      </c>
      <c r="O897">
        <v>76852334</v>
      </c>
      <c r="P897">
        <v>332</v>
      </c>
      <c r="Q897" t="s">
        <v>2033</v>
      </c>
    </row>
    <row r="898" spans="1:17" x14ac:dyDescent="0.3">
      <c r="A898" t="s">
        <v>73</v>
      </c>
      <c r="B898" t="str">
        <f>"002752"</f>
        <v>002752</v>
      </c>
      <c r="C898" t="s">
        <v>2034</v>
      </c>
      <c r="D898" t="s">
        <v>870</v>
      </c>
      <c r="E898">
        <v>1316125995</v>
      </c>
      <c r="F898">
        <v>922948295</v>
      </c>
      <c r="G898">
        <v>439178913</v>
      </c>
      <c r="H898">
        <v>274873071</v>
      </c>
      <c r="I898">
        <v>298219921</v>
      </c>
      <c r="J898">
        <v>287902969</v>
      </c>
      <c r="K898">
        <v>301020621</v>
      </c>
      <c r="L898">
        <v>261916235</v>
      </c>
      <c r="M898">
        <v>0</v>
      </c>
      <c r="P898">
        <v>79</v>
      </c>
      <c r="Q898" t="s">
        <v>2035</v>
      </c>
    </row>
    <row r="899" spans="1:17" x14ac:dyDescent="0.3">
      <c r="A899" t="s">
        <v>17</v>
      </c>
      <c r="B899" t="str">
        <f>"603313"</f>
        <v>603313</v>
      </c>
      <c r="C899" t="s">
        <v>2036</v>
      </c>
      <c r="D899" t="s">
        <v>1111</v>
      </c>
      <c r="E899">
        <v>1313860387</v>
      </c>
      <c r="F899">
        <v>1166640241</v>
      </c>
      <c r="G899">
        <v>744805617</v>
      </c>
      <c r="H899">
        <v>498784582</v>
      </c>
      <c r="I899">
        <v>323045014</v>
      </c>
      <c r="J899">
        <v>285388736</v>
      </c>
      <c r="P899">
        <v>580</v>
      </c>
      <c r="Q899" t="s">
        <v>2037</v>
      </c>
    </row>
    <row r="900" spans="1:17" x14ac:dyDescent="0.3">
      <c r="A900" t="s">
        <v>73</v>
      </c>
      <c r="B900" t="str">
        <f>"300422"</f>
        <v>300422</v>
      </c>
      <c r="C900" t="s">
        <v>2038</v>
      </c>
      <c r="D900" t="s">
        <v>308</v>
      </c>
      <c r="E900">
        <v>1308228783</v>
      </c>
      <c r="F900">
        <v>1474233350</v>
      </c>
      <c r="G900">
        <v>1143829141</v>
      </c>
      <c r="H900">
        <v>1665089245</v>
      </c>
      <c r="I900">
        <v>1074460218</v>
      </c>
      <c r="J900">
        <v>680743392</v>
      </c>
      <c r="K900">
        <v>386725917</v>
      </c>
      <c r="L900">
        <v>231998056</v>
      </c>
      <c r="M900">
        <v>0</v>
      </c>
      <c r="P900">
        <v>331</v>
      </c>
      <c r="Q900" t="s">
        <v>2039</v>
      </c>
    </row>
    <row r="901" spans="1:17" x14ac:dyDescent="0.3">
      <c r="A901" t="s">
        <v>17</v>
      </c>
      <c r="B901" t="str">
        <f>"600392"</f>
        <v>600392</v>
      </c>
      <c r="C901" t="s">
        <v>2040</v>
      </c>
      <c r="D901" t="s">
        <v>815</v>
      </c>
      <c r="E901">
        <v>1307520136</v>
      </c>
      <c r="F901">
        <v>2254256978</v>
      </c>
      <c r="G901">
        <v>1264828603</v>
      </c>
      <c r="H901">
        <v>1135769930</v>
      </c>
      <c r="I901">
        <v>1013839757</v>
      </c>
      <c r="J901">
        <v>939527110</v>
      </c>
      <c r="K901">
        <v>156409778</v>
      </c>
      <c r="L901">
        <v>229380579</v>
      </c>
      <c r="M901">
        <v>193213613</v>
      </c>
      <c r="N901">
        <v>108861584</v>
      </c>
      <c r="O901">
        <v>131384956</v>
      </c>
      <c r="P901">
        <v>439</v>
      </c>
      <c r="Q901" t="s">
        <v>2041</v>
      </c>
    </row>
    <row r="902" spans="1:17" x14ac:dyDescent="0.3">
      <c r="A902" t="s">
        <v>17</v>
      </c>
      <c r="B902" t="str">
        <f>"603466"</f>
        <v>603466</v>
      </c>
      <c r="C902" t="s">
        <v>2042</v>
      </c>
      <c r="D902" t="s">
        <v>2043</v>
      </c>
      <c r="E902">
        <v>1306879367</v>
      </c>
      <c r="F902">
        <v>1237214555</v>
      </c>
      <c r="G902">
        <v>905749478</v>
      </c>
      <c r="H902">
        <v>866978742</v>
      </c>
      <c r="I902">
        <v>677439028</v>
      </c>
      <c r="P902">
        <v>406</v>
      </c>
      <c r="Q902" t="s">
        <v>2044</v>
      </c>
    </row>
    <row r="903" spans="1:17" x14ac:dyDescent="0.3">
      <c r="A903" t="s">
        <v>17</v>
      </c>
      <c r="B903" t="str">
        <f>"605050"</f>
        <v>605050</v>
      </c>
      <c r="C903" t="s">
        <v>2045</v>
      </c>
      <c r="D903" t="s">
        <v>192</v>
      </c>
      <c r="E903">
        <v>1306755817</v>
      </c>
      <c r="F903">
        <v>986388715</v>
      </c>
      <c r="P903">
        <v>37</v>
      </c>
      <c r="Q903" t="s">
        <v>2046</v>
      </c>
    </row>
    <row r="904" spans="1:17" x14ac:dyDescent="0.3">
      <c r="A904" t="s">
        <v>17</v>
      </c>
      <c r="B904" t="str">
        <f>"600121"</f>
        <v>600121</v>
      </c>
      <c r="C904" t="s">
        <v>2047</v>
      </c>
      <c r="D904" t="s">
        <v>218</v>
      </c>
      <c r="E904">
        <v>1304651778</v>
      </c>
      <c r="F904">
        <v>1502051331</v>
      </c>
      <c r="G904">
        <v>2345415558</v>
      </c>
      <c r="H904">
        <v>1908076444</v>
      </c>
      <c r="I904">
        <v>1810275902</v>
      </c>
      <c r="J904">
        <v>1850037209</v>
      </c>
      <c r="K904">
        <v>1331210582</v>
      </c>
      <c r="L904">
        <v>1124429476</v>
      </c>
      <c r="M904">
        <v>1071262808</v>
      </c>
      <c r="N904">
        <v>587972196</v>
      </c>
      <c r="O904">
        <v>191764796</v>
      </c>
      <c r="P904">
        <v>180</v>
      </c>
      <c r="Q904" t="s">
        <v>2048</v>
      </c>
    </row>
    <row r="905" spans="1:17" x14ac:dyDescent="0.3">
      <c r="A905" t="s">
        <v>73</v>
      </c>
      <c r="B905" t="str">
        <f>"301155"</f>
        <v>301155</v>
      </c>
      <c r="C905" t="s">
        <v>2049</v>
      </c>
      <c r="D905" t="s">
        <v>778</v>
      </c>
      <c r="E905">
        <v>1304458038</v>
      </c>
      <c r="P905">
        <v>40</v>
      </c>
      <c r="Q905" t="s">
        <v>2050</v>
      </c>
    </row>
    <row r="906" spans="1:17" x14ac:dyDescent="0.3">
      <c r="A906" t="s">
        <v>73</v>
      </c>
      <c r="B906" t="str">
        <f>"002042"</f>
        <v>002042</v>
      </c>
      <c r="C906" t="s">
        <v>2051</v>
      </c>
      <c r="D906" t="s">
        <v>2052</v>
      </c>
      <c r="E906">
        <v>1303539893</v>
      </c>
      <c r="F906">
        <v>977849448</v>
      </c>
      <c r="G906">
        <v>782583012</v>
      </c>
      <c r="H906">
        <v>879930482</v>
      </c>
      <c r="I906">
        <v>950644341</v>
      </c>
      <c r="J906">
        <v>909070254</v>
      </c>
      <c r="K906">
        <v>700656180</v>
      </c>
      <c r="L906">
        <v>719638847</v>
      </c>
      <c r="M906">
        <v>830523344</v>
      </c>
      <c r="N906">
        <v>706314209</v>
      </c>
      <c r="O906">
        <v>769565775</v>
      </c>
      <c r="P906">
        <v>196</v>
      </c>
      <c r="Q906" t="s">
        <v>2053</v>
      </c>
    </row>
    <row r="907" spans="1:17" x14ac:dyDescent="0.3">
      <c r="A907" t="s">
        <v>17</v>
      </c>
      <c r="B907" t="str">
        <f>"600373"</f>
        <v>600373</v>
      </c>
      <c r="C907" t="s">
        <v>2054</v>
      </c>
      <c r="D907" t="s">
        <v>1921</v>
      </c>
      <c r="E907">
        <v>1301011458</v>
      </c>
      <c r="F907">
        <v>1291951209</v>
      </c>
      <c r="G907">
        <v>1512057673</v>
      </c>
      <c r="H907">
        <v>1528217886</v>
      </c>
      <c r="I907">
        <v>2100217975</v>
      </c>
      <c r="J907">
        <v>1926231051</v>
      </c>
      <c r="K907">
        <v>2265181426</v>
      </c>
      <c r="L907">
        <v>1980284979</v>
      </c>
      <c r="M907">
        <v>1685799108</v>
      </c>
      <c r="N907">
        <v>1178888659</v>
      </c>
      <c r="O907">
        <v>1225437618</v>
      </c>
      <c r="P907">
        <v>776</v>
      </c>
      <c r="Q907" t="s">
        <v>2055</v>
      </c>
    </row>
    <row r="908" spans="1:17" x14ac:dyDescent="0.3">
      <c r="A908" t="s">
        <v>17</v>
      </c>
      <c r="B908" t="str">
        <f>"600366"</f>
        <v>600366</v>
      </c>
      <c r="C908" t="s">
        <v>2056</v>
      </c>
      <c r="D908" t="s">
        <v>1142</v>
      </c>
      <c r="E908">
        <v>1299770445</v>
      </c>
      <c r="F908">
        <v>673350339</v>
      </c>
      <c r="G908">
        <v>441292282</v>
      </c>
      <c r="H908">
        <v>407371523</v>
      </c>
      <c r="I908">
        <v>485786028</v>
      </c>
      <c r="J908">
        <v>397688732</v>
      </c>
      <c r="K908">
        <v>297449795</v>
      </c>
      <c r="L908">
        <v>257741807</v>
      </c>
      <c r="M908">
        <v>224518125</v>
      </c>
      <c r="N908">
        <v>349888607</v>
      </c>
      <c r="O908">
        <v>452154147</v>
      </c>
      <c r="P908">
        <v>236</v>
      </c>
      <c r="Q908" t="s">
        <v>2057</v>
      </c>
    </row>
    <row r="909" spans="1:17" x14ac:dyDescent="0.3">
      <c r="A909" t="s">
        <v>73</v>
      </c>
      <c r="B909" t="str">
        <f>"300203"</f>
        <v>300203</v>
      </c>
      <c r="C909" t="s">
        <v>2058</v>
      </c>
      <c r="D909" t="s">
        <v>472</v>
      </c>
      <c r="E909">
        <v>1297606398</v>
      </c>
      <c r="F909">
        <v>1453858732</v>
      </c>
      <c r="G909">
        <v>1745841047</v>
      </c>
      <c r="H909">
        <v>1863796585</v>
      </c>
      <c r="I909">
        <v>1747436114</v>
      </c>
      <c r="J909">
        <v>1530619443</v>
      </c>
      <c r="K909">
        <v>1142144135</v>
      </c>
      <c r="L909">
        <v>815889842</v>
      </c>
      <c r="M909">
        <v>767099044</v>
      </c>
      <c r="N909">
        <v>660529227</v>
      </c>
      <c r="O909">
        <v>600666675</v>
      </c>
      <c r="P909">
        <v>431</v>
      </c>
      <c r="Q909" t="s">
        <v>2059</v>
      </c>
    </row>
    <row r="910" spans="1:17" x14ac:dyDescent="0.3">
      <c r="A910" t="s">
        <v>73</v>
      </c>
      <c r="B910" t="str">
        <f>"002882"</f>
        <v>002882</v>
      </c>
      <c r="C910" t="s">
        <v>2060</v>
      </c>
      <c r="D910" t="s">
        <v>515</v>
      </c>
      <c r="E910">
        <v>1297034600</v>
      </c>
      <c r="F910">
        <v>825460455</v>
      </c>
      <c r="G910">
        <v>774035073</v>
      </c>
      <c r="H910">
        <v>1140404903</v>
      </c>
      <c r="I910">
        <v>581614968</v>
      </c>
      <c r="J910">
        <v>382574061</v>
      </c>
      <c r="P910">
        <v>118</v>
      </c>
      <c r="Q910" t="s">
        <v>2061</v>
      </c>
    </row>
    <row r="911" spans="1:17" x14ac:dyDescent="0.3">
      <c r="A911" t="s">
        <v>73</v>
      </c>
      <c r="B911" t="str">
        <f>"002993"</f>
        <v>002993</v>
      </c>
      <c r="C911" t="s">
        <v>2062</v>
      </c>
      <c r="D911" t="s">
        <v>42</v>
      </c>
      <c r="E911">
        <v>1296498171</v>
      </c>
      <c r="F911">
        <v>994787437</v>
      </c>
      <c r="G911">
        <v>512501969</v>
      </c>
      <c r="P911">
        <v>145</v>
      </c>
      <c r="Q911" t="s">
        <v>2063</v>
      </c>
    </row>
    <row r="912" spans="1:17" x14ac:dyDescent="0.3">
      <c r="A912" t="s">
        <v>73</v>
      </c>
      <c r="B912" t="str">
        <f>"002537"</f>
        <v>002537</v>
      </c>
      <c r="C912" t="s">
        <v>2064</v>
      </c>
      <c r="D912" t="s">
        <v>106</v>
      </c>
      <c r="E912">
        <v>1294259016</v>
      </c>
      <c r="F912">
        <v>1010320656</v>
      </c>
      <c r="G912">
        <v>888778126</v>
      </c>
      <c r="H912">
        <v>1072834046</v>
      </c>
      <c r="I912">
        <v>1139934381</v>
      </c>
      <c r="J912">
        <v>693935663</v>
      </c>
      <c r="K912">
        <v>515205139</v>
      </c>
      <c r="L912">
        <v>476327057</v>
      </c>
      <c r="M912">
        <v>523610154</v>
      </c>
      <c r="N912">
        <v>438109952</v>
      </c>
      <c r="O912">
        <v>310348236</v>
      </c>
      <c r="P912">
        <v>182</v>
      </c>
      <c r="Q912" t="s">
        <v>2065</v>
      </c>
    </row>
    <row r="913" spans="1:17" x14ac:dyDescent="0.3">
      <c r="A913" t="s">
        <v>17</v>
      </c>
      <c r="B913" t="str">
        <f>"603486"</f>
        <v>603486</v>
      </c>
      <c r="C913" t="s">
        <v>2066</v>
      </c>
      <c r="D913" t="s">
        <v>1560</v>
      </c>
      <c r="E913">
        <v>1293434174</v>
      </c>
      <c r="F913">
        <v>948351896</v>
      </c>
      <c r="G913">
        <v>613210245</v>
      </c>
      <c r="H913">
        <v>755130893</v>
      </c>
      <c r="I913">
        <v>0</v>
      </c>
      <c r="P913">
        <v>833</v>
      </c>
      <c r="Q913" t="s">
        <v>2067</v>
      </c>
    </row>
    <row r="914" spans="1:17" x14ac:dyDescent="0.3">
      <c r="A914" t="s">
        <v>73</v>
      </c>
      <c r="B914" t="str">
        <f>"000925"</f>
        <v>000925</v>
      </c>
      <c r="C914" t="s">
        <v>2068</v>
      </c>
      <c r="D914" t="s">
        <v>47</v>
      </c>
      <c r="E914">
        <v>1290776025</v>
      </c>
      <c r="F914">
        <v>1191628300</v>
      </c>
      <c r="G914">
        <v>1199017627</v>
      </c>
      <c r="H914">
        <v>1598431346</v>
      </c>
      <c r="I914">
        <v>1354546812</v>
      </c>
      <c r="J914">
        <v>907044683</v>
      </c>
      <c r="K914">
        <v>984128793</v>
      </c>
      <c r="L914">
        <v>1018767813</v>
      </c>
      <c r="M914">
        <v>986787011</v>
      </c>
      <c r="N914">
        <v>910073720</v>
      </c>
      <c r="O914">
        <v>919612275</v>
      </c>
      <c r="P914">
        <v>188</v>
      </c>
      <c r="Q914" t="s">
        <v>2069</v>
      </c>
    </row>
    <row r="915" spans="1:17" x14ac:dyDescent="0.3">
      <c r="A915" t="s">
        <v>17</v>
      </c>
      <c r="B915" t="str">
        <f>"601686"</f>
        <v>601686</v>
      </c>
      <c r="C915" t="s">
        <v>2070</v>
      </c>
      <c r="D915" t="s">
        <v>1114</v>
      </c>
      <c r="E915">
        <v>1290023329</v>
      </c>
      <c r="F915">
        <v>882218441</v>
      </c>
      <c r="P915">
        <v>57</v>
      </c>
      <c r="Q915" t="s">
        <v>2071</v>
      </c>
    </row>
    <row r="916" spans="1:17" x14ac:dyDescent="0.3">
      <c r="A916" t="s">
        <v>17</v>
      </c>
      <c r="B916" t="str">
        <f>"601702"</f>
        <v>601702</v>
      </c>
      <c r="C916" t="s">
        <v>2072</v>
      </c>
      <c r="D916" t="s">
        <v>616</v>
      </c>
      <c r="E916">
        <v>1289281421</v>
      </c>
      <c r="F916">
        <v>1104354847</v>
      </c>
      <c r="P916">
        <v>116</v>
      </c>
      <c r="Q916" t="s">
        <v>2073</v>
      </c>
    </row>
    <row r="917" spans="1:17" x14ac:dyDescent="0.3">
      <c r="A917" t="s">
        <v>73</v>
      </c>
      <c r="B917" t="str">
        <f>"300676"</f>
        <v>300676</v>
      </c>
      <c r="C917" t="s">
        <v>2074</v>
      </c>
      <c r="D917" t="s">
        <v>773</v>
      </c>
      <c r="E917">
        <v>1288555787</v>
      </c>
      <c r="F917">
        <v>1591011240</v>
      </c>
      <c r="G917">
        <v>1280220044</v>
      </c>
      <c r="H917">
        <v>1422077880</v>
      </c>
      <c r="I917">
        <v>883304977</v>
      </c>
      <c r="J917">
        <v>644639090</v>
      </c>
      <c r="K917">
        <v>0</v>
      </c>
      <c r="P917">
        <v>1481</v>
      </c>
      <c r="Q917" t="s">
        <v>2075</v>
      </c>
    </row>
    <row r="918" spans="1:17" x14ac:dyDescent="0.3">
      <c r="A918" t="s">
        <v>73</v>
      </c>
      <c r="B918" t="str">
        <f>"300011"</f>
        <v>300011</v>
      </c>
      <c r="C918" t="s">
        <v>2076</v>
      </c>
      <c r="D918" t="s">
        <v>47</v>
      </c>
      <c r="E918">
        <v>1288423911</v>
      </c>
      <c r="F918">
        <v>1081760840</v>
      </c>
      <c r="G918">
        <v>1122341349</v>
      </c>
      <c r="H918">
        <v>1172140503</v>
      </c>
      <c r="I918">
        <v>1128359326</v>
      </c>
      <c r="J918">
        <v>847961574</v>
      </c>
      <c r="K918">
        <v>800012223</v>
      </c>
      <c r="L918">
        <v>703289807</v>
      </c>
      <c r="M918">
        <v>411668997</v>
      </c>
      <c r="N918">
        <v>328153675</v>
      </c>
      <c r="O918">
        <v>242068843</v>
      </c>
      <c r="P918">
        <v>109</v>
      </c>
      <c r="Q918" t="s">
        <v>2077</v>
      </c>
    </row>
    <row r="919" spans="1:17" x14ac:dyDescent="0.3">
      <c r="A919" t="s">
        <v>73</v>
      </c>
      <c r="B919" t="str">
        <f>"000069"</f>
        <v>000069</v>
      </c>
      <c r="C919" t="s">
        <v>2078</v>
      </c>
      <c r="D919" t="s">
        <v>697</v>
      </c>
      <c r="E919">
        <v>1286620332</v>
      </c>
      <c r="F919">
        <v>1186920868</v>
      </c>
      <c r="G919">
        <v>344386150</v>
      </c>
      <c r="H919">
        <v>411160619</v>
      </c>
      <c r="I919">
        <v>477086520</v>
      </c>
      <c r="J919">
        <v>616447745</v>
      </c>
      <c r="K919">
        <v>566848369</v>
      </c>
      <c r="L919">
        <v>501098810</v>
      </c>
      <c r="M919">
        <v>457723689</v>
      </c>
      <c r="N919">
        <v>443695156</v>
      </c>
      <c r="O919">
        <v>289810226</v>
      </c>
      <c r="P919">
        <v>3953</v>
      </c>
      <c r="Q919" t="s">
        <v>2079</v>
      </c>
    </row>
    <row r="920" spans="1:17" x14ac:dyDescent="0.3">
      <c r="A920" t="s">
        <v>73</v>
      </c>
      <c r="B920" t="str">
        <f>"300072"</f>
        <v>300072</v>
      </c>
      <c r="C920" t="s">
        <v>2080</v>
      </c>
      <c r="D920" t="s">
        <v>629</v>
      </c>
      <c r="E920">
        <v>1285897906</v>
      </c>
      <c r="F920">
        <v>5001029252</v>
      </c>
      <c r="G920">
        <v>6768055232</v>
      </c>
      <c r="H920">
        <v>11834661181</v>
      </c>
      <c r="I920">
        <v>10358210253</v>
      </c>
      <c r="J920">
        <v>7152179362</v>
      </c>
      <c r="K920">
        <v>4669311380</v>
      </c>
      <c r="L920">
        <v>1926904558</v>
      </c>
      <c r="M920">
        <v>1088582791</v>
      </c>
      <c r="N920">
        <v>782213076</v>
      </c>
      <c r="O920">
        <v>579906026</v>
      </c>
      <c r="P920">
        <v>1138</v>
      </c>
      <c r="Q920" t="s">
        <v>2081</v>
      </c>
    </row>
    <row r="921" spans="1:17" x14ac:dyDescent="0.3">
      <c r="A921" t="s">
        <v>73</v>
      </c>
      <c r="B921" t="str">
        <f>"002815"</f>
        <v>002815</v>
      </c>
      <c r="C921" t="s">
        <v>2082</v>
      </c>
      <c r="D921" t="s">
        <v>418</v>
      </c>
      <c r="E921">
        <v>1285656552</v>
      </c>
      <c r="F921">
        <v>1053512656</v>
      </c>
      <c r="G921">
        <v>775777555</v>
      </c>
      <c r="H921">
        <v>696669452</v>
      </c>
      <c r="I921">
        <v>681196892</v>
      </c>
      <c r="J921">
        <v>566228144</v>
      </c>
      <c r="K921">
        <v>385961551</v>
      </c>
      <c r="P921">
        <v>919</v>
      </c>
      <c r="Q921" t="s">
        <v>2083</v>
      </c>
    </row>
    <row r="922" spans="1:17" x14ac:dyDescent="0.3">
      <c r="A922" t="s">
        <v>73</v>
      </c>
      <c r="B922" t="str">
        <f>"300759"</f>
        <v>300759</v>
      </c>
      <c r="C922" t="s">
        <v>2084</v>
      </c>
      <c r="D922" t="s">
        <v>459</v>
      </c>
      <c r="E922">
        <v>1285554131</v>
      </c>
      <c r="F922">
        <v>1063320234</v>
      </c>
      <c r="G922">
        <v>761460385</v>
      </c>
      <c r="H922">
        <v>621471651</v>
      </c>
      <c r="I922">
        <v>0</v>
      </c>
      <c r="P922">
        <v>1080</v>
      </c>
      <c r="Q922" t="s">
        <v>2085</v>
      </c>
    </row>
    <row r="923" spans="1:17" x14ac:dyDescent="0.3">
      <c r="A923" t="s">
        <v>73</v>
      </c>
      <c r="B923" t="str">
        <f>"002534"</f>
        <v>002534</v>
      </c>
      <c r="C923" t="s">
        <v>2086</v>
      </c>
      <c r="D923" t="s">
        <v>2087</v>
      </c>
      <c r="E923">
        <v>1285206699</v>
      </c>
      <c r="F923">
        <v>767781178</v>
      </c>
      <c r="G923">
        <v>701917531</v>
      </c>
      <c r="H923">
        <v>1717261949</v>
      </c>
      <c r="I923">
        <v>1436598907</v>
      </c>
      <c r="J923">
        <v>1555757760</v>
      </c>
      <c r="K923">
        <v>1382784152</v>
      </c>
      <c r="L923">
        <v>1744644188</v>
      </c>
      <c r="M923">
        <v>2099188998</v>
      </c>
      <c r="N923">
        <v>1766572897</v>
      </c>
      <c r="O923">
        <v>1281433333</v>
      </c>
      <c r="P923">
        <v>191</v>
      </c>
      <c r="Q923" t="s">
        <v>2088</v>
      </c>
    </row>
    <row r="924" spans="1:17" x14ac:dyDescent="0.3">
      <c r="A924" t="s">
        <v>17</v>
      </c>
      <c r="B924" t="str">
        <f>"600108"</f>
        <v>600108</v>
      </c>
      <c r="C924" t="s">
        <v>2089</v>
      </c>
      <c r="D924" t="s">
        <v>2090</v>
      </c>
      <c r="E924">
        <v>1284022886</v>
      </c>
      <c r="F924">
        <v>1410149375</v>
      </c>
      <c r="G924">
        <v>1524919477</v>
      </c>
      <c r="H924">
        <v>1240144567</v>
      </c>
      <c r="I924">
        <v>1035598614</v>
      </c>
      <c r="J924">
        <v>695548626</v>
      </c>
      <c r="K924">
        <v>758729423</v>
      </c>
      <c r="L924">
        <v>635783308</v>
      </c>
      <c r="M924">
        <v>530058413</v>
      </c>
      <c r="N924">
        <v>536802854</v>
      </c>
      <c r="O924">
        <v>396585101</v>
      </c>
      <c r="P924">
        <v>120</v>
      </c>
      <c r="Q924" t="s">
        <v>2091</v>
      </c>
    </row>
    <row r="925" spans="1:17" x14ac:dyDescent="0.3">
      <c r="A925" t="s">
        <v>17</v>
      </c>
      <c r="B925" t="str">
        <f>"603568"</f>
        <v>603568</v>
      </c>
      <c r="C925" t="s">
        <v>2092</v>
      </c>
      <c r="D925" t="s">
        <v>623</v>
      </c>
      <c r="E925">
        <v>1283057233</v>
      </c>
      <c r="F925">
        <v>778182566</v>
      </c>
      <c r="G925">
        <v>418832679</v>
      </c>
      <c r="H925">
        <v>501341528</v>
      </c>
      <c r="I925">
        <v>330713460</v>
      </c>
      <c r="J925">
        <v>285065986</v>
      </c>
      <c r="K925">
        <v>197339438</v>
      </c>
      <c r="L925">
        <v>171795639</v>
      </c>
      <c r="M925">
        <v>0</v>
      </c>
      <c r="P925">
        <v>16270</v>
      </c>
      <c r="Q925" t="s">
        <v>2093</v>
      </c>
    </row>
    <row r="926" spans="1:17" x14ac:dyDescent="0.3">
      <c r="A926" t="s">
        <v>73</v>
      </c>
      <c r="B926" t="str">
        <f>"002736"</f>
        <v>002736</v>
      </c>
      <c r="C926" t="s">
        <v>2094</v>
      </c>
      <c r="D926" t="s">
        <v>53</v>
      </c>
      <c r="E926">
        <v>1282560792</v>
      </c>
      <c r="F926">
        <v>1548087898</v>
      </c>
      <c r="G926">
        <v>1106500505</v>
      </c>
      <c r="H926">
        <v>1096368932</v>
      </c>
      <c r="I926">
        <v>1092701497</v>
      </c>
      <c r="J926">
        <v>3516722668</v>
      </c>
      <c r="K926">
        <v>0</v>
      </c>
      <c r="L926">
        <v>0</v>
      </c>
      <c r="M926">
        <v>0</v>
      </c>
      <c r="N926">
        <v>0</v>
      </c>
      <c r="P926">
        <v>2389</v>
      </c>
      <c r="Q926" t="s">
        <v>2095</v>
      </c>
    </row>
    <row r="927" spans="1:17" x14ac:dyDescent="0.3">
      <c r="A927" t="s">
        <v>73</v>
      </c>
      <c r="B927" t="str">
        <f>"002121"</f>
        <v>002121</v>
      </c>
      <c r="C927" t="s">
        <v>2096</v>
      </c>
      <c r="D927" t="s">
        <v>1280</v>
      </c>
      <c r="E927">
        <v>1280672850</v>
      </c>
      <c r="F927">
        <v>1429621701</v>
      </c>
      <c r="G927">
        <v>1739140470</v>
      </c>
      <c r="H927">
        <v>1984079766</v>
      </c>
      <c r="I927">
        <v>3085618652</v>
      </c>
      <c r="J927">
        <v>3022375888</v>
      </c>
      <c r="K927">
        <v>2015323798</v>
      </c>
      <c r="L927">
        <v>1168117971</v>
      </c>
      <c r="M927">
        <v>907432119</v>
      </c>
      <c r="N927">
        <v>869410715</v>
      </c>
      <c r="O927">
        <v>721354109</v>
      </c>
      <c r="P927">
        <v>234</v>
      </c>
      <c r="Q927" t="s">
        <v>2097</v>
      </c>
    </row>
    <row r="928" spans="1:17" x14ac:dyDescent="0.3">
      <c r="A928" t="s">
        <v>73</v>
      </c>
      <c r="B928" t="str">
        <f>"000821"</f>
        <v>000821</v>
      </c>
      <c r="C928" t="s">
        <v>2098</v>
      </c>
      <c r="D928" t="s">
        <v>2099</v>
      </c>
      <c r="E928">
        <v>1279584372</v>
      </c>
      <c r="F928">
        <v>1090450394</v>
      </c>
      <c r="G928">
        <v>914457229</v>
      </c>
      <c r="H928">
        <v>946262674</v>
      </c>
      <c r="I928">
        <v>776993203</v>
      </c>
      <c r="J928">
        <v>434966497</v>
      </c>
      <c r="K928">
        <v>343175916</v>
      </c>
      <c r="L928">
        <v>254400056</v>
      </c>
      <c r="M928">
        <v>259789297</v>
      </c>
      <c r="N928">
        <v>161435981</v>
      </c>
      <c r="O928">
        <v>215290409</v>
      </c>
      <c r="P928">
        <v>166</v>
      </c>
      <c r="Q928" t="s">
        <v>2100</v>
      </c>
    </row>
    <row r="929" spans="1:17" x14ac:dyDescent="0.3">
      <c r="A929" t="s">
        <v>17</v>
      </c>
      <c r="B929" t="str">
        <f>"603218"</f>
        <v>603218</v>
      </c>
      <c r="C929" t="s">
        <v>2101</v>
      </c>
      <c r="D929" t="s">
        <v>778</v>
      </c>
      <c r="E929">
        <v>1278143633</v>
      </c>
      <c r="F929">
        <v>1250779076</v>
      </c>
      <c r="G929">
        <v>1042823804</v>
      </c>
      <c r="H929">
        <v>959842756</v>
      </c>
      <c r="I929">
        <v>748827360</v>
      </c>
      <c r="J929">
        <v>591131250</v>
      </c>
      <c r="P929">
        <v>566</v>
      </c>
      <c r="Q929" t="s">
        <v>2102</v>
      </c>
    </row>
    <row r="930" spans="1:17" x14ac:dyDescent="0.3">
      <c r="A930" t="s">
        <v>73</v>
      </c>
      <c r="B930" t="str">
        <f>"002635"</f>
        <v>002635</v>
      </c>
      <c r="C930" t="s">
        <v>2103</v>
      </c>
      <c r="D930" t="s">
        <v>42</v>
      </c>
      <c r="E930">
        <v>1277186346</v>
      </c>
      <c r="F930">
        <v>898384360</v>
      </c>
      <c r="G930">
        <v>756011562</v>
      </c>
      <c r="H930">
        <v>888759549</v>
      </c>
      <c r="I930">
        <v>895746585</v>
      </c>
      <c r="J930">
        <v>486394545</v>
      </c>
      <c r="K930">
        <v>373885612</v>
      </c>
      <c r="L930">
        <v>348215752</v>
      </c>
      <c r="M930">
        <v>222298055</v>
      </c>
      <c r="N930">
        <v>228393891</v>
      </c>
      <c r="O930">
        <v>132228728</v>
      </c>
      <c r="P930">
        <v>513</v>
      </c>
      <c r="Q930" t="s">
        <v>2104</v>
      </c>
    </row>
    <row r="931" spans="1:17" x14ac:dyDescent="0.3">
      <c r="A931" t="s">
        <v>17</v>
      </c>
      <c r="B931" t="str">
        <f>"603660"</f>
        <v>603660</v>
      </c>
      <c r="C931" t="s">
        <v>2105</v>
      </c>
      <c r="D931" t="s">
        <v>158</v>
      </c>
      <c r="E931">
        <v>1275569764</v>
      </c>
      <c r="F931">
        <v>1083673165</v>
      </c>
      <c r="G931">
        <v>847463955</v>
      </c>
      <c r="H931">
        <v>833910769</v>
      </c>
      <c r="I931">
        <v>520062035</v>
      </c>
      <c r="J931">
        <v>272288137</v>
      </c>
      <c r="P931">
        <v>291</v>
      </c>
      <c r="Q931" t="s">
        <v>2106</v>
      </c>
    </row>
    <row r="932" spans="1:17" x14ac:dyDescent="0.3">
      <c r="A932" t="s">
        <v>73</v>
      </c>
      <c r="B932" t="str">
        <f>"000923"</f>
        <v>000923</v>
      </c>
      <c r="C932" t="s">
        <v>2107</v>
      </c>
      <c r="D932" t="s">
        <v>2108</v>
      </c>
      <c r="E932">
        <v>1274386471</v>
      </c>
      <c r="F932">
        <v>1463622779</v>
      </c>
      <c r="G932">
        <v>1101819288</v>
      </c>
      <c r="H932">
        <v>1154235224</v>
      </c>
      <c r="I932">
        <v>947623698</v>
      </c>
      <c r="J932">
        <v>269778123</v>
      </c>
      <c r="K932">
        <v>374677364</v>
      </c>
      <c r="L932">
        <v>226392919</v>
      </c>
      <c r="M932">
        <v>338869351</v>
      </c>
      <c r="N932">
        <v>276994013</v>
      </c>
      <c r="O932">
        <v>191620774</v>
      </c>
      <c r="P932">
        <v>224</v>
      </c>
      <c r="Q932" t="s">
        <v>2109</v>
      </c>
    </row>
    <row r="933" spans="1:17" x14ac:dyDescent="0.3">
      <c r="A933" t="s">
        <v>73</v>
      </c>
      <c r="B933" t="str">
        <f>"002218"</f>
        <v>002218</v>
      </c>
      <c r="C933" t="s">
        <v>2110</v>
      </c>
      <c r="D933" t="s">
        <v>919</v>
      </c>
      <c r="E933">
        <v>1271803703</v>
      </c>
      <c r="F933">
        <v>1242563175</v>
      </c>
      <c r="G933">
        <v>1102706072</v>
      </c>
      <c r="H933">
        <v>969957883</v>
      </c>
      <c r="I933">
        <v>725862473</v>
      </c>
      <c r="J933">
        <v>737727034</v>
      </c>
      <c r="K933">
        <v>369987130</v>
      </c>
      <c r="L933">
        <v>216282469</v>
      </c>
      <c r="M933">
        <v>484088583</v>
      </c>
      <c r="N933">
        <v>143055335</v>
      </c>
      <c r="O933">
        <v>58702889</v>
      </c>
      <c r="P933">
        <v>218</v>
      </c>
      <c r="Q933" t="s">
        <v>2111</v>
      </c>
    </row>
    <row r="934" spans="1:17" x14ac:dyDescent="0.3">
      <c r="A934" t="s">
        <v>73</v>
      </c>
      <c r="B934" t="str">
        <f>"002123"</f>
        <v>002123</v>
      </c>
      <c r="C934" t="s">
        <v>2112</v>
      </c>
      <c r="D934" t="s">
        <v>1004</v>
      </c>
      <c r="E934">
        <v>1271455480</v>
      </c>
      <c r="F934">
        <v>1022761271</v>
      </c>
      <c r="G934">
        <v>1200813733</v>
      </c>
      <c r="H934">
        <v>1397747188</v>
      </c>
      <c r="I934">
        <v>1523137173</v>
      </c>
      <c r="J934">
        <v>1604039782</v>
      </c>
      <c r="K934">
        <v>1758135921</v>
      </c>
      <c r="L934">
        <v>1223848071</v>
      </c>
      <c r="M934">
        <v>1664541372</v>
      </c>
      <c r="N934">
        <v>1400173951</v>
      </c>
      <c r="O934">
        <v>1367209313</v>
      </c>
      <c r="P934">
        <v>364</v>
      </c>
      <c r="Q934" t="s">
        <v>2113</v>
      </c>
    </row>
    <row r="935" spans="1:17" x14ac:dyDescent="0.3">
      <c r="A935" t="s">
        <v>73</v>
      </c>
      <c r="B935" t="str">
        <f>"301048"</f>
        <v>301048</v>
      </c>
      <c r="C935" t="s">
        <v>2114</v>
      </c>
      <c r="D935" t="s">
        <v>47</v>
      </c>
      <c r="E935">
        <v>1269774167</v>
      </c>
      <c r="F935">
        <v>795339277</v>
      </c>
      <c r="P935">
        <v>16</v>
      </c>
      <c r="Q935" t="s">
        <v>2115</v>
      </c>
    </row>
    <row r="936" spans="1:17" x14ac:dyDescent="0.3">
      <c r="A936" t="s">
        <v>17</v>
      </c>
      <c r="B936" t="str">
        <f>"600396"</f>
        <v>600396</v>
      </c>
      <c r="C936" t="s">
        <v>2116</v>
      </c>
      <c r="D936" t="s">
        <v>71</v>
      </c>
      <c r="E936">
        <v>1268614511</v>
      </c>
      <c r="F936">
        <v>1116672542</v>
      </c>
      <c r="G936">
        <v>1017997182</v>
      </c>
      <c r="H936">
        <v>788961216</v>
      </c>
      <c r="I936">
        <v>633862812</v>
      </c>
      <c r="J936">
        <v>610778225</v>
      </c>
      <c r="K936">
        <v>561447417</v>
      </c>
      <c r="L936">
        <v>424468896</v>
      </c>
      <c r="M936">
        <v>562980551</v>
      </c>
      <c r="N936">
        <v>364319547</v>
      </c>
      <c r="O936">
        <v>410423514</v>
      </c>
      <c r="P936">
        <v>107</v>
      </c>
      <c r="Q936" t="s">
        <v>2117</v>
      </c>
    </row>
    <row r="937" spans="1:17" x14ac:dyDescent="0.3">
      <c r="A937" t="s">
        <v>17</v>
      </c>
      <c r="B937" t="str">
        <f>"603298"</f>
        <v>603298</v>
      </c>
      <c r="C937" t="s">
        <v>2118</v>
      </c>
      <c r="D937" t="s">
        <v>75</v>
      </c>
      <c r="E937">
        <v>1268545524</v>
      </c>
      <c r="F937">
        <v>1159300669</v>
      </c>
      <c r="G937">
        <v>914138989</v>
      </c>
      <c r="H937">
        <v>810254958</v>
      </c>
      <c r="I937">
        <v>539368363</v>
      </c>
      <c r="J937">
        <v>500520207</v>
      </c>
      <c r="P937">
        <v>451</v>
      </c>
      <c r="Q937" t="s">
        <v>2119</v>
      </c>
    </row>
    <row r="938" spans="1:17" x14ac:dyDescent="0.3">
      <c r="A938" t="s">
        <v>73</v>
      </c>
      <c r="B938" t="str">
        <f>"300607"</f>
        <v>300607</v>
      </c>
      <c r="C938" t="s">
        <v>2120</v>
      </c>
      <c r="D938" t="s">
        <v>2121</v>
      </c>
      <c r="E938">
        <v>1267906220</v>
      </c>
      <c r="F938">
        <v>924609165</v>
      </c>
      <c r="G938">
        <v>698637798</v>
      </c>
      <c r="H938">
        <v>590103234</v>
      </c>
      <c r="I938">
        <v>229836772</v>
      </c>
      <c r="J938">
        <v>164230935</v>
      </c>
      <c r="K938">
        <v>0</v>
      </c>
      <c r="P938">
        <v>1388</v>
      </c>
      <c r="Q938" t="s">
        <v>2122</v>
      </c>
    </row>
    <row r="939" spans="1:17" x14ac:dyDescent="0.3">
      <c r="A939" t="s">
        <v>17</v>
      </c>
      <c r="B939" t="str">
        <f>"601137"</f>
        <v>601137</v>
      </c>
      <c r="C939" t="s">
        <v>2123</v>
      </c>
      <c r="D939" t="s">
        <v>1949</v>
      </c>
      <c r="E939">
        <v>1265165866</v>
      </c>
      <c r="F939">
        <v>1113393294</v>
      </c>
      <c r="G939">
        <v>849225537</v>
      </c>
      <c r="H939">
        <v>616495591</v>
      </c>
      <c r="I939">
        <v>523627983</v>
      </c>
      <c r="J939">
        <v>425357142</v>
      </c>
      <c r="K939">
        <v>280115294</v>
      </c>
      <c r="L939">
        <v>308327690</v>
      </c>
      <c r="M939">
        <v>301086177</v>
      </c>
      <c r="N939">
        <v>214384286</v>
      </c>
      <c r="O939">
        <v>249913372</v>
      </c>
      <c r="P939">
        <v>283</v>
      </c>
      <c r="Q939" t="s">
        <v>2124</v>
      </c>
    </row>
    <row r="940" spans="1:17" x14ac:dyDescent="0.3">
      <c r="A940" t="s">
        <v>73</v>
      </c>
      <c r="B940" t="str">
        <f>"002413"</f>
        <v>002413</v>
      </c>
      <c r="C940" t="s">
        <v>2125</v>
      </c>
      <c r="D940" t="s">
        <v>502</v>
      </c>
      <c r="E940">
        <v>1264798364</v>
      </c>
      <c r="F940">
        <v>944039832</v>
      </c>
      <c r="G940">
        <v>959596760</v>
      </c>
      <c r="H940">
        <v>804187099</v>
      </c>
      <c r="I940">
        <v>657328190</v>
      </c>
      <c r="J940">
        <v>507499073</v>
      </c>
      <c r="K940">
        <v>241742640</v>
      </c>
      <c r="L940">
        <v>391021960</v>
      </c>
      <c r="M940">
        <v>387617423</v>
      </c>
      <c r="N940">
        <v>338472501</v>
      </c>
      <c r="O940">
        <v>284652125</v>
      </c>
      <c r="P940">
        <v>218</v>
      </c>
      <c r="Q940" t="s">
        <v>2126</v>
      </c>
    </row>
    <row r="941" spans="1:17" x14ac:dyDescent="0.3">
      <c r="A941" t="s">
        <v>17</v>
      </c>
      <c r="B941" t="str">
        <f>"600626"</f>
        <v>600626</v>
      </c>
      <c r="C941" t="s">
        <v>2127</v>
      </c>
      <c r="D941" t="s">
        <v>106</v>
      </c>
      <c r="E941">
        <v>1264464297</v>
      </c>
      <c r="F941">
        <v>1377835996</v>
      </c>
      <c r="G941">
        <v>1454322186</v>
      </c>
      <c r="H941">
        <v>2245886403</v>
      </c>
      <c r="I941">
        <v>1988145503</v>
      </c>
      <c r="J941">
        <v>878166907</v>
      </c>
      <c r="K941">
        <v>812024707</v>
      </c>
      <c r="L941">
        <v>501158435</v>
      </c>
      <c r="M941">
        <v>529870731</v>
      </c>
      <c r="N941">
        <v>337910660</v>
      </c>
      <c r="O941">
        <v>369227102</v>
      </c>
      <c r="P941">
        <v>93</v>
      </c>
      <c r="Q941" t="s">
        <v>2128</v>
      </c>
    </row>
    <row r="942" spans="1:17" x14ac:dyDescent="0.3">
      <c r="A942" t="s">
        <v>73</v>
      </c>
      <c r="B942" t="str">
        <f>"002385"</f>
        <v>002385</v>
      </c>
      <c r="C942" t="s">
        <v>2129</v>
      </c>
      <c r="D942" t="s">
        <v>2130</v>
      </c>
      <c r="E942">
        <v>1263207769</v>
      </c>
      <c r="F942">
        <v>1197072888</v>
      </c>
      <c r="G942">
        <v>1260809196</v>
      </c>
      <c r="H942">
        <v>2025629908</v>
      </c>
      <c r="I942">
        <v>1815137293</v>
      </c>
      <c r="J942">
        <v>1470459611</v>
      </c>
      <c r="K942">
        <v>1158882261</v>
      </c>
      <c r="L942">
        <v>1037469900</v>
      </c>
      <c r="M942">
        <v>877855608</v>
      </c>
      <c r="N942">
        <v>419291355</v>
      </c>
      <c r="O942">
        <v>134910428</v>
      </c>
      <c r="P942">
        <v>890</v>
      </c>
      <c r="Q942" t="s">
        <v>2131</v>
      </c>
    </row>
    <row r="943" spans="1:17" x14ac:dyDescent="0.3">
      <c r="A943" t="s">
        <v>17</v>
      </c>
      <c r="B943" t="str">
        <f>"688676"</f>
        <v>688676</v>
      </c>
      <c r="C943" t="s">
        <v>2132</v>
      </c>
      <c r="D943" t="s">
        <v>224</v>
      </c>
      <c r="E943">
        <v>1262905304</v>
      </c>
      <c r="F943">
        <v>969958761</v>
      </c>
      <c r="P943">
        <v>42</v>
      </c>
      <c r="Q943" t="s">
        <v>2133</v>
      </c>
    </row>
    <row r="944" spans="1:17" x14ac:dyDescent="0.3">
      <c r="A944" t="s">
        <v>73</v>
      </c>
      <c r="B944" t="str">
        <f>"000700"</f>
        <v>000700</v>
      </c>
      <c r="C944" t="s">
        <v>2134</v>
      </c>
      <c r="D944" t="s">
        <v>106</v>
      </c>
      <c r="E944">
        <v>1262552324</v>
      </c>
      <c r="F944">
        <v>1213396364</v>
      </c>
      <c r="G944">
        <v>655097147</v>
      </c>
      <c r="H944">
        <v>976948375</v>
      </c>
      <c r="I944">
        <v>627811556</v>
      </c>
      <c r="J944">
        <v>522752481</v>
      </c>
      <c r="K944">
        <v>523204632</v>
      </c>
      <c r="L944">
        <v>451149103</v>
      </c>
      <c r="M944">
        <v>588626796</v>
      </c>
      <c r="N944">
        <v>330226946</v>
      </c>
      <c r="O944">
        <v>290047110</v>
      </c>
      <c r="P944">
        <v>259</v>
      </c>
      <c r="Q944" t="s">
        <v>2135</v>
      </c>
    </row>
    <row r="945" spans="1:17" x14ac:dyDescent="0.3">
      <c r="A945" t="s">
        <v>17</v>
      </c>
      <c r="B945" t="str">
        <f>"600801"</f>
        <v>600801</v>
      </c>
      <c r="C945" t="s">
        <v>2136</v>
      </c>
      <c r="D945" t="s">
        <v>90</v>
      </c>
      <c r="E945">
        <v>1262334599</v>
      </c>
      <c r="F945">
        <v>1147905424</v>
      </c>
      <c r="G945">
        <v>804868913</v>
      </c>
      <c r="H945">
        <v>979652826</v>
      </c>
      <c r="I945">
        <v>897287097</v>
      </c>
      <c r="J945">
        <v>977510294</v>
      </c>
      <c r="K945">
        <v>749308821</v>
      </c>
      <c r="L945">
        <v>1110336772</v>
      </c>
      <c r="M945">
        <v>1391594741</v>
      </c>
      <c r="N945">
        <v>1263543864</v>
      </c>
      <c r="O945">
        <v>1004573338</v>
      </c>
      <c r="P945">
        <v>1595</v>
      </c>
      <c r="Q945" t="s">
        <v>2137</v>
      </c>
    </row>
    <row r="946" spans="1:17" x14ac:dyDescent="0.3">
      <c r="A946" t="s">
        <v>17</v>
      </c>
      <c r="B946" t="str">
        <f>"688066"</f>
        <v>688066</v>
      </c>
      <c r="C946" t="s">
        <v>2138</v>
      </c>
      <c r="D946" t="s">
        <v>302</v>
      </c>
      <c r="E946">
        <v>1262080016</v>
      </c>
      <c r="F946">
        <v>686176182</v>
      </c>
      <c r="G946">
        <v>544594360</v>
      </c>
      <c r="H946">
        <v>0</v>
      </c>
      <c r="P946">
        <v>159</v>
      </c>
      <c r="Q946" t="s">
        <v>2139</v>
      </c>
    </row>
    <row r="947" spans="1:17" x14ac:dyDescent="0.3">
      <c r="A947" t="s">
        <v>17</v>
      </c>
      <c r="B947" t="str">
        <f>"603855"</f>
        <v>603855</v>
      </c>
      <c r="C947" t="s">
        <v>2140</v>
      </c>
      <c r="D947" t="s">
        <v>1451</v>
      </c>
      <c r="E947">
        <v>1261192346</v>
      </c>
      <c r="F947">
        <v>1121454968</v>
      </c>
      <c r="G947">
        <v>845607367</v>
      </c>
      <c r="H947">
        <v>804438413</v>
      </c>
      <c r="I947">
        <v>749451508</v>
      </c>
      <c r="J947">
        <v>707008456</v>
      </c>
      <c r="P947">
        <v>220</v>
      </c>
      <c r="Q947" t="s">
        <v>2141</v>
      </c>
    </row>
    <row r="948" spans="1:17" x14ac:dyDescent="0.3">
      <c r="A948" t="s">
        <v>73</v>
      </c>
      <c r="B948" t="str">
        <f>"002663"</f>
        <v>002663</v>
      </c>
      <c r="C948" t="s">
        <v>2142</v>
      </c>
      <c r="D948" t="s">
        <v>445</v>
      </c>
      <c r="E948">
        <v>1260600441</v>
      </c>
      <c r="F948">
        <v>1131665824</v>
      </c>
      <c r="G948">
        <v>1303674958</v>
      </c>
      <c r="H948">
        <v>1584263879</v>
      </c>
      <c r="I948">
        <v>1444352517</v>
      </c>
      <c r="J948">
        <v>1530350088</v>
      </c>
      <c r="K948">
        <v>1245827366</v>
      </c>
      <c r="L948">
        <v>786378926</v>
      </c>
      <c r="M948">
        <v>723458260</v>
      </c>
      <c r="N948">
        <v>469241905</v>
      </c>
      <c r="O948">
        <v>284527308</v>
      </c>
      <c r="P948">
        <v>95</v>
      </c>
      <c r="Q948" t="s">
        <v>2143</v>
      </c>
    </row>
    <row r="949" spans="1:17" x14ac:dyDescent="0.3">
      <c r="A949" t="s">
        <v>73</v>
      </c>
      <c r="B949" t="str">
        <f>"002111"</f>
        <v>002111</v>
      </c>
      <c r="C949" t="s">
        <v>2144</v>
      </c>
      <c r="D949" t="s">
        <v>1451</v>
      </c>
      <c r="E949">
        <v>1259468120</v>
      </c>
      <c r="F949">
        <v>970980110</v>
      </c>
      <c r="G949">
        <v>1100790244</v>
      </c>
      <c r="H949">
        <v>1078794338</v>
      </c>
      <c r="I949">
        <v>773406708</v>
      </c>
      <c r="J949">
        <v>733057499</v>
      </c>
      <c r="K949">
        <v>613512240</v>
      </c>
      <c r="L949">
        <v>548772250</v>
      </c>
      <c r="M949">
        <v>473260461</v>
      </c>
      <c r="N949">
        <v>347868552</v>
      </c>
      <c r="O949">
        <v>305190806</v>
      </c>
      <c r="P949">
        <v>214</v>
      </c>
      <c r="Q949" t="s">
        <v>2145</v>
      </c>
    </row>
    <row r="950" spans="1:17" x14ac:dyDescent="0.3">
      <c r="A950" t="s">
        <v>73</v>
      </c>
      <c r="B950" t="str">
        <f>"300308"</f>
        <v>300308</v>
      </c>
      <c r="C950" t="s">
        <v>2146</v>
      </c>
      <c r="D950" t="s">
        <v>189</v>
      </c>
      <c r="E950">
        <v>1259029763</v>
      </c>
      <c r="F950">
        <v>1398082227</v>
      </c>
      <c r="G950">
        <v>1111820193</v>
      </c>
      <c r="H950">
        <v>818768269</v>
      </c>
      <c r="I950">
        <v>870973732</v>
      </c>
      <c r="J950">
        <v>37831128</v>
      </c>
      <c r="K950">
        <v>73995614</v>
      </c>
      <c r="L950">
        <v>49006947</v>
      </c>
      <c r="M950">
        <v>55666687</v>
      </c>
      <c r="N950">
        <v>47056909</v>
      </c>
      <c r="O950">
        <v>53596849</v>
      </c>
      <c r="P950">
        <v>814</v>
      </c>
      <c r="Q950" t="s">
        <v>2147</v>
      </c>
    </row>
    <row r="951" spans="1:17" x14ac:dyDescent="0.3">
      <c r="A951" t="s">
        <v>73</v>
      </c>
      <c r="B951" t="str">
        <f>"000905"</f>
        <v>000905</v>
      </c>
      <c r="C951" t="s">
        <v>2148</v>
      </c>
      <c r="D951" t="s">
        <v>706</v>
      </c>
      <c r="E951">
        <v>1259018840</v>
      </c>
      <c r="F951">
        <v>1310491296</v>
      </c>
      <c r="G951">
        <v>1083122236</v>
      </c>
      <c r="H951">
        <v>699476630</v>
      </c>
      <c r="I951">
        <v>793086734</v>
      </c>
      <c r="J951">
        <v>1080723537</v>
      </c>
      <c r="K951">
        <v>823600680</v>
      </c>
      <c r="L951">
        <v>662476352</v>
      </c>
      <c r="M951">
        <v>553410417</v>
      </c>
      <c r="N951">
        <v>569308488</v>
      </c>
      <c r="O951">
        <v>536165789</v>
      </c>
      <c r="P951">
        <v>213</v>
      </c>
      <c r="Q951" t="s">
        <v>2149</v>
      </c>
    </row>
    <row r="952" spans="1:17" x14ac:dyDescent="0.3">
      <c r="A952" t="s">
        <v>17</v>
      </c>
      <c r="B952" t="str">
        <f>"688219"</f>
        <v>688219</v>
      </c>
      <c r="C952" t="s">
        <v>2150</v>
      </c>
      <c r="D952" t="s">
        <v>570</v>
      </c>
      <c r="E952">
        <v>1258287157</v>
      </c>
      <c r="F952">
        <v>1009799876</v>
      </c>
      <c r="P952">
        <v>50</v>
      </c>
      <c r="Q952" t="s">
        <v>2151</v>
      </c>
    </row>
    <row r="953" spans="1:17" x14ac:dyDescent="0.3">
      <c r="A953" t="s">
        <v>73</v>
      </c>
      <c r="B953" t="str">
        <f>"000666"</f>
        <v>000666</v>
      </c>
      <c r="C953" t="s">
        <v>2152</v>
      </c>
      <c r="D953" t="s">
        <v>2153</v>
      </c>
      <c r="E953">
        <v>1256572947</v>
      </c>
      <c r="F953">
        <v>848323297</v>
      </c>
      <c r="G953">
        <v>914144044</v>
      </c>
      <c r="H953">
        <v>1346760261</v>
      </c>
      <c r="I953">
        <v>1058047359</v>
      </c>
      <c r="J953">
        <v>1009807154</v>
      </c>
      <c r="K953">
        <v>1031277204</v>
      </c>
      <c r="L953">
        <v>901877283</v>
      </c>
      <c r="M953">
        <v>893159866</v>
      </c>
      <c r="N953">
        <v>799627378</v>
      </c>
      <c r="O953">
        <v>642874936</v>
      </c>
      <c r="P953">
        <v>186</v>
      </c>
      <c r="Q953" t="s">
        <v>2154</v>
      </c>
    </row>
    <row r="954" spans="1:17" x14ac:dyDescent="0.3">
      <c r="A954" t="s">
        <v>17</v>
      </c>
      <c r="B954" t="str">
        <f>"603939"</f>
        <v>603939</v>
      </c>
      <c r="C954" t="s">
        <v>2155</v>
      </c>
      <c r="D954" t="s">
        <v>1520</v>
      </c>
      <c r="E954">
        <v>1256521554</v>
      </c>
      <c r="F954">
        <v>901938007</v>
      </c>
      <c r="G954">
        <v>747643799</v>
      </c>
      <c r="H954">
        <v>725904123</v>
      </c>
      <c r="I954">
        <v>365194930</v>
      </c>
      <c r="J954">
        <v>265260512</v>
      </c>
      <c r="K954">
        <v>234255476</v>
      </c>
      <c r="L954">
        <v>121771386</v>
      </c>
      <c r="M954">
        <v>0</v>
      </c>
      <c r="P954">
        <v>1482</v>
      </c>
      <c r="Q954" t="s">
        <v>2156</v>
      </c>
    </row>
    <row r="955" spans="1:17" x14ac:dyDescent="0.3">
      <c r="A955" t="s">
        <v>17</v>
      </c>
      <c r="B955" t="str">
        <f>"600918"</f>
        <v>600918</v>
      </c>
      <c r="C955" t="s">
        <v>2157</v>
      </c>
      <c r="D955" t="s">
        <v>53</v>
      </c>
      <c r="E955">
        <v>1256288407</v>
      </c>
      <c r="F955">
        <v>930458918</v>
      </c>
      <c r="G955">
        <v>799149449</v>
      </c>
      <c r="H955">
        <v>235758128</v>
      </c>
      <c r="I955">
        <v>270599100</v>
      </c>
      <c r="K955">
        <v>1528920100</v>
      </c>
      <c r="L955">
        <v>52214224</v>
      </c>
      <c r="P955">
        <v>568</v>
      </c>
      <c r="Q955" t="s">
        <v>2158</v>
      </c>
    </row>
    <row r="956" spans="1:17" x14ac:dyDescent="0.3">
      <c r="A956" t="s">
        <v>17</v>
      </c>
      <c r="B956" t="str">
        <f>"600808"</f>
        <v>600808</v>
      </c>
      <c r="C956" t="s">
        <v>2159</v>
      </c>
      <c r="D956" t="s">
        <v>221</v>
      </c>
      <c r="E956">
        <v>1255470786</v>
      </c>
      <c r="F956">
        <v>1354047560</v>
      </c>
      <c r="G956">
        <v>1489980108</v>
      </c>
      <c r="H956">
        <v>1434006515</v>
      </c>
      <c r="I956">
        <v>895676336</v>
      </c>
      <c r="J956">
        <v>1005268259</v>
      </c>
      <c r="K956">
        <v>712977318</v>
      </c>
      <c r="L956">
        <v>820693522</v>
      </c>
      <c r="M956">
        <v>773527965</v>
      </c>
      <c r="N956">
        <v>1441139122</v>
      </c>
      <c r="O956">
        <v>1959687498</v>
      </c>
      <c r="P956">
        <v>636</v>
      </c>
      <c r="Q956" t="s">
        <v>2160</v>
      </c>
    </row>
    <row r="957" spans="1:17" x14ac:dyDescent="0.3">
      <c r="A957" t="s">
        <v>17</v>
      </c>
      <c r="B957" t="str">
        <f>"601921"</f>
        <v>601921</v>
      </c>
      <c r="C957" t="s">
        <v>2161</v>
      </c>
      <c r="D957" t="s">
        <v>1316</v>
      </c>
      <c r="E957">
        <v>1254273503</v>
      </c>
      <c r="F957">
        <v>757825831</v>
      </c>
      <c r="P957">
        <v>28</v>
      </c>
      <c r="Q957" t="s">
        <v>2162</v>
      </c>
    </row>
    <row r="958" spans="1:17" x14ac:dyDescent="0.3">
      <c r="A958" t="s">
        <v>73</v>
      </c>
      <c r="B958" t="str">
        <f>"300182"</f>
        <v>300182</v>
      </c>
      <c r="C958" t="s">
        <v>2163</v>
      </c>
      <c r="D958" t="s">
        <v>1306</v>
      </c>
      <c r="E958">
        <v>1251811462</v>
      </c>
      <c r="F958">
        <v>1566437886</v>
      </c>
      <c r="G958">
        <v>2338203314</v>
      </c>
      <c r="H958">
        <v>3906232387</v>
      </c>
      <c r="I958">
        <v>2304970296</v>
      </c>
      <c r="J958">
        <v>1921132698</v>
      </c>
      <c r="K958">
        <v>1501809645</v>
      </c>
      <c r="L958">
        <v>842695726</v>
      </c>
      <c r="M958">
        <v>650310681</v>
      </c>
      <c r="N958">
        <v>263238257</v>
      </c>
      <c r="O958">
        <v>100730657</v>
      </c>
      <c r="P958">
        <v>514</v>
      </c>
      <c r="Q958" t="s">
        <v>2164</v>
      </c>
    </row>
    <row r="959" spans="1:17" x14ac:dyDescent="0.3">
      <c r="A959" t="s">
        <v>73</v>
      </c>
      <c r="B959" t="str">
        <f>"300170"</f>
        <v>300170</v>
      </c>
      <c r="C959" t="s">
        <v>2165</v>
      </c>
      <c r="D959" t="s">
        <v>302</v>
      </c>
      <c r="E959">
        <v>1251469102</v>
      </c>
      <c r="F959">
        <v>1048103055</v>
      </c>
      <c r="G959">
        <v>1319654876</v>
      </c>
      <c r="H959">
        <v>1962302302</v>
      </c>
      <c r="I959">
        <v>1579809101</v>
      </c>
      <c r="J959">
        <v>1376515970</v>
      </c>
      <c r="K959">
        <v>713675544</v>
      </c>
      <c r="L959">
        <v>520397266</v>
      </c>
      <c r="M959">
        <v>412847105</v>
      </c>
      <c r="N959">
        <v>240949755</v>
      </c>
      <c r="O959">
        <v>167053351</v>
      </c>
      <c r="P959">
        <v>3198</v>
      </c>
      <c r="Q959" t="s">
        <v>2166</v>
      </c>
    </row>
    <row r="960" spans="1:17" x14ac:dyDescent="0.3">
      <c r="A960" t="s">
        <v>73</v>
      </c>
      <c r="B960" t="str">
        <f>"002768"</f>
        <v>002768</v>
      </c>
      <c r="C960" t="s">
        <v>2167</v>
      </c>
      <c r="D960" t="s">
        <v>570</v>
      </c>
      <c r="E960">
        <v>1250622685</v>
      </c>
      <c r="F960">
        <v>901655839</v>
      </c>
      <c r="G960">
        <v>886814736</v>
      </c>
      <c r="H960">
        <v>509542674</v>
      </c>
      <c r="I960">
        <v>478336527</v>
      </c>
      <c r="J960">
        <v>335749372</v>
      </c>
      <c r="K960">
        <v>196295823</v>
      </c>
      <c r="L960">
        <v>0</v>
      </c>
      <c r="M960">
        <v>0</v>
      </c>
      <c r="P960">
        <v>595</v>
      </c>
      <c r="Q960" t="s">
        <v>2168</v>
      </c>
    </row>
    <row r="961" spans="1:17" x14ac:dyDescent="0.3">
      <c r="A961" t="s">
        <v>73</v>
      </c>
      <c r="B961" t="str">
        <f>"301060"</f>
        <v>301060</v>
      </c>
      <c r="C961" t="s">
        <v>2169</v>
      </c>
      <c r="D961" t="s">
        <v>345</v>
      </c>
      <c r="E961">
        <v>1249539766</v>
      </c>
      <c r="P961">
        <v>41</v>
      </c>
      <c r="Q961" t="s">
        <v>2170</v>
      </c>
    </row>
    <row r="962" spans="1:17" x14ac:dyDescent="0.3">
      <c r="A962" t="s">
        <v>73</v>
      </c>
      <c r="B962" t="str">
        <f>"002457"</f>
        <v>002457</v>
      </c>
      <c r="C962" t="s">
        <v>2171</v>
      </c>
      <c r="D962" t="s">
        <v>1836</v>
      </c>
      <c r="E962">
        <v>1245484482</v>
      </c>
      <c r="F962">
        <v>1093931718</v>
      </c>
      <c r="G962">
        <v>821222765</v>
      </c>
      <c r="H962">
        <v>543221723</v>
      </c>
      <c r="I962">
        <v>368164009</v>
      </c>
      <c r="J962">
        <v>342151518</v>
      </c>
      <c r="K962">
        <v>440956736</v>
      </c>
      <c r="L962">
        <v>502884122</v>
      </c>
      <c r="M962">
        <v>464076924</v>
      </c>
      <c r="N962">
        <v>498220829</v>
      </c>
      <c r="O962">
        <v>468097155</v>
      </c>
      <c r="P962">
        <v>132</v>
      </c>
      <c r="Q962" t="s">
        <v>2172</v>
      </c>
    </row>
    <row r="963" spans="1:17" x14ac:dyDescent="0.3">
      <c r="A963" t="s">
        <v>73</v>
      </c>
      <c r="B963" t="str">
        <f>"300390"</f>
        <v>300390</v>
      </c>
      <c r="C963" t="s">
        <v>2173</v>
      </c>
      <c r="D963" t="s">
        <v>651</v>
      </c>
      <c r="E963">
        <v>1245219496</v>
      </c>
      <c r="F963">
        <v>307924351</v>
      </c>
      <c r="G963">
        <v>145590845</v>
      </c>
      <c r="H963">
        <v>0</v>
      </c>
      <c r="I963">
        <v>180255391</v>
      </c>
      <c r="J963">
        <v>179012351</v>
      </c>
      <c r="K963">
        <v>127399840</v>
      </c>
      <c r="L963">
        <v>113516100</v>
      </c>
      <c r="M963">
        <v>85943000</v>
      </c>
      <c r="N963">
        <v>0</v>
      </c>
      <c r="P963">
        <v>460</v>
      </c>
      <c r="Q963" t="s">
        <v>2174</v>
      </c>
    </row>
    <row r="964" spans="1:17" x14ac:dyDescent="0.3">
      <c r="A964" t="s">
        <v>73</v>
      </c>
      <c r="B964" t="str">
        <f>"200706"</f>
        <v>200706</v>
      </c>
      <c r="C964" t="s">
        <v>2175</v>
      </c>
      <c r="E964">
        <v>1244385689.52</v>
      </c>
      <c r="F964">
        <v>1064446064.9965</v>
      </c>
      <c r="G964">
        <v>1119613489.1252999</v>
      </c>
      <c r="H964">
        <v>1401321541.0104001</v>
      </c>
      <c r="I964">
        <v>1447764185.3745</v>
      </c>
      <c r="J964">
        <v>1522951369.77</v>
      </c>
      <c r="K964">
        <v>1232813525.1076</v>
      </c>
      <c r="L964">
        <v>1486766208.75</v>
      </c>
      <c r="M964">
        <v>1521788617.8252001</v>
      </c>
      <c r="N964">
        <v>1558175665.7478001</v>
      </c>
      <c r="O964">
        <v>1272739736.727</v>
      </c>
      <c r="P964">
        <v>7</v>
      </c>
      <c r="Q964" t="s">
        <v>2176</v>
      </c>
    </row>
    <row r="965" spans="1:17" x14ac:dyDescent="0.3">
      <c r="A965" t="s">
        <v>73</v>
      </c>
      <c r="B965" t="str">
        <f>"002584"</f>
        <v>002584</v>
      </c>
      <c r="C965" t="s">
        <v>2177</v>
      </c>
      <c r="D965" t="s">
        <v>2178</v>
      </c>
      <c r="E965">
        <v>1243736954</v>
      </c>
      <c r="F965">
        <v>1142030909</v>
      </c>
      <c r="G965">
        <v>636622526</v>
      </c>
      <c r="H965">
        <v>736231521</v>
      </c>
      <c r="I965">
        <v>401609386</v>
      </c>
      <c r="J965">
        <v>340172113</v>
      </c>
      <c r="K965">
        <v>318581103</v>
      </c>
      <c r="L965">
        <v>289070219</v>
      </c>
      <c r="M965">
        <v>242457741</v>
      </c>
      <c r="N965">
        <v>208157334</v>
      </c>
      <c r="O965">
        <v>181975402</v>
      </c>
      <c r="P965">
        <v>119</v>
      </c>
      <c r="Q965" t="s">
        <v>2179</v>
      </c>
    </row>
    <row r="966" spans="1:17" x14ac:dyDescent="0.3">
      <c r="A966" t="s">
        <v>73</v>
      </c>
      <c r="B966" t="str">
        <f>"300363"</f>
        <v>300363</v>
      </c>
      <c r="C966" t="s">
        <v>2180</v>
      </c>
      <c r="D966" t="s">
        <v>459</v>
      </c>
      <c r="E966">
        <v>1239977446</v>
      </c>
      <c r="F966">
        <v>478779475</v>
      </c>
      <c r="G966">
        <v>330576947</v>
      </c>
      <c r="H966">
        <v>212519467</v>
      </c>
      <c r="I966">
        <v>233351253</v>
      </c>
      <c r="J966">
        <v>237126772</v>
      </c>
      <c r="K966">
        <v>247124487</v>
      </c>
      <c r="L966">
        <v>160471387</v>
      </c>
      <c r="M966">
        <v>97534157</v>
      </c>
      <c r="N966">
        <v>0</v>
      </c>
      <c r="P966">
        <v>542</v>
      </c>
      <c r="Q966" t="s">
        <v>2181</v>
      </c>
    </row>
    <row r="967" spans="1:17" x14ac:dyDescent="0.3">
      <c r="A967" t="s">
        <v>73</v>
      </c>
      <c r="B967" t="str">
        <f>"002418"</f>
        <v>002418</v>
      </c>
      <c r="C967" t="s">
        <v>2182</v>
      </c>
      <c r="D967" t="s">
        <v>654</v>
      </c>
      <c r="E967">
        <v>1239135199</v>
      </c>
      <c r="F967">
        <v>1180788689</v>
      </c>
      <c r="G967">
        <v>1132634362</v>
      </c>
      <c r="H967">
        <v>1876943376</v>
      </c>
      <c r="I967">
        <v>1262605130</v>
      </c>
      <c r="J967">
        <v>1112153004</v>
      </c>
      <c r="K967">
        <v>703553141</v>
      </c>
      <c r="L967">
        <v>475420513</v>
      </c>
      <c r="M967">
        <v>432290343</v>
      </c>
      <c r="N967">
        <v>380199421</v>
      </c>
      <c r="O967">
        <v>292238936</v>
      </c>
      <c r="P967">
        <v>94</v>
      </c>
      <c r="Q967" t="s">
        <v>2183</v>
      </c>
    </row>
    <row r="968" spans="1:17" x14ac:dyDescent="0.3">
      <c r="A968" t="s">
        <v>17</v>
      </c>
      <c r="B968" t="str">
        <f>"603733"</f>
        <v>603733</v>
      </c>
      <c r="C968" t="s">
        <v>2184</v>
      </c>
      <c r="D968" t="s">
        <v>2185</v>
      </c>
      <c r="E968">
        <v>1238551094</v>
      </c>
      <c r="F968">
        <v>1108965671</v>
      </c>
      <c r="G968">
        <v>842823565</v>
      </c>
      <c r="H968">
        <v>732812719</v>
      </c>
      <c r="I968">
        <v>674267987</v>
      </c>
      <c r="P968">
        <v>233</v>
      </c>
      <c r="Q968" t="s">
        <v>2186</v>
      </c>
    </row>
    <row r="969" spans="1:17" x14ac:dyDescent="0.3">
      <c r="A969" t="s">
        <v>73</v>
      </c>
      <c r="B969" t="str">
        <f>"301082"</f>
        <v>301082</v>
      </c>
      <c r="C969" t="s">
        <v>2187</v>
      </c>
      <c r="D969" t="s">
        <v>515</v>
      </c>
      <c r="E969">
        <v>1237576070</v>
      </c>
      <c r="P969">
        <v>17</v>
      </c>
      <c r="Q969" t="s">
        <v>2188</v>
      </c>
    </row>
    <row r="970" spans="1:17" x14ac:dyDescent="0.3">
      <c r="A970" t="s">
        <v>73</v>
      </c>
      <c r="B970" t="str">
        <f>"300266"</f>
        <v>300266</v>
      </c>
      <c r="C970" t="s">
        <v>2189</v>
      </c>
      <c r="D970" t="s">
        <v>308</v>
      </c>
      <c r="E970">
        <v>1237440096</v>
      </c>
      <c r="F970">
        <v>1108647213</v>
      </c>
      <c r="G970">
        <v>1377181391</v>
      </c>
      <c r="H970">
        <v>1144144248</v>
      </c>
      <c r="I970">
        <v>1616563505</v>
      </c>
      <c r="J970">
        <v>1025232576</v>
      </c>
      <c r="K970">
        <v>567682605</v>
      </c>
      <c r="L970">
        <v>390053811</v>
      </c>
      <c r="M970">
        <v>266557086</v>
      </c>
      <c r="N970">
        <v>92600575</v>
      </c>
      <c r="O970">
        <v>87883455</v>
      </c>
      <c r="P970">
        <v>145</v>
      </c>
      <c r="Q970" t="s">
        <v>2190</v>
      </c>
    </row>
    <row r="971" spans="1:17" x14ac:dyDescent="0.3">
      <c r="A971" t="s">
        <v>73</v>
      </c>
      <c r="B971" t="str">
        <f>"300222"</f>
        <v>300222</v>
      </c>
      <c r="C971" t="s">
        <v>2191</v>
      </c>
      <c r="D971" t="s">
        <v>161</v>
      </c>
      <c r="E971">
        <v>1234478086</v>
      </c>
      <c r="F971">
        <v>1259363163</v>
      </c>
      <c r="G971">
        <v>1464368486</v>
      </c>
      <c r="H971">
        <v>2035281852</v>
      </c>
      <c r="I971">
        <v>1235223532</v>
      </c>
      <c r="J971">
        <v>731804793</v>
      </c>
      <c r="K971">
        <v>362050827</v>
      </c>
      <c r="L971">
        <v>275474771</v>
      </c>
      <c r="M971">
        <v>159013595</v>
      </c>
      <c r="N971">
        <v>119068866</v>
      </c>
      <c r="O971">
        <v>95586994</v>
      </c>
      <c r="P971">
        <v>221</v>
      </c>
      <c r="Q971" t="s">
        <v>2192</v>
      </c>
    </row>
    <row r="972" spans="1:17" x14ac:dyDescent="0.3">
      <c r="A972" t="s">
        <v>73</v>
      </c>
      <c r="B972" t="str">
        <f>"000788"</f>
        <v>000788</v>
      </c>
      <c r="C972" t="s">
        <v>2193</v>
      </c>
      <c r="D972" t="s">
        <v>348</v>
      </c>
      <c r="E972">
        <v>1233516935</v>
      </c>
      <c r="F972">
        <v>1193111423</v>
      </c>
      <c r="G972">
        <v>1051392420</v>
      </c>
      <c r="H972">
        <v>772544159</v>
      </c>
      <c r="I972">
        <v>1036980220</v>
      </c>
      <c r="J972">
        <v>942841240</v>
      </c>
      <c r="K972">
        <v>765404345</v>
      </c>
      <c r="L972">
        <v>670244342</v>
      </c>
      <c r="M972">
        <v>754291136</v>
      </c>
      <c r="N972">
        <v>735327397</v>
      </c>
      <c r="O972">
        <v>542945261</v>
      </c>
      <c r="P972">
        <v>137</v>
      </c>
      <c r="Q972" t="s">
        <v>2194</v>
      </c>
    </row>
    <row r="973" spans="1:17" x14ac:dyDescent="0.3">
      <c r="A973" t="s">
        <v>73</v>
      </c>
      <c r="B973" t="str">
        <f>"300724"</f>
        <v>300724</v>
      </c>
      <c r="C973" t="s">
        <v>2195</v>
      </c>
      <c r="D973" t="s">
        <v>1484</v>
      </c>
      <c r="E973">
        <v>1232979462</v>
      </c>
      <c r="F973">
        <v>1501635639</v>
      </c>
      <c r="G973">
        <v>440786011</v>
      </c>
      <c r="H973">
        <v>368329232</v>
      </c>
      <c r="I973">
        <v>198378049</v>
      </c>
      <c r="J973">
        <v>0</v>
      </c>
      <c r="P973">
        <v>573</v>
      </c>
      <c r="Q973" t="s">
        <v>2196</v>
      </c>
    </row>
    <row r="974" spans="1:17" x14ac:dyDescent="0.3">
      <c r="A974" t="s">
        <v>73</v>
      </c>
      <c r="B974" t="str">
        <f>"002011"</f>
        <v>002011</v>
      </c>
      <c r="C974" t="s">
        <v>2197</v>
      </c>
      <c r="D974" t="s">
        <v>654</v>
      </c>
      <c r="E974">
        <v>1232749284</v>
      </c>
      <c r="F974">
        <v>1096212451</v>
      </c>
      <c r="G974">
        <v>1376087852</v>
      </c>
      <c r="H974">
        <v>2296417032</v>
      </c>
      <c r="I974">
        <v>2053806352</v>
      </c>
      <c r="J974">
        <v>1857237518</v>
      </c>
      <c r="K974">
        <v>1239470627</v>
      </c>
      <c r="L974">
        <v>1229792865</v>
      </c>
      <c r="M974">
        <v>1233271363</v>
      </c>
      <c r="N974">
        <v>1097987034</v>
      </c>
      <c r="O974">
        <v>1024960647</v>
      </c>
      <c r="P974">
        <v>201</v>
      </c>
      <c r="Q974" t="s">
        <v>2198</v>
      </c>
    </row>
    <row r="975" spans="1:17" x14ac:dyDescent="0.3">
      <c r="A975" t="s">
        <v>73</v>
      </c>
      <c r="B975" t="str">
        <f>"002045"</f>
        <v>002045</v>
      </c>
      <c r="C975" t="s">
        <v>2199</v>
      </c>
      <c r="D975" t="s">
        <v>1937</v>
      </c>
      <c r="E975">
        <v>1231479097</v>
      </c>
      <c r="F975">
        <v>1065005354</v>
      </c>
      <c r="G975">
        <v>716159118</v>
      </c>
      <c r="H975">
        <v>792336733</v>
      </c>
      <c r="I975">
        <v>902177733</v>
      </c>
      <c r="J975">
        <v>722898453</v>
      </c>
      <c r="K975">
        <v>391465009</v>
      </c>
      <c r="L975">
        <v>463748441</v>
      </c>
      <c r="M975">
        <v>425746543</v>
      </c>
      <c r="N975">
        <v>411538719</v>
      </c>
      <c r="O975">
        <v>542398456</v>
      </c>
      <c r="P975">
        <v>216</v>
      </c>
      <c r="Q975" t="s">
        <v>2200</v>
      </c>
    </row>
    <row r="976" spans="1:17" x14ac:dyDescent="0.3">
      <c r="A976" t="s">
        <v>17</v>
      </c>
      <c r="B976" t="str">
        <f>"600726"</f>
        <v>600726</v>
      </c>
      <c r="C976" t="s">
        <v>2201</v>
      </c>
      <c r="D976" t="s">
        <v>71</v>
      </c>
      <c r="E976">
        <v>1231323036</v>
      </c>
      <c r="F976">
        <v>1243878798</v>
      </c>
      <c r="G976">
        <v>1453873293</v>
      </c>
      <c r="H976">
        <v>1135113118</v>
      </c>
      <c r="I976">
        <v>1609262927</v>
      </c>
      <c r="J976">
        <v>967724884</v>
      </c>
      <c r="K976">
        <v>1365431352</v>
      </c>
      <c r="L976">
        <v>1415920746</v>
      </c>
      <c r="M976">
        <v>1605133489</v>
      </c>
      <c r="N976">
        <v>864441102</v>
      </c>
      <c r="O976">
        <v>848337459</v>
      </c>
      <c r="P976">
        <v>110</v>
      </c>
      <c r="Q976" t="s">
        <v>2202</v>
      </c>
    </row>
    <row r="977" spans="1:17" x14ac:dyDescent="0.3">
      <c r="A977" t="s">
        <v>73</v>
      </c>
      <c r="B977" t="str">
        <f>"000711"</f>
        <v>000711</v>
      </c>
      <c r="C977" t="s">
        <v>2203</v>
      </c>
      <c r="D977" t="s">
        <v>623</v>
      </c>
      <c r="E977">
        <v>1228757673</v>
      </c>
      <c r="F977">
        <v>1293454655</v>
      </c>
      <c r="G977">
        <v>1955707197</v>
      </c>
      <c r="H977">
        <v>604944706</v>
      </c>
      <c r="I977">
        <v>700695334</v>
      </c>
      <c r="J977">
        <v>347300925</v>
      </c>
      <c r="K977">
        <v>7726478</v>
      </c>
      <c r="L977">
        <v>40105</v>
      </c>
      <c r="M977">
        <v>94501</v>
      </c>
      <c r="N977">
        <v>602105</v>
      </c>
      <c r="O977">
        <v>585888</v>
      </c>
      <c r="P977">
        <v>109</v>
      </c>
      <c r="Q977" t="s">
        <v>2204</v>
      </c>
    </row>
    <row r="978" spans="1:17" x14ac:dyDescent="0.3">
      <c r="A978" t="s">
        <v>17</v>
      </c>
      <c r="B978" t="str">
        <f>"600775"</f>
        <v>600775</v>
      </c>
      <c r="C978" t="s">
        <v>2205</v>
      </c>
      <c r="D978" t="s">
        <v>332</v>
      </c>
      <c r="E978">
        <v>1228641121</v>
      </c>
      <c r="F978">
        <v>1183453973</v>
      </c>
      <c r="G978">
        <v>995779571</v>
      </c>
      <c r="H978">
        <v>0</v>
      </c>
      <c r="I978">
        <v>1247598334</v>
      </c>
      <c r="J978">
        <v>1137977223</v>
      </c>
      <c r="K978">
        <v>1075501597</v>
      </c>
      <c r="L978">
        <v>937716547</v>
      </c>
      <c r="M978">
        <v>689098709</v>
      </c>
      <c r="N978">
        <v>748090034</v>
      </c>
      <c r="O978">
        <v>617336141</v>
      </c>
      <c r="P978">
        <v>179</v>
      </c>
      <c r="Q978" t="s">
        <v>2206</v>
      </c>
    </row>
    <row r="979" spans="1:17" x14ac:dyDescent="0.3">
      <c r="A979" t="s">
        <v>73</v>
      </c>
      <c r="B979" t="str">
        <f>"000990"</f>
        <v>000990</v>
      </c>
      <c r="C979" t="s">
        <v>2207</v>
      </c>
      <c r="D979" t="s">
        <v>1145</v>
      </c>
      <c r="E979">
        <v>1228275164</v>
      </c>
      <c r="F979">
        <v>1151452462</v>
      </c>
      <c r="G979">
        <v>1163384418</v>
      </c>
      <c r="H979">
        <v>792117166</v>
      </c>
      <c r="I979">
        <v>961996411</v>
      </c>
      <c r="J979">
        <v>1284977865</v>
      </c>
      <c r="K979">
        <v>1147776508</v>
      </c>
      <c r="L979">
        <v>1009931093</v>
      </c>
      <c r="M979">
        <v>616438784</v>
      </c>
      <c r="N979">
        <v>441896145</v>
      </c>
      <c r="O979">
        <v>390024907</v>
      </c>
      <c r="P979">
        <v>194</v>
      </c>
      <c r="Q979" t="s">
        <v>2208</v>
      </c>
    </row>
    <row r="980" spans="1:17" x14ac:dyDescent="0.3">
      <c r="A980" t="s">
        <v>73</v>
      </c>
      <c r="B980" t="str">
        <f>"000626"</f>
        <v>000626</v>
      </c>
      <c r="C980" t="s">
        <v>2209</v>
      </c>
      <c r="D980" t="s">
        <v>192</v>
      </c>
      <c r="E980">
        <v>1226554137</v>
      </c>
      <c r="F980">
        <v>600679152</v>
      </c>
      <c r="G980">
        <v>546043062</v>
      </c>
      <c r="H980">
        <v>757988997</v>
      </c>
      <c r="I980">
        <v>480853469</v>
      </c>
      <c r="J980">
        <v>1005641051</v>
      </c>
      <c r="K980">
        <v>494068949</v>
      </c>
      <c r="L980">
        <v>484131052</v>
      </c>
      <c r="M980">
        <v>470804422</v>
      </c>
      <c r="N980">
        <v>373635655</v>
      </c>
      <c r="O980">
        <v>270338871</v>
      </c>
      <c r="P980">
        <v>125</v>
      </c>
      <c r="Q980" t="s">
        <v>2210</v>
      </c>
    </row>
    <row r="981" spans="1:17" x14ac:dyDescent="0.3">
      <c r="A981" t="s">
        <v>17</v>
      </c>
      <c r="B981" t="str">
        <f>"603856"</f>
        <v>603856</v>
      </c>
      <c r="C981" t="s">
        <v>2211</v>
      </c>
      <c r="D981" t="s">
        <v>1836</v>
      </c>
      <c r="E981">
        <v>1226488290</v>
      </c>
      <c r="F981">
        <v>1044604061</v>
      </c>
      <c r="G981">
        <v>756605966</v>
      </c>
      <c r="H981">
        <v>605085498</v>
      </c>
      <c r="I981">
        <v>514508555</v>
      </c>
      <c r="P981">
        <v>138</v>
      </c>
      <c r="Q981" t="s">
        <v>2212</v>
      </c>
    </row>
    <row r="982" spans="1:17" x14ac:dyDescent="0.3">
      <c r="A982" t="s">
        <v>73</v>
      </c>
      <c r="B982" t="str">
        <f>"000589"</f>
        <v>000589</v>
      </c>
      <c r="C982" t="s">
        <v>2213</v>
      </c>
      <c r="D982" t="s">
        <v>781</v>
      </c>
      <c r="E982">
        <v>1226126154</v>
      </c>
      <c r="F982">
        <v>844295639</v>
      </c>
      <c r="G982">
        <v>786870803</v>
      </c>
      <c r="H982">
        <v>967827955</v>
      </c>
      <c r="I982">
        <v>1150180020</v>
      </c>
      <c r="J982">
        <v>1330155577</v>
      </c>
      <c r="K982">
        <v>1389298119</v>
      </c>
      <c r="L982">
        <v>1534900854</v>
      </c>
      <c r="M982">
        <v>1243671912</v>
      </c>
      <c r="N982">
        <v>1276418925</v>
      </c>
      <c r="O982">
        <v>1544058497</v>
      </c>
      <c r="P982">
        <v>208</v>
      </c>
      <c r="Q982" t="s">
        <v>2214</v>
      </c>
    </row>
    <row r="983" spans="1:17" x14ac:dyDescent="0.3">
      <c r="A983" t="s">
        <v>73</v>
      </c>
      <c r="B983" t="str">
        <f>"300365"</f>
        <v>300365</v>
      </c>
      <c r="C983" t="s">
        <v>2215</v>
      </c>
      <c r="D983" t="s">
        <v>795</v>
      </c>
      <c r="E983">
        <v>1223462380</v>
      </c>
      <c r="F983">
        <v>1303137676</v>
      </c>
      <c r="G983">
        <v>1284688174</v>
      </c>
      <c r="H983">
        <v>938355678</v>
      </c>
      <c r="I983">
        <v>844412046</v>
      </c>
      <c r="J983">
        <v>477144575</v>
      </c>
      <c r="K983">
        <v>288904426</v>
      </c>
      <c r="L983">
        <v>151921086</v>
      </c>
      <c r="M983">
        <v>111244675</v>
      </c>
      <c r="N983">
        <v>0</v>
      </c>
      <c r="P983">
        <v>334</v>
      </c>
      <c r="Q983" t="s">
        <v>2216</v>
      </c>
    </row>
    <row r="984" spans="1:17" x14ac:dyDescent="0.3">
      <c r="A984" t="s">
        <v>73</v>
      </c>
      <c r="B984" t="str">
        <f>"300496"</f>
        <v>300496</v>
      </c>
      <c r="C984" t="s">
        <v>2217</v>
      </c>
      <c r="D984" t="s">
        <v>302</v>
      </c>
      <c r="E984">
        <v>1223296566</v>
      </c>
      <c r="F984">
        <v>755938585</v>
      </c>
      <c r="G984">
        <v>454009312</v>
      </c>
      <c r="H984">
        <v>487782310</v>
      </c>
      <c r="I984">
        <v>378701873</v>
      </c>
      <c r="J984">
        <v>361902258</v>
      </c>
      <c r="K984">
        <v>276045311</v>
      </c>
      <c r="L984">
        <v>158303956</v>
      </c>
      <c r="M984">
        <v>0</v>
      </c>
      <c r="P984">
        <v>1141</v>
      </c>
      <c r="Q984" t="s">
        <v>2218</v>
      </c>
    </row>
    <row r="985" spans="1:17" x14ac:dyDescent="0.3">
      <c r="A985" t="s">
        <v>73</v>
      </c>
      <c r="B985" t="str">
        <f>"000686"</f>
        <v>000686</v>
      </c>
      <c r="C985" t="s">
        <v>2219</v>
      </c>
      <c r="D985" t="s">
        <v>53</v>
      </c>
      <c r="E985">
        <v>1218821864</v>
      </c>
      <c r="F985">
        <v>296108628</v>
      </c>
      <c r="G985">
        <v>306819213</v>
      </c>
      <c r="H985">
        <v>170863284</v>
      </c>
      <c r="I985">
        <v>325203147</v>
      </c>
      <c r="J985">
        <v>1240649314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888</v>
      </c>
      <c r="Q985" t="s">
        <v>2220</v>
      </c>
    </row>
    <row r="986" spans="1:17" x14ac:dyDescent="0.3">
      <c r="A986" t="s">
        <v>73</v>
      </c>
      <c r="B986" t="str">
        <f>"002543"</f>
        <v>002543</v>
      </c>
      <c r="C986" t="s">
        <v>2221</v>
      </c>
      <c r="D986" t="s">
        <v>2222</v>
      </c>
      <c r="E986">
        <v>1217784883</v>
      </c>
      <c r="F986">
        <v>1347255529</v>
      </c>
      <c r="G986">
        <v>669979804</v>
      </c>
      <c r="H986">
        <v>928693936</v>
      </c>
      <c r="I986">
        <v>666329292</v>
      </c>
      <c r="J986">
        <v>580399917</v>
      </c>
      <c r="K986">
        <v>551221984</v>
      </c>
      <c r="L986">
        <v>535145328</v>
      </c>
      <c r="M986">
        <v>478166632</v>
      </c>
      <c r="N986">
        <v>239425149</v>
      </c>
      <c r="O986">
        <v>248494461</v>
      </c>
      <c r="P986">
        <v>434</v>
      </c>
      <c r="Q986" t="s">
        <v>2223</v>
      </c>
    </row>
    <row r="987" spans="1:17" x14ac:dyDescent="0.3">
      <c r="A987" t="s">
        <v>17</v>
      </c>
      <c r="B987" t="str">
        <f>"600116"</f>
        <v>600116</v>
      </c>
      <c r="C987" t="s">
        <v>2224</v>
      </c>
      <c r="D987" t="s">
        <v>314</v>
      </c>
      <c r="E987">
        <v>1216870216</v>
      </c>
      <c r="F987">
        <v>1085010243</v>
      </c>
      <c r="G987">
        <v>94650896</v>
      </c>
      <c r="H987">
        <v>79695253</v>
      </c>
      <c r="I987">
        <v>68093606</v>
      </c>
      <c r="J987">
        <v>50053557</v>
      </c>
      <c r="K987">
        <v>49977309</v>
      </c>
      <c r="L987">
        <v>43232299</v>
      </c>
      <c r="M987">
        <v>38101525</v>
      </c>
      <c r="N987">
        <v>39114367</v>
      </c>
      <c r="O987">
        <v>36248457</v>
      </c>
      <c r="P987">
        <v>236</v>
      </c>
      <c r="Q987" t="s">
        <v>2225</v>
      </c>
    </row>
    <row r="988" spans="1:17" x14ac:dyDescent="0.3">
      <c r="A988" t="s">
        <v>73</v>
      </c>
      <c r="B988" t="str">
        <f>"000811"</f>
        <v>000811</v>
      </c>
      <c r="C988" t="s">
        <v>2226</v>
      </c>
      <c r="D988" t="s">
        <v>2227</v>
      </c>
      <c r="E988">
        <v>1215228831</v>
      </c>
      <c r="F988">
        <v>1074900459</v>
      </c>
      <c r="G988">
        <v>1037926240</v>
      </c>
      <c r="H988">
        <v>1247053003</v>
      </c>
      <c r="I988">
        <v>1126624102</v>
      </c>
      <c r="J988">
        <v>980024316</v>
      </c>
      <c r="K988">
        <v>784098954</v>
      </c>
      <c r="L988">
        <v>380487316</v>
      </c>
      <c r="M988">
        <v>308538768</v>
      </c>
      <c r="N988">
        <v>270156670</v>
      </c>
      <c r="O988">
        <v>274759270</v>
      </c>
      <c r="P988">
        <v>224</v>
      </c>
      <c r="Q988" t="s">
        <v>2228</v>
      </c>
    </row>
    <row r="989" spans="1:17" x14ac:dyDescent="0.3">
      <c r="A989" t="s">
        <v>73</v>
      </c>
      <c r="B989" t="str">
        <f>"300366"</f>
        <v>300366</v>
      </c>
      <c r="C989" t="s">
        <v>2229</v>
      </c>
      <c r="D989" t="s">
        <v>795</v>
      </c>
      <c r="E989">
        <v>1214849883</v>
      </c>
      <c r="F989">
        <v>1377032327</v>
      </c>
      <c r="G989">
        <v>1311909176</v>
      </c>
      <c r="H989">
        <v>1205461148</v>
      </c>
      <c r="I989">
        <v>902769924</v>
      </c>
      <c r="J989">
        <v>666670390</v>
      </c>
      <c r="K989">
        <v>487745901</v>
      </c>
      <c r="L989">
        <v>168462503</v>
      </c>
      <c r="M989">
        <v>146464603</v>
      </c>
      <c r="N989">
        <v>0</v>
      </c>
      <c r="P989">
        <v>222</v>
      </c>
      <c r="Q989" t="s">
        <v>2230</v>
      </c>
    </row>
    <row r="990" spans="1:17" x14ac:dyDescent="0.3">
      <c r="A990" t="s">
        <v>73</v>
      </c>
      <c r="B990" t="str">
        <f>"300373"</f>
        <v>300373</v>
      </c>
      <c r="C990" t="s">
        <v>2231</v>
      </c>
      <c r="D990" t="s">
        <v>1479</v>
      </c>
      <c r="E990">
        <v>1213000625</v>
      </c>
      <c r="F990">
        <v>905308091</v>
      </c>
      <c r="G990">
        <v>607732661</v>
      </c>
      <c r="H990">
        <v>548284434</v>
      </c>
      <c r="I990">
        <v>484739325</v>
      </c>
      <c r="J990">
        <v>369092577</v>
      </c>
      <c r="K990">
        <v>342065372</v>
      </c>
      <c r="L990">
        <v>236256735</v>
      </c>
      <c r="M990">
        <v>189425905</v>
      </c>
      <c r="N990">
        <v>0</v>
      </c>
      <c r="P990">
        <v>4304</v>
      </c>
      <c r="Q990" t="s">
        <v>2232</v>
      </c>
    </row>
    <row r="991" spans="1:17" x14ac:dyDescent="0.3">
      <c r="A991" t="s">
        <v>17</v>
      </c>
      <c r="B991" t="str">
        <f>"601801"</f>
        <v>601801</v>
      </c>
      <c r="C991" t="s">
        <v>2233</v>
      </c>
      <c r="D991" t="s">
        <v>1921</v>
      </c>
      <c r="E991">
        <v>1212153940</v>
      </c>
      <c r="F991">
        <v>1342121780</v>
      </c>
      <c r="G991">
        <v>1836023953</v>
      </c>
      <c r="H991">
        <v>2005656548</v>
      </c>
      <c r="I991">
        <v>1559444305</v>
      </c>
      <c r="J991">
        <v>1430420769</v>
      </c>
      <c r="K991">
        <v>1262101948</v>
      </c>
      <c r="L991">
        <v>1226004617</v>
      </c>
      <c r="M991">
        <v>1036263371</v>
      </c>
      <c r="N991">
        <v>871221058</v>
      </c>
      <c r="O991">
        <v>647849248</v>
      </c>
      <c r="P991">
        <v>267</v>
      </c>
      <c r="Q991" t="s">
        <v>2234</v>
      </c>
    </row>
    <row r="992" spans="1:17" x14ac:dyDescent="0.3">
      <c r="A992" t="s">
        <v>17</v>
      </c>
      <c r="B992" t="str">
        <f>"603987"</f>
        <v>603987</v>
      </c>
      <c r="C992" t="s">
        <v>2235</v>
      </c>
      <c r="D992" t="s">
        <v>1523</v>
      </c>
      <c r="E992">
        <v>1211167248</v>
      </c>
      <c r="F992">
        <v>758694198</v>
      </c>
      <c r="G992">
        <v>567083993</v>
      </c>
      <c r="H992">
        <v>223457139</v>
      </c>
      <c r="I992">
        <v>219868251</v>
      </c>
      <c r="J992">
        <v>197361924</v>
      </c>
      <c r="P992">
        <v>266</v>
      </c>
      <c r="Q992" t="s">
        <v>2236</v>
      </c>
    </row>
    <row r="993" spans="1:17" x14ac:dyDescent="0.3">
      <c r="A993" t="s">
        <v>73</v>
      </c>
      <c r="B993" t="str">
        <f>"002426"</f>
        <v>002426</v>
      </c>
      <c r="C993" t="s">
        <v>2237</v>
      </c>
      <c r="D993" t="s">
        <v>146</v>
      </c>
      <c r="E993">
        <v>1209858027</v>
      </c>
      <c r="F993">
        <v>1636554618</v>
      </c>
      <c r="G993">
        <v>2347421766</v>
      </c>
      <c r="H993">
        <v>3598425871</v>
      </c>
      <c r="I993">
        <v>3490555950</v>
      </c>
      <c r="J993">
        <v>2349872024</v>
      </c>
      <c r="K993">
        <v>1978496630</v>
      </c>
      <c r="L993">
        <v>1010551675</v>
      </c>
      <c r="M993">
        <v>612469224</v>
      </c>
      <c r="N993">
        <v>531634944</v>
      </c>
      <c r="O993">
        <v>400887195</v>
      </c>
      <c r="P993">
        <v>207</v>
      </c>
      <c r="Q993" t="s">
        <v>2238</v>
      </c>
    </row>
    <row r="994" spans="1:17" x14ac:dyDescent="0.3">
      <c r="A994" t="s">
        <v>73</v>
      </c>
      <c r="B994" t="str">
        <f>"002043"</f>
        <v>002043</v>
      </c>
      <c r="C994" t="s">
        <v>2239</v>
      </c>
      <c r="D994" t="s">
        <v>808</v>
      </c>
      <c r="E994">
        <v>1209773204</v>
      </c>
      <c r="F994">
        <v>831819434</v>
      </c>
      <c r="G994">
        <v>498544867</v>
      </c>
      <c r="H994">
        <v>150583943</v>
      </c>
      <c r="I994">
        <v>96796611</v>
      </c>
      <c r="J994">
        <v>81285415</v>
      </c>
      <c r="K994">
        <v>68714702</v>
      </c>
      <c r="L994">
        <v>58779235</v>
      </c>
      <c r="M994">
        <v>58086058</v>
      </c>
      <c r="N994">
        <v>75250983</v>
      </c>
      <c r="O994">
        <v>66520764</v>
      </c>
      <c r="P994">
        <v>665</v>
      </c>
      <c r="Q994" t="s">
        <v>2240</v>
      </c>
    </row>
    <row r="995" spans="1:17" x14ac:dyDescent="0.3">
      <c r="A995" t="s">
        <v>17</v>
      </c>
      <c r="B995" t="str">
        <f>"600346"</f>
        <v>600346</v>
      </c>
      <c r="C995" t="s">
        <v>2241</v>
      </c>
      <c r="D995" t="s">
        <v>36</v>
      </c>
      <c r="E995">
        <v>1209406467</v>
      </c>
      <c r="F995">
        <v>4033552678</v>
      </c>
      <c r="G995">
        <v>1185976612</v>
      </c>
      <c r="H995">
        <v>492272842</v>
      </c>
      <c r="I995">
        <v>249603214</v>
      </c>
      <c r="J995">
        <v>107876753</v>
      </c>
      <c r="K995">
        <v>180879539</v>
      </c>
      <c r="L995">
        <v>261610449</v>
      </c>
      <c r="M995">
        <v>326745980</v>
      </c>
      <c r="N995">
        <v>418130551</v>
      </c>
      <c r="O995">
        <v>405892716</v>
      </c>
      <c r="P995">
        <v>1652</v>
      </c>
      <c r="Q995" t="s">
        <v>2242</v>
      </c>
    </row>
    <row r="996" spans="1:17" x14ac:dyDescent="0.3">
      <c r="A996" t="s">
        <v>73</v>
      </c>
      <c r="B996" t="str">
        <f>"002630"</f>
        <v>002630</v>
      </c>
      <c r="C996" t="s">
        <v>2243</v>
      </c>
      <c r="D996" t="s">
        <v>2087</v>
      </c>
      <c r="E996">
        <v>1209345315</v>
      </c>
      <c r="F996">
        <v>1503609694</v>
      </c>
      <c r="G996">
        <v>3113161798</v>
      </c>
      <c r="H996">
        <v>4235532651</v>
      </c>
      <c r="I996">
        <v>3922132828</v>
      </c>
      <c r="J996">
        <v>2704593428</v>
      </c>
      <c r="K996">
        <v>2362414565</v>
      </c>
      <c r="L996">
        <v>2057629484</v>
      </c>
      <c r="M996">
        <v>1739051935</v>
      </c>
      <c r="N996">
        <v>1143943997</v>
      </c>
      <c r="O996">
        <v>982185290</v>
      </c>
      <c r="P996">
        <v>109</v>
      </c>
      <c r="Q996" t="s">
        <v>2244</v>
      </c>
    </row>
    <row r="997" spans="1:17" x14ac:dyDescent="0.3">
      <c r="A997" t="s">
        <v>73</v>
      </c>
      <c r="B997" t="str">
        <f>"002053"</f>
        <v>002053</v>
      </c>
      <c r="C997" t="s">
        <v>2245</v>
      </c>
      <c r="D997" t="s">
        <v>2246</v>
      </c>
      <c r="E997">
        <v>1208863094</v>
      </c>
      <c r="F997">
        <v>1046494159</v>
      </c>
      <c r="G997">
        <v>886277025</v>
      </c>
      <c r="H997">
        <v>881453647</v>
      </c>
      <c r="I997">
        <v>268189487</v>
      </c>
      <c r="J997">
        <v>183374192</v>
      </c>
      <c r="K997">
        <v>95973736</v>
      </c>
      <c r="L997">
        <v>97051847</v>
      </c>
      <c r="M997">
        <v>92468983</v>
      </c>
      <c r="N997">
        <v>55939880</v>
      </c>
      <c r="O997">
        <v>49281650</v>
      </c>
      <c r="P997">
        <v>105</v>
      </c>
      <c r="Q997" t="s">
        <v>2247</v>
      </c>
    </row>
    <row r="998" spans="1:17" x14ac:dyDescent="0.3">
      <c r="A998" t="s">
        <v>73</v>
      </c>
      <c r="B998" t="str">
        <f>"002487"</f>
        <v>002487</v>
      </c>
      <c r="C998" t="s">
        <v>2248</v>
      </c>
      <c r="D998" t="s">
        <v>778</v>
      </c>
      <c r="E998">
        <v>1207592364</v>
      </c>
      <c r="F998">
        <v>611638383</v>
      </c>
      <c r="G998">
        <v>575674120</v>
      </c>
      <c r="H998">
        <v>559352727</v>
      </c>
      <c r="I998">
        <v>625510385</v>
      </c>
      <c r="J998">
        <v>602136011</v>
      </c>
      <c r="K998">
        <v>386362356</v>
      </c>
      <c r="L998">
        <v>283867893</v>
      </c>
      <c r="M998">
        <v>238269769</v>
      </c>
      <c r="N998">
        <v>348100893</v>
      </c>
      <c r="O998">
        <v>301472900</v>
      </c>
      <c r="P998">
        <v>248</v>
      </c>
      <c r="Q998" t="s">
        <v>2249</v>
      </c>
    </row>
    <row r="999" spans="1:17" x14ac:dyDescent="0.3">
      <c r="A999" t="s">
        <v>73</v>
      </c>
      <c r="B999" t="str">
        <f>"301207"</f>
        <v>301207</v>
      </c>
      <c r="C999" t="s">
        <v>2250</v>
      </c>
      <c r="E999">
        <v>1206417233</v>
      </c>
      <c r="P999">
        <v>19</v>
      </c>
      <c r="Q999" t="s">
        <v>2251</v>
      </c>
    </row>
    <row r="1000" spans="1:17" x14ac:dyDescent="0.3">
      <c r="A1000" t="s">
        <v>17</v>
      </c>
      <c r="B1000" t="str">
        <f>"600757"</f>
        <v>600757</v>
      </c>
      <c r="C1000" t="s">
        <v>2252</v>
      </c>
      <c r="D1000" t="s">
        <v>1316</v>
      </c>
      <c r="E1000">
        <v>1206200878</v>
      </c>
      <c r="F1000">
        <v>1058151101</v>
      </c>
      <c r="G1000">
        <v>1122765263</v>
      </c>
      <c r="H1000">
        <v>1302431120</v>
      </c>
      <c r="I1000">
        <v>997282499</v>
      </c>
      <c r="J1000">
        <v>814907975</v>
      </c>
      <c r="K1000">
        <v>2426131850</v>
      </c>
      <c r="L1000">
        <v>688142355</v>
      </c>
      <c r="M1000">
        <v>910589706</v>
      </c>
      <c r="N1000">
        <v>765848666</v>
      </c>
      <c r="O1000">
        <v>396671001</v>
      </c>
      <c r="P1000">
        <v>437</v>
      </c>
      <c r="Q1000" t="s">
        <v>2253</v>
      </c>
    </row>
    <row r="1001" spans="1:17" x14ac:dyDescent="0.3">
      <c r="A1001" t="s">
        <v>73</v>
      </c>
      <c r="B1001" t="str">
        <f>"002197"</f>
        <v>002197</v>
      </c>
      <c r="C1001" t="s">
        <v>2254</v>
      </c>
      <c r="D1001" t="s">
        <v>158</v>
      </c>
      <c r="E1001">
        <v>1204507437</v>
      </c>
      <c r="F1001">
        <v>1458005800</v>
      </c>
      <c r="G1001">
        <v>1559983691</v>
      </c>
      <c r="H1001">
        <v>1358213971</v>
      </c>
      <c r="I1001">
        <v>1220590760</v>
      </c>
      <c r="J1001">
        <v>964954903</v>
      </c>
      <c r="K1001">
        <v>685468842</v>
      </c>
      <c r="L1001">
        <v>484386936</v>
      </c>
      <c r="M1001">
        <v>391483289</v>
      </c>
      <c r="N1001">
        <v>350374699</v>
      </c>
      <c r="O1001">
        <v>296212799</v>
      </c>
      <c r="P1001">
        <v>230</v>
      </c>
      <c r="Q1001" t="s">
        <v>2255</v>
      </c>
    </row>
    <row r="1002" spans="1:17" x14ac:dyDescent="0.3">
      <c r="A1002" t="s">
        <v>17</v>
      </c>
      <c r="B1002" t="str">
        <f>"603169"</f>
        <v>603169</v>
      </c>
      <c r="C1002" t="s">
        <v>2256</v>
      </c>
      <c r="D1002" t="s">
        <v>311</v>
      </c>
      <c r="E1002">
        <v>1200903510</v>
      </c>
      <c r="F1002">
        <v>1897950468</v>
      </c>
      <c r="G1002">
        <v>1940843586</v>
      </c>
      <c r="H1002">
        <v>2478796307</v>
      </c>
      <c r="I1002">
        <v>2029950063</v>
      </c>
      <c r="J1002">
        <v>1274394650</v>
      </c>
      <c r="K1002">
        <v>1395988245</v>
      </c>
      <c r="L1002">
        <v>1044849687</v>
      </c>
      <c r="M1002">
        <v>0</v>
      </c>
      <c r="P1002">
        <v>81</v>
      </c>
      <c r="Q1002" t="s">
        <v>2257</v>
      </c>
    </row>
    <row r="1003" spans="1:17" x14ac:dyDescent="0.3">
      <c r="A1003" t="s">
        <v>73</v>
      </c>
      <c r="B1003" t="str">
        <f>"200012"</f>
        <v>200012</v>
      </c>
      <c r="C1003" t="s">
        <v>2258</v>
      </c>
      <c r="E1003">
        <v>1200707181.0039999</v>
      </c>
      <c r="F1003">
        <v>1208178359.9184999</v>
      </c>
      <c r="G1003">
        <v>900307040.68110001</v>
      </c>
      <c r="H1003">
        <v>1084703064.9867001</v>
      </c>
      <c r="I1003">
        <v>1074005851.8185</v>
      </c>
      <c r="J1003">
        <v>976616650.04400003</v>
      </c>
      <c r="K1003">
        <v>724210494.74759996</v>
      </c>
      <c r="L1003">
        <v>613285858.75</v>
      </c>
      <c r="M1003">
        <v>337191872.49000001</v>
      </c>
      <c r="N1003">
        <v>331801609.49699998</v>
      </c>
      <c r="O1003">
        <v>541883016.171</v>
      </c>
      <c r="P1003">
        <v>85</v>
      </c>
      <c r="Q1003" t="s">
        <v>2259</v>
      </c>
    </row>
    <row r="1004" spans="1:17" x14ac:dyDescent="0.3">
      <c r="A1004" t="s">
        <v>17</v>
      </c>
      <c r="B1004" t="str">
        <f>"600546"</f>
        <v>600546</v>
      </c>
      <c r="C1004" t="s">
        <v>2260</v>
      </c>
      <c r="D1004" t="s">
        <v>218</v>
      </c>
      <c r="E1004">
        <v>1199900556</v>
      </c>
      <c r="F1004">
        <v>2146519057</v>
      </c>
      <c r="G1004">
        <v>2933355609</v>
      </c>
      <c r="H1004">
        <v>3225792907</v>
      </c>
      <c r="I1004">
        <v>3339788563</v>
      </c>
      <c r="J1004">
        <v>5705077415</v>
      </c>
      <c r="K1004">
        <v>6924219988</v>
      </c>
      <c r="L1004">
        <v>7698716811</v>
      </c>
      <c r="M1004">
        <v>8093613327</v>
      </c>
      <c r="N1004">
        <v>12280510197</v>
      </c>
      <c r="O1004">
        <v>5243862893</v>
      </c>
      <c r="P1004">
        <v>357</v>
      </c>
      <c r="Q1004" t="s">
        <v>2261</v>
      </c>
    </row>
    <row r="1005" spans="1:17" x14ac:dyDescent="0.3">
      <c r="A1005" t="s">
        <v>73</v>
      </c>
      <c r="B1005" t="str">
        <f>"000829"</f>
        <v>000829</v>
      </c>
      <c r="C1005" t="s">
        <v>2262</v>
      </c>
      <c r="D1005" t="s">
        <v>1206</v>
      </c>
      <c r="E1005">
        <v>1197435861</v>
      </c>
      <c r="F1005">
        <v>1118338874</v>
      </c>
      <c r="G1005">
        <v>1612259969</v>
      </c>
      <c r="H1005">
        <v>1361366063</v>
      </c>
      <c r="I1005">
        <v>1383418464</v>
      </c>
      <c r="J1005">
        <v>584537457</v>
      </c>
      <c r="K1005">
        <v>586055683</v>
      </c>
      <c r="L1005">
        <v>785919269</v>
      </c>
      <c r="M1005">
        <v>1246109417</v>
      </c>
      <c r="N1005">
        <v>1305413172</v>
      </c>
      <c r="O1005">
        <v>1777970598</v>
      </c>
      <c r="P1005">
        <v>187</v>
      </c>
      <c r="Q1005" t="s">
        <v>2263</v>
      </c>
    </row>
    <row r="1006" spans="1:17" x14ac:dyDescent="0.3">
      <c r="A1006" t="s">
        <v>17</v>
      </c>
      <c r="B1006" t="str">
        <f>"600182"</f>
        <v>600182</v>
      </c>
      <c r="C1006" t="s">
        <v>2264</v>
      </c>
      <c r="D1006" t="s">
        <v>781</v>
      </c>
      <c r="E1006">
        <v>1196453968</v>
      </c>
      <c r="F1006">
        <v>1028559055</v>
      </c>
      <c r="G1006">
        <v>1168148344</v>
      </c>
      <c r="H1006">
        <v>855521840</v>
      </c>
      <c r="I1006">
        <v>1356114735</v>
      </c>
      <c r="J1006">
        <v>687734306</v>
      </c>
      <c r="K1006">
        <v>771830530</v>
      </c>
      <c r="L1006">
        <v>1211211585</v>
      </c>
      <c r="M1006">
        <v>1776241079</v>
      </c>
      <c r="N1006">
        <v>1831761168</v>
      </c>
      <c r="O1006">
        <v>1539121870</v>
      </c>
      <c r="P1006">
        <v>77</v>
      </c>
      <c r="Q1006" t="s">
        <v>2265</v>
      </c>
    </row>
    <row r="1007" spans="1:17" x14ac:dyDescent="0.3">
      <c r="A1007" t="s">
        <v>17</v>
      </c>
      <c r="B1007" t="str">
        <f>"600552"</f>
        <v>600552</v>
      </c>
      <c r="C1007" t="s">
        <v>2266</v>
      </c>
      <c r="D1007" t="s">
        <v>97</v>
      </c>
      <c r="E1007">
        <v>1196371548</v>
      </c>
      <c r="F1007">
        <v>1589756275</v>
      </c>
      <c r="G1007">
        <v>1106208890</v>
      </c>
      <c r="H1007">
        <v>1008113620</v>
      </c>
      <c r="I1007">
        <v>1011459750</v>
      </c>
      <c r="J1007">
        <v>825161673</v>
      </c>
      <c r="K1007">
        <v>732605173</v>
      </c>
      <c r="L1007">
        <v>450316575</v>
      </c>
      <c r="M1007">
        <v>345026352</v>
      </c>
      <c r="N1007">
        <v>284056690</v>
      </c>
      <c r="O1007">
        <v>231043917</v>
      </c>
      <c r="P1007">
        <v>169</v>
      </c>
      <c r="Q1007" t="s">
        <v>2267</v>
      </c>
    </row>
    <row r="1008" spans="1:17" x14ac:dyDescent="0.3">
      <c r="A1008" t="s">
        <v>17</v>
      </c>
      <c r="B1008" t="str">
        <f>"600655"</f>
        <v>600655</v>
      </c>
      <c r="C1008" t="s">
        <v>2268</v>
      </c>
      <c r="D1008" t="s">
        <v>1463</v>
      </c>
      <c r="E1008">
        <v>1194075956</v>
      </c>
      <c r="F1008">
        <v>2337592197</v>
      </c>
      <c r="G1008">
        <v>923821205</v>
      </c>
      <c r="H1008">
        <v>865894202</v>
      </c>
      <c r="I1008">
        <v>565296749</v>
      </c>
      <c r="J1008">
        <v>402155960</v>
      </c>
      <c r="K1008">
        <v>293811411</v>
      </c>
      <c r="L1008">
        <v>309539330</v>
      </c>
      <c r="M1008">
        <v>343072424</v>
      </c>
      <c r="N1008">
        <v>323347992</v>
      </c>
      <c r="O1008">
        <v>191769096</v>
      </c>
      <c r="P1008">
        <v>409</v>
      </c>
      <c r="Q1008" t="s">
        <v>2269</v>
      </c>
    </row>
    <row r="1009" spans="1:17" x14ac:dyDescent="0.3">
      <c r="A1009" t="s">
        <v>73</v>
      </c>
      <c r="B1009" t="str">
        <f>"002585"</f>
        <v>002585</v>
      </c>
      <c r="C1009" t="s">
        <v>2270</v>
      </c>
      <c r="D1009" t="s">
        <v>2271</v>
      </c>
      <c r="E1009">
        <v>1193268005</v>
      </c>
      <c r="F1009">
        <v>1082448569</v>
      </c>
      <c r="G1009">
        <v>1071888245</v>
      </c>
      <c r="H1009">
        <v>998921012</v>
      </c>
      <c r="I1009">
        <v>978336218</v>
      </c>
      <c r="J1009">
        <v>796281497</v>
      </c>
      <c r="K1009">
        <v>674979758</v>
      </c>
      <c r="L1009">
        <v>104159516</v>
      </c>
      <c r="M1009">
        <v>62250576</v>
      </c>
      <c r="N1009">
        <v>90257445</v>
      </c>
      <c r="O1009">
        <v>67103921</v>
      </c>
      <c r="P1009">
        <v>382</v>
      </c>
      <c r="Q1009" t="s">
        <v>2272</v>
      </c>
    </row>
    <row r="1010" spans="1:17" x14ac:dyDescent="0.3">
      <c r="A1010" t="s">
        <v>73</v>
      </c>
      <c r="B1010" t="str">
        <f>"000901"</f>
        <v>000901</v>
      </c>
      <c r="C1010" t="s">
        <v>2273</v>
      </c>
      <c r="D1010" t="s">
        <v>502</v>
      </c>
      <c r="E1010">
        <v>1191673287</v>
      </c>
      <c r="F1010">
        <v>1220192363</v>
      </c>
      <c r="G1010">
        <v>971193730</v>
      </c>
      <c r="H1010">
        <v>1154740571</v>
      </c>
      <c r="I1010">
        <v>1149982784</v>
      </c>
      <c r="J1010">
        <v>1127533360</v>
      </c>
      <c r="K1010">
        <v>443597277</v>
      </c>
      <c r="L1010">
        <v>409079510</v>
      </c>
      <c r="M1010">
        <v>405031149</v>
      </c>
      <c r="N1010">
        <v>334113888</v>
      </c>
      <c r="O1010">
        <v>282184359</v>
      </c>
      <c r="P1010">
        <v>224</v>
      </c>
      <c r="Q1010" t="s">
        <v>2274</v>
      </c>
    </row>
    <row r="1011" spans="1:17" x14ac:dyDescent="0.3">
      <c r="A1011" t="s">
        <v>73</v>
      </c>
      <c r="B1011" t="str">
        <f>"300674"</f>
        <v>300674</v>
      </c>
      <c r="C1011" t="s">
        <v>2275</v>
      </c>
      <c r="D1011" t="s">
        <v>302</v>
      </c>
      <c r="E1011">
        <v>1191089306</v>
      </c>
      <c r="F1011">
        <v>814595086</v>
      </c>
      <c r="G1011">
        <v>688019863</v>
      </c>
      <c r="H1011">
        <v>664997220</v>
      </c>
      <c r="I1011">
        <v>0</v>
      </c>
      <c r="P1011">
        <v>348</v>
      </c>
      <c r="Q1011" t="s">
        <v>2276</v>
      </c>
    </row>
    <row r="1012" spans="1:17" x14ac:dyDescent="0.3">
      <c r="A1012" t="s">
        <v>73</v>
      </c>
      <c r="B1012" t="str">
        <f>"002361"</f>
        <v>002361</v>
      </c>
      <c r="C1012" t="s">
        <v>2277</v>
      </c>
      <c r="D1012" t="s">
        <v>1557</v>
      </c>
      <c r="E1012">
        <v>1190534107</v>
      </c>
      <c r="F1012">
        <v>970392833</v>
      </c>
      <c r="G1012">
        <v>856462879</v>
      </c>
      <c r="H1012">
        <v>975753109</v>
      </c>
      <c r="I1012">
        <v>758275737</v>
      </c>
      <c r="J1012">
        <v>646812425</v>
      </c>
      <c r="K1012">
        <v>493149712</v>
      </c>
      <c r="L1012">
        <v>401871687</v>
      </c>
      <c r="M1012">
        <v>338987327</v>
      </c>
      <c r="N1012">
        <v>247824083</v>
      </c>
      <c r="O1012">
        <v>210968455</v>
      </c>
      <c r="P1012">
        <v>89</v>
      </c>
      <c r="Q1012" t="s">
        <v>2278</v>
      </c>
    </row>
    <row r="1013" spans="1:17" x14ac:dyDescent="0.3">
      <c r="A1013" t="s">
        <v>73</v>
      </c>
      <c r="B1013" t="str">
        <f>"300567"</f>
        <v>300567</v>
      </c>
      <c r="C1013" t="s">
        <v>2279</v>
      </c>
      <c r="D1013" t="s">
        <v>2280</v>
      </c>
      <c r="E1013">
        <v>1188676189</v>
      </c>
      <c r="F1013">
        <v>836465042</v>
      </c>
      <c r="G1013">
        <v>938821486</v>
      </c>
      <c r="H1013">
        <v>728657125</v>
      </c>
      <c r="I1013">
        <v>505156793</v>
      </c>
      <c r="J1013">
        <v>292811286</v>
      </c>
      <c r="K1013">
        <v>0</v>
      </c>
      <c r="P1013">
        <v>1242</v>
      </c>
      <c r="Q1013" t="s">
        <v>2281</v>
      </c>
    </row>
    <row r="1014" spans="1:17" x14ac:dyDescent="0.3">
      <c r="A1014" t="s">
        <v>17</v>
      </c>
      <c r="B1014" t="str">
        <f>"600070"</f>
        <v>600070</v>
      </c>
      <c r="C1014" t="s">
        <v>2282</v>
      </c>
      <c r="D1014" t="s">
        <v>466</v>
      </c>
      <c r="E1014">
        <v>1187351458</v>
      </c>
      <c r="F1014">
        <v>1119421106</v>
      </c>
      <c r="G1014">
        <v>1145051877</v>
      </c>
      <c r="H1014">
        <v>1049651608</v>
      </c>
      <c r="I1014">
        <v>647892128</v>
      </c>
      <c r="J1014">
        <v>476853613</v>
      </c>
      <c r="K1014">
        <v>76733904</v>
      </c>
      <c r="L1014">
        <v>59817950</v>
      </c>
      <c r="M1014">
        <v>56281884</v>
      </c>
      <c r="N1014">
        <v>46182384</v>
      </c>
      <c r="O1014">
        <v>44934657</v>
      </c>
      <c r="P1014">
        <v>183</v>
      </c>
      <c r="Q1014" t="s">
        <v>2283</v>
      </c>
    </row>
    <row r="1015" spans="1:17" x14ac:dyDescent="0.3">
      <c r="A1015" t="s">
        <v>73</v>
      </c>
      <c r="B1015" t="str">
        <f>"002913"</f>
        <v>002913</v>
      </c>
      <c r="C1015" t="s">
        <v>2284</v>
      </c>
      <c r="D1015" t="s">
        <v>418</v>
      </c>
      <c r="E1015">
        <v>1183858600</v>
      </c>
      <c r="F1015">
        <v>1039600495</v>
      </c>
      <c r="G1015">
        <v>607360124</v>
      </c>
      <c r="H1015">
        <v>606826622</v>
      </c>
      <c r="I1015">
        <v>553675518</v>
      </c>
      <c r="P1015">
        <v>205</v>
      </c>
      <c r="Q1015" t="s">
        <v>2285</v>
      </c>
    </row>
    <row r="1016" spans="1:17" x14ac:dyDescent="0.3">
      <c r="A1016" t="s">
        <v>17</v>
      </c>
      <c r="B1016" t="str">
        <f>"600651"</f>
        <v>600651</v>
      </c>
      <c r="C1016" t="s">
        <v>2286</v>
      </c>
      <c r="D1016" t="s">
        <v>737</v>
      </c>
      <c r="E1016">
        <v>1179578655</v>
      </c>
      <c r="F1016">
        <v>1241218423</v>
      </c>
      <c r="G1016">
        <v>1261958277</v>
      </c>
      <c r="H1016">
        <v>1484663216</v>
      </c>
      <c r="I1016">
        <v>1637626274</v>
      </c>
      <c r="J1016">
        <v>1506765913</v>
      </c>
      <c r="K1016">
        <v>2250015073</v>
      </c>
      <c r="L1016">
        <v>1167502353</v>
      </c>
      <c r="M1016">
        <v>486423897</v>
      </c>
      <c r="N1016">
        <v>514080353</v>
      </c>
      <c r="O1016">
        <v>389115928</v>
      </c>
      <c r="P1016">
        <v>112</v>
      </c>
      <c r="Q1016" t="s">
        <v>2287</v>
      </c>
    </row>
    <row r="1017" spans="1:17" x14ac:dyDescent="0.3">
      <c r="A1017" t="s">
        <v>17</v>
      </c>
      <c r="B1017" t="str">
        <f>"600903"</f>
        <v>600903</v>
      </c>
      <c r="C1017" t="s">
        <v>2288</v>
      </c>
      <c r="D1017" t="s">
        <v>469</v>
      </c>
      <c r="E1017">
        <v>1178261613</v>
      </c>
      <c r="F1017">
        <v>975013761</v>
      </c>
      <c r="G1017">
        <v>799381612</v>
      </c>
      <c r="H1017">
        <v>710949642</v>
      </c>
      <c r="I1017">
        <v>518814581</v>
      </c>
      <c r="J1017">
        <v>0</v>
      </c>
      <c r="P1017">
        <v>186</v>
      </c>
      <c r="Q1017" t="s">
        <v>2289</v>
      </c>
    </row>
    <row r="1018" spans="1:17" x14ac:dyDescent="0.3">
      <c r="A1018" t="s">
        <v>73</v>
      </c>
      <c r="B1018" t="str">
        <f>"002291"</f>
        <v>002291</v>
      </c>
      <c r="C1018" t="s">
        <v>2290</v>
      </c>
      <c r="D1018" t="s">
        <v>425</v>
      </c>
      <c r="E1018">
        <v>1177149274</v>
      </c>
      <c r="F1018">
        <v>1191896038</v>
      </c>
      <c r="G1018">
        <v>1336211014</v>
      </c>
      <c r="H1018">
        <v>1038776154</v>
      </c>
      <c r="I1018">
        <v>751301950</v>
      </c>
      <c r="J1018">
        <v>795512949</v>
      </c>
      <c r="K1018">
        <v>719229929</v>
      </c>
      <c r="L1018">
        <v>761820200</v>
      </c>
      <c r="M1018">
        <v>695138609</v>
      </c>
      <c r="N1018">
        <v>659133923</v>
      </c>
      <c r="O1018">
        <v>499637952</v>
      </c>
      <c r="P1018">
        <v>172</v>
      </c>
      <c r="Q1018" t="s">
        <v>2291</v>
      </c>
    </row>
    <row r="1019" spans="1:17" x14ac:dyDescent="0.3">
      <c r="A1019" t="s">
        <v>17</v>
      </c>
      <c r="B1019" t="str">
        <f>"600009"</f>
        <v>600009</v>
      </c>
      <c r="C1019" t="s">
        <v>2292</v>
      </c>
      <c r="D1019" t="s">
        <v>1900</v>
      </c>
      <c r="E1019">
        <v>1174374736</v>
      </c>
      <c r="F1019">
        <v>1213876266</v>
      </c>
      <c r="G1019">
        <v>1772766103</v>
      </c>
      <c r="H1019">
        <v>1622215244</v>
      </c>
      <c r="I1019">
        <v>1558953399</v>
      </c>
      <c r="J1019">
        <v>1331234805</v>
      </c>
      <c r="K1019">
        <v>1179594075</v>
      </c>
      <c r="L1019">
        <v>1110765184</v>
      </c>
      <c r="M1019">
        <v>1000537467</v>
      </c>
      <c r="N1019">
        <v>949632970</v>
      </c>
      <c r="O1019">
        <v>1287078745</v>
      </c>
      <c r="P1019">
        <v>5731</v>
      </c>
      <c r="Q1019" t="s">
        <v>2293</v>
      </c>
    </row>
    <row r="1020" spans="1:17" x14ac:dyDescent="0.3">
      <c r="A1020" t="s">
        <v>73</v>
      </c>
      <c r="B1020" t="str">
        <f>"300587"</f>
        <v>300587</v>
      </c>
      <c r="C1020" t="s">
        <v>2294</v>
      </c>
      <c r="D1020" t="s">
        <v>2295</v>
      </c>
      <c r="E1020">
        <v>1173826865</v>
      </c>
      <c r="F1020">
        <v>963506444</v>
      </c>
      <c r="G1020">
        <v>797283946</v>
      </c>
      <c r="H1020">
        <v>531655478</v>
      </c>
      <c r="I1020">
        <v>305108502</v>
      </c>
      <c r="J1020">
        <v>243909981</v>
      </c>
      <c r="K1020">
        <v>0</v>
      </c>
      <c r="P1020">
        <v>153</v>
      </c>
      <c r="Q1020" t="s">
        <v>2296</v>
      </c>
    </row>
    <row r="1021" spans="1:17" x14ac:dyDescent="0.3">
      <c r="A1021" t="s">
        <v>17</v>
      </c>
      <c r="B1021" t="str">
        <f>"603906"</f>
        <v>603906</v>
      </c>
      <c r="C1021" t="s">
        <v>2297</v>
      </c>
      <c r="D1021" t="s">
        <v>588</v>
      </c>
      <c r="E1021">
        <v>1170779044</v>
      </c>
      <c r="F1021">
        <v>229688449</v>
      </c>
      <c r="G1021">
        <v>169624125</v>
      </c>
      <c r="H1021">
        <v>198274678</v>
      </c>
      <c r="I1021">
        <v>171851920</v>
      </c>
      <c r="J1021">
        <v>152970769</v>
      </c>
      <c r="P1021">
        <v>185</v>
      </c>
      <c r="Q1021" t="s">
        <v>2298</v>
      </c>
    </row>
    <row r="1022" spans="1:17" x14ac:dyDescent="0.3">
      <c r="A1022" t="s">
        <v>17</v>
      </c>
      <c r="B1022" t="str">
        <f>"600481"</f>
        <v>600481</v>
      </c>
      <c r="C1022" t="s">
        <v>2299</v>
      </c>
      <c r="D1022" t="s">
        <v>2227</v>
      </c>
      <c r="E1022">
        <v>1169451743</v>
      </c>
      <c r="F1022">
        <v>691422541</v>
      </c>
      <c r="G1022">
        <v>1118857394</v>
      </c>
      <c r="H1022">
        <v>894051276</v>
      </c>
      <c r="I1022">
        <v>676692594</v>
      </c>
      <c r="J1022">
        <v>967037999</v>
      </c>
      <c r="K1022">
        <v>1143753330</v>
      </c>
      <c r="L1022">
        <v>737449560</v>
      </c>
      <c r="M1022">
        <v>726702179</v>
      </c>
      <c r="N1022">
        <v>659638806</v>
      </c>
      <c r="O1022">
        <v>578032183</v>
      </c>
      <c r="P1022">
        <v>185</v>
      </c>
      <c r="Q1022" t="s">
        <v>2300</v>
      </c>
    </row>
    <row r="1023" spans="1:17" x14ac:dyDescent="0.3">
      <c r="A1023" t="s">
        <v>73</v>
      </c>
      <c r="B1023" t="str">
        <f>"300409"</f>
        <v>300409</v>
      </c>
      <c r="C1023" t="s">
        <v>2301</v>
      </c>
      <c r="D1023" t="s">
        <v>561</v>
      </c>
      <c r="E1023">
        <v>1168962906</v>
      </c>
      <c r="F1023">
        <v>813252068</v>
      </c>
      <c r="G1023">
        <v>438242136</v>
      </c>
      <c r="H1023">
        <v>576587450</v>
      </c>
      <c r="I1023">
        <v>639036246</v>
      </c>
      <c r="J1023">
        <v>231106250</v>
      </c>
      <c r="K1023">
        <v>209074194</v>
      </c>
      <c r="L1023">
        <v>181349126</v>
      </c>
      <c r="M1023">
        <v>0</v>
      </c>
      <c r="P1023">
        <v>240</v>
      </c>
      <c r="Q1023" t="s">
        <v>2302</v>
      </c>
    </row>
    <row r="1024" spans="1:17" x14ac:dyDescent="0.3">
      <c r="A1024" t="s">
        <v>17</v>
      </c>
      <c r="B1024" t="str">
        <f>"600771"</f>
        <v>600771</v>
      </c>
      <c r="C1024" t="s">
        <v>2303</v>
      </c>
      <c r="D1024" t="s">
        <v>215</v>
      </c>
      <c r="E1024">
        <v>1168177769</v>
      </c>
      <c r="F1024">
        <v>1543166454</v>
      </c>
      <c r="G1024">
        <v>1512121633</v>
      </c>
      <c r="H1024">
        <v>1449147134</v>
      </c>
      <c r="I1024">
        <v>874363137</v>
      </c>
      <c r="J1024">
        <v>519599286</v>
      </c>
      <c r="K1024">
        <v>238212490</v>
      </c>
      <c r="L1024">
        <v>134292381</v>
      </c>
      <c r="M1024">
        <v>100584732</v>
      </c>
      <c r="N1024">
        <v>97898591</v>
      </c>
      <c r="O1024">
        <v>101309900</v>
      </c>
      <c r="P1024">
        <v>477</v>
      </c>
      <c r="Q1024" t="s">
        <v>2304</v>
      </c>
    </row>
    <row r="1025" spans="1:17" x14ac:dyDescent="0.3">
      <c r="A1025" t="s">
        <v>17</v>
      </c>
      <c r="B1025" t="str">
        <f>"600501"</f>
        <v>600501</v>
      </c>
      <c r="C1025" t="s">
        <v>2305</v>
      </c>
      <c r="D1025" t="s">
        <v>1451</v>
      </c>
      <c r="E1025">
        <v>1168089986</v>
      </c>
      <c r="F1025">
        <v>1111375634</v>
      </c>
      <c r="G1025">
        <v>1347533948</v>
      </c>
      <c r="H1025">
        <v>1270924350</v>
      </c>
      <c r="I1025">
        <v>1238489903</v>
      </c>
      <c r="J1025">
        <v>1455437885</v>
      </c>
      <c r="K1025">
        <v>1230605542</v>
      </c>
      <c r="L1025">
        <v>1258626545</v>
      </c>
      <c r="M1025">
        <v>1239237629</v>
      </c>
      <c r="N1025">
        <v>1243238503</v>
      </c>
      <c r="O1025">
        <v>1181502352</v>
      </c>
      <c r="P1025">
        <v>117</v>
      </c>
      <c r="Q1025" t="s">
        <v>2306</v>
      </c>
    </row>
    <row r="1026" spans="1:17" x14ac:dyDescent="0.3">
      <c r="A1026" t="s">
        <v>73</v>
      </c>
      <c r="B1026" t="str">
        <f>"300925"</f>
        <v>300925</v>
      </c>
      <c r="C1026" t="s">
        <v>2307</v>
      </c>
      <c r="D1026" t="s">
        <v>795</v>
      </c>
      <c r="E1026">
        <v>1165223489</v>
      </c>
      <c r="F1026">
        <v>720052965</v>
      </c>
      <c r="P1026">
        <v>72</v>
      </c>
      <c r="Q1026" t="s">
        <v>2308</v>
      </c>
    </row>
    <row r="1027" spans="1:17" x14ac:dyDescent="0.3">
      <c r="A1027" t="s">
        <v>17</v>
      </c>
      <c r="B1027" t="str">
        <f>"603348"</f>
        <v>603348</v>
      </c>
      <c r="C1027" t="s">
        <v>2309</v>
      </c>
      <c r="D1027" t="s">
        <v>722</v>
      </c>
      <c r="E1027">
        <v>1164778231</v>
      </c>
      <c r="F1027">
        <v>893932633</v>
      </c>
      <c r="G1027">
        <v>233320643</v>
      </c>
      <c r="H1027">
        <v>328552523</v>
      </c>
      <c r="I1027">
        <v>271944887</v>
      </c>
      <c r="J1027">
        <v>0</v>
      </c>
      <c r="P1027">
        <v>193</v>
      </c>
      <c r="Q1027" t="s">
        <v>2310</v>
      </c>
    </row>
    <row r="1028" spans="1:17" x14ac:dyDescent="0.3">
      <c r="A1028" t="s">
        <v>73</v>
      </c>
      <c r="B1028" t="str">
        <f>"300147"</f>
        <v>300147</v>
      </c>
      <c r="C1028" t="s">
        <v>2311</v>
      </c>
      <c r="D1028" t="s">
        <v>215</v>
      </c>
      <c r="E1028">
        <v>1164618844</v>
      </c>
      <c r="F1028">
        <v>1137460663</v>
      </c>
      <c r="G1028">
        <v>991059422</v>
      </c>
      <c r="H1028">
        <v>1036917875</v>
      </c>
      <c r="I1028">
        <v>888074911</v>
      </c>
      <c r="J1028">
        <v>832890331</v>
      </c>
      <c r="K1028">
        <v>537347736</v>
      </c>
      <c r="L1028">
        <v>398537461</v>
      </c>
      <c r="M1028">
        <v>326996294</v>
      </c>
      <c r="N1028">
        <v>121234547</v>
      </c>
      <c r="O1028">
        <v>62415357</v>
      </c>
      <c r="P1028">
        <v>166</v>
      </c>
      <c r="Q1028" t="s">
        <v>2312</v>
      </c>
    </row>
    <row r="1029" spans="1:17" x14ac:dyDescent="0.3">
      <c r="A1029" t="s">
        <v>17</v>
      </c>
      <c r="B1029" t="str">
        <f>"603967"</f>
        <v>603967</v>
      </c>
      <c r="C1029" t="s">
        <v>2313</v>
      </c>
      <c r="D1029" t="s">
        <v>174</v>
      </c>
      <c r="E1029">
        <v>1164616505</v>
      </c>
      <c r="F1029">
        <v>856214485</v>
      </c>
      <c r="G1029">
        <v>635410158</v>
      </c>
      <c r="H1029">
        <v>518519702</v>
      </c>
      <c r="P1029">
        <v>85</v>
      </c>
      <c r="Q1029" t="s">
        <v>2314</v>
      </c>
    </row>
    <row r="1030" spans="1:17" x14ac:dyDescent="0.3">
      <c r="A1030" t="s">
        <v>17</v>
      </c>
      <c r="B1030" t="str">
        <f>"688075"</f>
        <v>688075</v>
      </c>
      <c r="C1030" t="s">
        <v>2315</v>
      </c>
      <c r="D1030" t="s">
        <v>773</v>
      </c>
      <c r="E1030">
        <v>1164453027</v>
      </c>
      <c r="P1030">
        <v>37</v>
      </c>
      <c r="Q1030" t="s">
        <v>2316</v>
      </c>
    </row>
    <row r="1031" spans="1:17" x14ac:dyDescent="0.3">
      <c r="A1031" t="s">
        <v>17</v>
      </c>
      <c r="B1031" t="str">
        <f>"603176"</f>
        <v>603176</v>
      </c>
      <c r="C1031" t="s">
        <v>2317</v>
      </c>
      <c r="D1031" t="s">
        <v>22</v>
      </c>
      <c r="E1031">
        <v>1163641672</v>
      </c>
      <c r="P1031">
        <v>17</v>
      </c>
      <c r="Q1031" t="s">
        <v>2318</v>
      </c>
    </row>
    <row r="1032" spans="1:17" x14ac:dyDescent="0.3">
      <c r="A1032" t="s">
        <v>17</v>
      </c>
      <c r="B1032" t="str">
        <f>"603337"</f>
        <v>603337</v>
      </c>
      <c r="C1032" t="s">
        <v>2319</v>
      </c>
      <c r="D1032" t="s">
        <v>792</v>
      </c>
      <c r="E1032">
        <v>1163108809</v>
      </c>
      <c r="F1032">
        <v>1083167265</v>
      </c>
      <c r="G1032">
        <v>657512723</v>
      </c>
      <c r="H1032">
        <v>616772762</v>
      </c>
      <c r="I1032">
        <v>381106413</v>
      </c>
      <c r="J1032">
        <v>285742763</v>
      </c>
      <c r="P1032">
        <v>370</v>
      </c>
      <c r="Q1032" t="s">
        <v>2320</v>
      </c>
    </row>
    <row r="1033" spans="1:17" x14ac:dyDescent="0.3">
      <c r="A1033" t="s">
        <v>73</v>
      </c>
      <c r="B1033" t="str">
        <f>"002918"</f>
        <v>002918</v>
      </c>
      <c r="C1033" t="s">
        <v>2321</v>
      </c>
      <c r="D1033" t="s">
        <v>972</v>
      </c>
      <c r="E1033">
        <v>1160759717</v>
      </c>
      <c r="F1033">
        <v>819777603</v>
      </c>
      <c r="G1033">
        <v>712548307</v>
      </c>
      <c r="H1033">
        <v>501742168</v>
      </c>
      <c r="I1033">
        <v>506775041</v>
      </c>
      <c r="P1033">
        <v>529</v>
      </c>
      <c r="Q1033" t="s">
        <v>2322</v>
      </c>
    </row>
    <row r="1034" spans="1:17" x14ac:dyDescent="0.3">
      <c r="A1034" t="s">
        <v>17</v>
      </c>
      <c r="B1034" t="str">
        <f>"600192"</f>
        <v>600192</v>
      </c>
      <c r="C1034" t="s">
        <v>2323</v>
      </c>
      <c r="D1034" t="s">
        <v>224</v>
      </c>
      <c r="E1034">
        <v>1160723315</v>
      </c>
      <c r="F1034">
        <v>1243632935</v>
      </c>
      <c r="G1034">
        <v>1521978601</v>
      </c>
      <c r="H1034">
        <v>1448892065</v>
      </c>
      <c r="I1034">
        <v>1378753081</v>
      </c>
      <c r="J1034">
        <v>1556523929</v>
      </c>
      <c r="K1034">
        <v>1544011837</v>
      </c>
      <c r="L1034">
        <v>1509813436</v>
      </c>
      <c r="M1034">
        <v>1305929446</v>
      </c>
      <c r="N1034">
        <v>947445101</v>
      </c>
      <c r="O1034">
        <v>807670986</v>
      </c>
      <c r="P1034">
        <v>76</v>
      </c>
      <c r="Q1034" t="s">
        <v>2324</v>
      </c>
    </row>
    <row r="1035" spans="1:17" x14ac:dyDescent="0.3">
      <c r="A1035" t="s">
        <v>17</v>
      </c>
      <c r="B1035" t="str">
        <f>"600105"</f>
        <v>600105</v>
      </c>
      <c r="C1035" t="s">
        <v>2325</v>
      </c>
      <c r="D1035" t="s">
        <v>208</v>
      </c>
      <c r="E1035">
        <v>1160090513</v>
      </c>
      <c r="F1035">
        <v>804786600</v>
      </c>
      <c r="G1035">
        <v>867198290</v>
      </c>
      <c r="H1035">
        <v>972874193</v>
      </c>
      <c r="I1035">
        <v>988242597</v>
      </c>
      <c r="J1035">
        <v>697553163</v>
      </c>
      <c r="K1035">
        <v>615672483</v>
      </c>
      <c r="L1035">
        <v>482383704</v>
      </c>
      <c r="M1035">
        <v>512287300</v>
      </c>
      <c r="N1035">
        <v>567946416</v>
      </c>
      <c r="O1035">
        <v>588891622</v>
      </c>
      <c r="P1035">
        <v>274</v>
      </c>
      <c r="Q1035" t="s">
        <v>2326</v>
      </c>
    </row>
    <row r="1036" spans="1:17" x14ac:dyDescent="0.3">
      <c r="A1036" t="s">
        <v>17</v>
      </c>
      <c r="B1036" t="str">
        <f>"603008"</f>
        <v>603008</v>
      </c>
      <c r="C1036" t="s">
        <v>2327</v>
      </c>
      <c r="D1036" t="s">
        <v>1111</v>
      </c>
      <c r="E1036">
        <v>1157417234</v>
      </c>
      <c r="F1036">
        <v>682357193</v>
      </c>
      <c r="G1036">
        <v>1122802764</v>
      </c>
      <c r="H1036">
        <v>1033501496</v>
      </c>
      <c r="I1036">
        <v>1172093063</v>
      </c>
      <c r="J1036">
        <v>720054669</v>
      </c>
      <c r="K1036">
        <v>479166091</v>
      </c>
      <c r="L1036">
        <v>305010384</v>
      </c>
      <c r="M1036">
        <v>267416286</v>
      </c>
      <c r="N1036">
        <v>229347564</v>
      </c>
      <c r="O1036">
        <v>0</v>
      </c>
      <c r="P1036">
        <v>300</v>
      </c>
      <c r="Q1036" t="s">
        <v>2328</v>
      </c>
    </row>
    <row r="1037" spans="1:17" x14ac:dyDescent="0.3">
      <c r="A1037" t="s">
        <v>73</v>
      </c>
      <c r="B1037" t="str">
        <f>"002523"</f>
        <v>002523</v>
      </c>
      <c r="C1037" t="s">
        <v>2329</v>
      </c>
      <c r="D1037" t="s">
        <v>311</v>
      </c>
      <c r="E1037">
        <v>1155839764</v>
      </c>
      <c r="F1037">
        <v>1010351458</v>
      </c>
      <c r="G1037">
        <v>1120937208</v>
      </c>
      <c r="H1037">
        <v>1304760262</v>
      </c>
      <c r="I1037">
        <v>1212810833</v>
      </c>
      <c r="J1037">
        <v>1225255184</v>
      </c>
      <c r="K1037">
        <v>1027159606</v>
      </c>
      <c r="L1037">
        <v>575534006</v>
      </c>
      <c r="M1037">
        <v>510188120</v>
      </c>
      <c r="N1037">
        <v>510610513</v>
      </c>
      <c r="O1037">
        <v>403367826</v>
      </c>
      <c r="P1037">
        <v>53</v>
      </c>
      <c r="Q1037" t="s">
        <v>2330</v>
      </c>
    </row>
    <row r="1038" spans="1:17" x14ac:dyDescent="0.3">
      <c r="A1038" t="s">
        <v>73</v>
      </c>
      <c r="B1038" t="str">
        <f>"002685"</f>
        <v>002685</v>
      </c>
      <c r="C1038" t="s">
        <v>2331</v>
      </c>
      <c r="D1038" t="s">
        <v>2332</v>
      </c>
      <c r="E1038">
        <v>1153132612</v>
      </c>
      <c r="F1038">
        <v>1657524354</v>
      </c>
      <c r="G1038">
        <v>2583202708</v>
      </c>
      <c r="H1038">
        <v>1547293196</v>
      </c>
      <c r="I1038">
        <v>1187850219</v>
      </c>
      <c r="J1038">
        <v>245162289</v>
      </c>
      <c r="K1038">
        <v>258189939</v>
      </c>
      <c r="L1038">
        <v>227979252</v>
      </c>
      <c r="M1038">
        <v>212338521</v>
      </c>
      <c r="N1038">
        <v>183509891</v>
      </c>
      <c r="O1038">
        <v>113246602</v>
      </c>
      <c r="P1038">
        <v>109</v>
      </c>
      <c r="Q1038" t="s">
        <v>2333</v>
      </c>
    </row>
    <row r="1039" spans="1:17" x14ac:dyDescent="0.3">
      <c r="A1039" t="s">
        <v>73</v>
      </c>
      <c r="B1039" t="str">
        <f>"002781"</f>
        <v>002781</v>
      </c>
      <c r="C1039" t="s">
        <v>2334</v>
      </c>
      <c r="D1039" t="s">
        <v>258</v>
      </c>
      <c r="E1039">
        <v>1152365679</v>
      </c>
      <c r="F1039">
        <v>829391688</v>
      </c>
      <c r="G1039">
        <v>2780827263</v>
      </c>
      <c r="H1039">
        <v>3203708027</v>
      </c>
      <c r="I1039">
        <v>2609101291</v>
      </c>
      <c r="J1039">
        <v>2154736092</v>
      </c>
      <c r="K1039">
        <v>1930265827</v>
      </c>
      <c r="L1039">
        <v>1634640815</v>
      </c>
      <c r="P1039">
        <v>68</v>
      </c>
      <c r="Q1039" t="s">
        <v>2335</v>
      </c>
    </row>
    <row r="1040" spans="1:17" x14ac:dyDescent="0.3">
      <c r="A1040" t="s">
        <v>17</v>
      </c>
      <c r="B1040" t="str">
        <f>"600389"</f>
        <v>600389</v>
      </c>
      <c r="C1040" t="s">
        <v>2336</v>
      </c>
      <c r="D1040" t="s">
        <v>272</v>
      </c>
      <c r="E1040">
        <v>1150205612</v>
      </c>
      <c r="F1040">
        <v>772532168</v>
      </c>
      <c r="G1040">
        <v>541794152</v>
      </c>
      <c r="H1040">
        <v>759917081</v>
      </c>
      <c r="I1040">
        <v>434107042</v>
      </c>
      <c r="J1040">
        <v>618624456</v>
      </c>
      <c r="K1040">
        <v>199988020</v>
      </c>
      <c r="L1040">
        <v>218777000</v>
      </c>
      <c r="M1040">
        <v>152427717</v>
      </c>
      <c r="N1040">
        <v>131445239</v>
      </c>
      <c r="O1040">
        <v>210221184</v>
      </c>
      <c r="P1040">
        <v>426</v>
      </c>
      <c r="Q1040" t="s">
        <v>2337</v>
      </c>
    </row>
    <row r="1041" spans="1:17" x14ac:dyDescent="0.3">
      <c r="A1041" t="s">
        <v>17</v>
      </c>
      <c r="B1041" t="str">
        <f>"603013"</f>
        <v>603013</v>
      </c>
      <c r="C1041" t="s">
        <v>2338</v>
      </c>
      <c r="D1041" t="s">
        <v>122</v>
      </c>
      <c r="E1041">
        <v>1149470874</v>
      </c>
      <c r="F1041">
        <v>1182673345</v>
      </c>
      <c r="G1041">
        <v>1005126958</v>
      </c>
      <c r="H1041">
        <v>1073715493</v>
      </c>
      <c r="I1041">
        <v>0</v>
      </c>
      <c r="P1041">
        <v>236</v>
      </c>
      <c r="Q1041" t="s">
        <v>2339</v>
      </c>
    </row>
    <row r="1042" spans="1:17" x14ac:dyDescent="0.3">
      <c r="A1042" t="s">
        <v>73</v>
      </c>
      <c r="B1042" t="str">
        <f>"000561"</f>
        <v>000561</v>
      </c>
      <c r="C1042" t="s">
        <v>2340</v>
      </c>
      <c r="D1042" t="s">
        <v>130</v>
      </c>
      <c r="E1042">
        <v>1149145931</v>
      </c>
      <c r="F1042">
        <v>914569931</v>
      </c>
      <c r="G1042">
        <v>697805360</v>
      </c>
      <c r="H1042">
        <v>726227531</v>
      </c>
      <c r="I1042">
        <v>648134780</v>
      </c>
      <c r="J1042">
        <v>582996307</v>
      </c>
      <c r="K1042">
        <v>570916212</v>
      </c>
      <c r="L1042">
        <v>513367204</v>
      </c>
      <c r="M1042">
        <v>464511556</v>
      </c>
      <c r="N1042">
        <v>498257236</v>
      </c>
      <c r="O1042">
        <v>531299865</v>
      </c>
      <c r="P1042">
        <v>134</v>
      </c>
      <c r="Q1042" t="s">
        <v>2341</v>
      </c>
    </row>
    <row r="1043" spans="1:17" x14ac:dyDescent="0.3">
      <c r="A1043" t="s">
        <v>17</v>
      </c>
      <c r="B1043" t="str">
        <f>"600160"</f>
        <v>600160</v>
      </c>
      <c r="C1043" t="s">
        <v>2342</v>
      </c>
      <c r="D1043" t="s">
        <v>1726</v>
      </c>
      <c r="E1043">
        <v>1147284230</v>
      </c>
      <c r="F1043">
        <v>662564000</v>
      </c>
      <c r="G1043">
        <v>651995267</v>
      </c>
      <c r="H1043">
        <v>786137625</v>
      </c>
      <c r="I1043">
        <v>712253317</v>
      </c>
      <c r="J1043">
        <v>578300740</v>
      </c>
      <c r="K1043">
        <v>483959270</v>
      </c>
      <c r="L1043">
        <v>408613816</v>
      </c>
      <c r="M1043">
        <v>349094040</v>
      </c>
      <c r="N1043">
        <v>219641866</v>
      </c>
      <c r="O1043">
        <v>262692528</v>
      </c>
      <c r="P1043">
        <v>471</v>
      </c>
      <c r="Q1043" t="s">
        <v>2343</v>
      </c>
    </row>
    <row r="1044" spans="1:17" x14ac:dyDescent="0.3">
      <c r="A1044" t="s">
        <v>17</v>
      </c>
      <c r="B1044" t="str">
        <f>"603969"</f>
        <v>603969</v>
      </c>
      <c r="C1044" t="s">
        <v>2344</v>
      </c>
      <c r="D1044" t="s">
        <v>146</v>
      </c>
      <c r="E1044">
        <v>1145434400</v>
      </c>
      <c r="F1044">
        <v>1002632562</v>
      </c>
      <c r="G1044">
        <v>984508012</v>
      </c>
      <c r="H1044">
        <v>965615401</v>
      </c>
      <c r="I1044">
        <v>898187444</v>
      </c>
      <c r="J1044">
        <v>739808367</v>
      </c>
      <c r="K1044">
        <v>466274891</v>
      </c>
      <c r="L1044">
        <v>444077340</v>
      </c>
      <c r="M1044">
        <v>0</v>
      </c>
      <c r="P1044">
        <v>94</v>
      </c>
      <c r="Q1044" t="s">
        <v>2345</v>
      </c>
    </row>
    <row r="1045" spans="1:17" x14ac:dyDescent="0.3">
      <c r="A1045" t="s">
        <v>73</v>
      </c>
      <c r="B1045" t="str">
        <f>"300320"</f>
        <v>300320</v>
      </c>
      <c r="C1045" t="s">
        <v>2346</v>
      </c>
      <c r="D1045" t="s">
        <v>2295</v>
      </c>
      <c r="E1045">
        <v>1143964194</v>
      </c>
      <c r="F1045">
        <v>942838156</v>
      </c>
      <c r="G1045">
        <v>920713323</v>
      </c>
      <c r="H1045">
        <v>960876587</v>
      </c>
      <c r="I1045">
        <v>823317979</v>
      </c>
      <c r="J1045">
        <v>443890163</v>
      </c>
      <c r="K1045">
        <v>387209391</v>
      </c>
      <c r="L1045">
        <v>383972983</v>
      </c>
      <c r="M1045">
        <v>319851576</v>
      </c>
      <c r="N1045">
        <v>222332899</v>
      </c>
      <c r="O1045">
        <v>217753131</v>
      </c>
      <c r="P1045">
        <v>151</v>
      </c>
      <c r="Q1045" t="s">
        <v>2347</v>
      </c>
    </row>
    <row r="1046" spans="1:17" x14ac:dyDescent="0.3">
      <c r="A1046" t="s">
        <v>17</v>
      </c>
      <c r="B1046" t="str">
        <f>"600601"</f>
        <v>600601</v>
      </c>
      <c r="C1046" t="s">
        <v>2348</v>
      </c>
      <c r="D1046" t="s">
        <v>418</v>
      </c>
      <c r="E1046">
        <v>1142954658</v>
      </c>
      <c r="F1046">
        <v>1028722630</v>
      </c>
      <c r="G1046">
        <v>1371322359</v>
      </c>
      <c r="H1046">
        <v>1376862048</v>
      </c>
      <c r="I1046">
        <v>1585366944</v>
      </c>
      <c r="J1046">
        <v>1806419542</v>
      </c>
      <c r="K1046">
        <v>1475131061</v>
      </c>
      <c r="L1046">
        <v>1280764271</v>
      </c>
      <c r="M1046">
        <v>812725863</v>
      </c>
      <c r="N1046">
        <v>883642773</v>
      </c>
      <c r="O1046">
        <v>626443195</v>
      </c>
      <c r="P1046">
        <v>228</v>
      </c>
      <c r="Q1046" t="s">
        <v>2349</v>
      </c>
    </row>
    <row r="1047" spans="1:17" x14ac:dyDescent="0.3">
      <c r="A1047" t="s">
        <v>17</v>
      </c>
      <c r="B1047" t="str">
        <f>"600315"</f>
        <v>600315</v>
      </c>
      <c r="C1047" t="s">
        <v>2350</v>
      </c>
      <c r="D1047" t="s">
        <v>2351</v>
      </c>
      <c r="E1047">
        <v>1142796822</v>
      </c>
      <c r="F1047">
        <v>1125290800</v>
      </c>
      <c r="G1047">
        <v>1124671454</v>
      </c>
      <c r="H1047">
        <v>1097327965</v>
      </c>
      <c r="I1047">
        <v>1039462670</v>
      </c>
      <c r="J1047">
        <v>710087189</v>
      </c>
      <c r="K1047">
        <v>820613250</v>
      </c>
      <c r="L1047">
        <v>660370326</v>
      </c>
      <c r="M1047">
        <v>481437309</v>
      </c>
      <c r="N1047">
        <v>547259818</v>
      </c>
      <c r="O1047">
        <v>406566857</v>
      </c>
      <c r="P1047">
        <v>1243</v>
      </c>
      <c r="Q1047" t="s">
        <v>2352</v>
      </c>
    </row>
    <row r="1048" spans="1:17" x14ac:dyDescent="0.3">
      <c r="A1048" t="s">
        <v>17</v>
      </c>
      <c r="B1048" t="str">
        <f>"605303"</f>
        <v>605303</v>
      </c>
      <c r="C1048" t="s">
        <v>2353</v>
      </c>
      <c r="D1048" t="s">
        <v>445</v>
      </c>
      <c r="E1048">
        <v>1141525174</v>
      </c>
      <c r="F1048">
        <v>1128292872</v>
      </c>
      <c r="P1048">
        <v>28</v>
      </c>
      <c r="Q1048" t="s">
        <v>2354</v>
      </c>
    </row>
    <row r="1049" spans="1:17" x14ac:dyDescent="0.3">
      <c r="A1049" t="s">
        <v>17</v>
      </c>
      <c r="B1049" t="str">
        <f>"600682"</f>
        <v>600682</v>
      </c>
      <c r="C1049" t="s">
        <v>2355</v>
      </c>
      <c r="D1049" t="s">
        <v>1505</v>
      </c>
      <c r="E1049">
        <v>1140636504</v>
      </c>
      <c r="F1049">
        <v>1140320170</v>
      </c>
      <c r="G1049">
        <v>1278914610</v>
      </c>
      <c r="H1049">
        <v>1368891457</v>
      </c>
      <c r="I1049">
        <v>963387798</v>
      </c>
      <c r="J1049">
        <v>684745543</v>
      </c>
      <c r="K1049">
        <v>52687181</v>
      </c>
      <c r="L1049">
        <v>93616994</v>
      </c>
      <c r="M1049">
        <v>17942329</v>
      </c>
      <c r="N1049">
        <v>15837311</v>
      </c>
      <c r="O1049">
        <v>16068958</v>
      </c>
      <c r="P1049">
        <v>237</v>
      </c>
      <c r="Q1049" t="s">
        <v>2356</v>
      </c>
    </row>
    <row r="1050" spans="1:17" x14ac:dyDescent="0.3">
      <c r="A1050" t="s">
        <v>17</v>
      </c>
      <c r="B1050" t="str">
        <f>"688015"</f>
        <v>688015</v>
      </c>
      <c r="C1050" t="s">
        <v>2357</v>
      </c>
      <c r="D1050" t="s">
        <v>47</v>
      </c>
      <c r="E1050">
        <v>1140319100</v>
      </c>
      <c r="F1050">
        <v>968458296</v>
      </c>
      <c r="G1050">
        <v>1047850643</v>
      </c>
      <c r="H1050">
        <v>846953618</v>
      </c>
      <c r="P1050">
        <v>278</v>
      </c>
      <c r="Q1050" t="s">
        <v>2358</v>
      </c>
    </row>
    <row r="1051" spans="1:17" x14ac:dyDescent="0.3">
      <c r="A1051" t="s">
        <v>73</v>
      </c>
      <c r="B1051" t="str">
        <f>"300177"</f>
        <v>300177</v>
      </c>
      <c r="C1051" t="s">
        <v>2359</v>
      </c>
      <c r="D1051" t="s">
        <v>502</v>
      </c>
      <c r="E1051">
        <v>1138626531</v>
      </c>
      <c r="F1051">
        <v>858239254</v>
      </c>
      <c r="G1051">
        <v>900932690</v>
      </c>
      <c r="H1051">
        <v>820961716</v>
      </c>
      <c r="I1051">
        <v>527313871</v>
      </c>
      <c r="J1051">
        <v>267840546</v>
      </c>
      <c r="K1051">
        <v>307053225</v>
      </c>
      <c r="L1051">
        <v>294653528</v>
      </c>
      <c r="M1051">
        <v>221092025</v>
      </c>
      <c r="N1051">
        <v>146201662</v>
      </c>
      <c r="O1051">
        <v>120199176</v>
      </c>
      <c r="P1051">
        <v>232</v>
      </c>
      <c r="Q1051" t="s">
        <v>2360</v>
      </c>
    </row>
    <row r="1052" spans="1:17" x14ac:dyDescent="0.3">
      <c r="A1052" t="s">
        <v>73</v>
      </c>
      <c r="B1052" t="str">
        <f>"300349"</f>
        <v>300349</v>
      </c>
      <c r="C1052" t="s">
        <v>2361</v>
      </c>
      <c r="D1052" t="s">
        <v>2280</v>
      </c>
      <c r="E1052">
        <v>1138546795</v>
      </c>
      <c r="F1052">
        <v>979270749</v>
      </c>
      <c r="G1052">
        <v>972797664</v>
      </c>
      <c r="H1052">
        <v>972439029</v>
      </c>
      <c r="I1052">
        <v>583483099</v>
      </c>
      <c r="J1052">
        <v>473651907</v>
      </c>
      <c r="K1052">
        <v>299875219</v>
      </c>
      <c r="L1052">
        <v>267920617</v>
      </c>
      <c r="M1052">
        <v>226839622</v>
      </c>
      <c r="N1052">
        <v>150085665</v>
      </c>
      <c r="O1052">
        <v>0</v>
      </c>
      <c r="P1052">
        <v>395</v>
      </c>
      <c r="Q1052" t="s">
        <v>2362</v>
      </c>
    </row>
    <row r="1053" spans="1:17" x14ac:dyDescent="0.3">
      <c r="A1053" t="s">
        <v>73</v>
      </c>
      <c r="B1053" t="str">
        <f>"002560"</f>
        <v>002560</v>
      </c>
      <c r="C1053" t="s">
        <v>2363</v>
      </c>
      <c r="D1053" t="s">
        <v>515</v>
      </c>
      <c r="E1053">
        <v>1136883999</v>
      </c>
      <c r="F1053">
        <v>838501221</v>
      </c>
      <c r="G1053">
        <v>679152111</v>
      </c>
      <c r="H1053">
        <v>638723846</v>
      </c>
      <c r="I1053">
        <v>724951689</v>
      </c>
      <c r="J1053">
        <v>641384674</v>
      </c>
      <c r="K1053">
        <v>424522879</v>
      </c>
      <c r="L1053">
        <v>278596487</v>
      </c>
      <c r="M1053">
        <v>317454017</v>
      </c>
      <c r="N1053">
        <v>296431588</v>
      </c>
      <c r="O1053">
        <v>264042601</v>
      </c>
      <c r="P1053">
        <v>138</v>
      </c>
      <c r="Q1053" t="s">
        <v>2364</v>
      </c>
    </row>
    <row r="1054" spans="1:17" x14ac:dyDescent="0.3">
      <c r="A1054" t="s">
        <v>17</v>
      </c>
      <c r="B1054" t="str">
        <f>"605333"</f>
        <v>605333</v>
      </c>
      <c r="C1054" t="s">
        <v>2365</v>
      </c>
      <c r="D1054" t="s">
        <v>442</v>
      </c>
      <c r="E1054">
        <v>1136560256</v>
      </c>
      <c r="F1054">
        <v>700847420</v>
      </c>
      <c r="G1054">
        <v>404701522</v>
      </c>
      <c r="P1054">
        <v>85</v>
      </c>
      <c r="Q1054" t="s">
        <v>2366</v>
      </c>
    </row>
    <row r="1055" spans="1:17" x14ac:dyDescent="0.3">
      <c r="A1055" t="s">
        <v>73</v>
      </c>
      <c r="B1055" t="str">
        <f>"300237"</f>
        <v>300237</v>
      </c>
      <c r="C1055" t="s">
        <v>2367</v>
      </c>
      <c r="D1055" t="s">
        <v>445</v>
      </c>
      <c r="E1055">
        <v>1135104039</v>
      </c>
      <c r="F1055">
        <v>1205103597</v>
      </c>
      <c r="G1055">
        <v>1122452804</v>
      </c>
      <c r="H1055">
        <v>1011025150</v>
      </c>
      <c r="I1055">
        <v>871915005</v>
      </c>
      <c r="J1055">
        <v>633447509</v>
      </c>
      <c r="K1055">
        <v>456886365</v>
      </c>
      <c r="L1055">
        <v>339712658</v>
      </c>
      <c r="M1055">
        <v>190014223</v>
      </c>
      <c r="N1055">
        <v>157214017</v>
      </c>
      <c r="O1055">
        <v>156896526</v>
      </c>
      <c r="P1055">
        <v>315</v>
      </c>
      <c r="Q1055" t="s">
        <v>2368</v>
      </c>
    </row>
    <row r="1056" spans="1:17" x14ac:dyDescent="0.3">
      <c r="A1056" t="s">
        <v>73</v>
      </c>
      <c r="B1056" t="str">
        <f>"003012"</f>
        <v>003012</v>
      </c>
      <c r="C1056" t="s">
        <v>2369</v>
      </c>
      <c r="D1056" t="s">
        <v>972</v>
      </c>
      <c r="E1056">
        <v>1134351632</v>
      </c>
      <c r="F1056">
        <v>997191452</v>
      </c>
      <c r="J1056">
        <v>459823838</v>
      </c>
      <c r="P1056">
        <v>120</v>
      </c>
      <c r="Q1056" t="s">
        <v>2370</v>
      </c>
    </row>
    <row r="1057" spans="1:17" x14ac:dyDescent="0.3">
      <c r="A1057" t="s">
        <v>17</v>
      </c>
      <c r="B1057" t="str">
        <f>"600429"</f>
        <v>600429</v>
      </c>
      <c r="C1057" t="s">
        <v>2371</v>
      </c>
      <c r="D1057" t="s">
        <v>1027</v>
      </c>
      <c r="E1057">
        <v>1132717867</v>
      </c>
      <c r="F1057">
        <v>909466257</v>
      </c>
      <c r="G1057">
        <v>940984903</v>
      </c>
      <c r="H1057">
        <v>1131591273</v>
      </c>
      <c r="I1057">
        <v>995175074</v>
      </c>
      <c r="J1057">
        <v>565911652</v>
      </c>
      <c r="K1057">
        <v>347832365</v>
      </c>
      <c r="L1057">
        <v>283478568</v>
      </c>
      <c r="M1057">
        <v>259569469</v>
      </c>
      <c r="N1057">
        <v>250858854</v>
      </c>
      <c r="O1057">
        <v>254664703</v>
      </c>
      <c r="P1057">
        <v>494</v>
      </c>
      <c r="Q1057" t="s">
        <v>2372</v>
      </c>
    </row>
    <row r="1058" spans="1:17" x14ac:dyDescent="0.3">
      <c r="A1058" t="s">
        <v>73</v>
      </c>
      <c r="B1058" t="str">
        <f>"002742"</f>
        <v>002742</v>
      </c>
      <c r="C1058" t="s">
        <v>2373</v>
      </c>
      <c r="D1058" t="s">
        <v>153</v>
      </c>
      <c r="E1058">
        <v>1132709492</v>
      </c>
      <c r="F1058">
        <v>1260056148</v>
      </c>
      <c r="G1058">
        <v>1355729996</v>
      </c>
      <c r="H1058">
        <v>1534990454</v>
      </c>
      <c r="I1058">
        <v>1237296880</v>
      </c>
      <c r="J1058">
        <v>926203190</v>
      </c>
      <c r="K1058">
        <v>922201588</v>
      </c>
      <c r="L1058">
        <v>658906355</v>
      </c>
      <c r="M1058">
        <v>0</v>
      </c>
      <c r="P1058">
        <v>67</v>
      </c>
      <c r="Q1058" t="s">
        <v>2374</v>
      </c>
    </row>
    <row r="1059" spans="1:17" x14ac:dyDescent="0.3">
      <c r="A1059" t="s">
        <v>17</v>
      </c>
      <c r="B1059" t="str">
        <f>"601606"</f>
        <v>601606</v>
      </c>
      <c r="C1059" t="s">
        <v>2375</v>
      </c>
      <c r="D1059" t="s">
        <v>1743</v>
      </c>
      <c r="E1059">
        <v>1130884474</v>
      </c>
      <c r="F1059">
        <v>836726131</v>
      </c>
      <c r="G1059">
        <v>662044018</v>
      </c>
      <c r="H1059">
        <v>693389259</v>
      </c>
      <c r="P1059">
        <v>180</v>
      </c>
      <c r="Q1059" t="s">
        <v>2376</v>
      </c>
    </row>
    <row r="1060" spans="1:17" x14ac:dyDescent="0.3">
      <c r="A1060" t="s">
        <v>17</v>
      </c>
      <c r="B1060" t="str">
        <f>"600535"</f>
        <v>600535</v>
      </c>
      <c r="C1060" t="s">
        <v>2377</v>
      </c>
      <c r="D1060" t="s">
        <v>215</v>
      </c>
      <c r="E1060">
        <v>1130366507</v>
      </c>
      <c r="F1060">
        <v>1605896200</v>
      </c>
      <c r="G1060">
        <v>8622762409</v>
      </c>
      <c r="H1060">
        <v>9139968899</v>
      </c>
      <c r="I1060">
        <v>8045000457</v>
      </c>
      <c r="J1060">
        <v>5644591536</v>
      </c>
      <c r="K1060">
        <v>5292650803</v>
      </c>
      <c r="L1060">
        <v>4612770427</v>
      </c>
      <c r="M1060">
        <v>2939514993</v>
      </c>
      <c r="N1060">
        <v>1846310847</v>
      </c>
      <c r="O1060">
        <v>1099647835</v>
      </c>
      <c r="P1060">
        <v>12549</v>
      </c>
      <c r="Q1060" t="s">
        <v>2378</v>
      </c>
    </row>
    <row r="1061" spans="1:17" x14ac:dyDescent="0.3">
      <c r="A1061" t="s">
        <v>73</v>
      </c>
      <c r="B1061" t="str">
        <f>"000795"</f>
        <v>000795</v>
      </c>
      <c r="C1061" t="s">
        <v>2379</v>
      </c>
      <c r="D1061" t="s">
        <v>1142</v>
      </c>
      <c r="E1061">
        <v>1130305722</v>
      </c>
      <c r="F1061">
        <v>869490639</v>
      </c>
      <c r="G1061">
        <v>673794672</v>
      </c>
      <c r="H1061">
        <v>575136036</v>
      </c>
      <c r="I1061">
        <v>425695987</v>
      </c>
      <c r="J1061">
        <v>432052428</v>
      </c>
      <c r="K1061">
        <v>336748997</v>
      </c>
      <c r="L1061">
        <v>271409997</v>
      </c>
      <c r="M1061">
        <v>305245045</v>
      </c>
      <c r="N1061">
        <v>390884418</v>
      </c>
      <c r="O1061">
        <v>339516967</v>
      </c>
      <c r="P1061">
        <v>145</v>
      </c>
      <c r="Q1061" t="s">
        <v>2380</v>
      </c>
    </row>
    <row r="1062" spans="1:17" x14ac:dyDescent="0.3">
      <c r="A1062" t="s">
        <v>73</v>
      </c>
      <c r="B1062" t="str">
        <f>"002484"</f>
        <v>002484</v>
      </c>
      <c r="C1062" t="s">
        <v>2381</v>
      </c>
      <c r="D1062" t="s">
        <v>1944</v>
      </c>
      <c r="E1062">
        <v>1129981664</v>
      </c>
      <c r="F1062">
        <v>970004461</v>
      </c>
      <c r="G1062">
        <v>648623625</v>
      </c>
      <c r="H1062">
        <v>598664795</v>
      </c>
      <c r="I1062">
        <v>511043839</v>
      </c>
      <c r="J1062">
        <v>427295551</v>
      </c>
      <c r="K1062">
        <v>350906690</v>
      </c>
      <c r="L1062">
        <v>317269764</v>
      </c>
      <c r="M1062">
        <v>273412947</v>
      </c>
      <c r="N1062">
        <v>248467974</v>
      </c>
      <c r="O1062">
        <v>235342235</v>
      </c>
      <c r="P1062">
        <v>311</v>
      </c>
      <c r="Q1062" t="s">
        <v>2382</v>
      </c>
    </row>
    <row r="1063" spans="1:17" x14ac:dyDescent="0.3">
      <c r="A1063" t="s">
        <v>73</v>
      </c>
      <c r="B1063" t="str">
        <f>"300287"</f>
        <v>300287</v>
      </c>
      <c r="C1063" t="s">
        <v>2383</v>
      </c>
      <c r="D1063" t="s">
        <v>302</v>
      </c>
      <c r="E1063">
        <v>1129146173</v>
      </c>
      <c r="F1063">
        <v>1211675089</v>
      </c>
      <c r="G1063">
        <v>1724349717</v>
      </c>
      <c r="H1063">
        <v>1757881296</v>
      </c>
      <c r="I1063">
        <v>2528602796</v>
      </c>
      <c r="J1063">
        <v>1677870945</v>
      </c>
      <c r="K1063">
        <v>1372822032</v>
      </c>
      <c r="L1063">
        <v>776354221</v>
      </c>
      <c r="M1063">
        <v>574649185</v>
      </c>
      <c r="N1063">
        <v>300032260</v>
      </c>
      <c r="O1063">
        <v>194285817</v>
      </c>
      <c r="P1063">
        <v>288</v>
      </c>
      <c r="Q1063" t="s">
        <v>2384</v>
      </c>
    </row>
    <row r="1064" spans="1:17" x14ac:dyDescent="0.3">
      <c r="A1064" t="s">
        <v>73</v>
      </c>
      <c r="B1064" t="str">
        <f>"002073"</f>
        <v>002073</v>
      </c>
      <c r="C1064" t="s">
        <v>2385</v>
      </c>
      <c r="D1064" t="s">
        <v>1451</v>
      </c>
      <c r="E1064">
        <v>1128840726</v>
      </c>
      <c r="F1064">
        <v>809020176</v>
      </c>
      <c r="G1064">
        <v>1043059362</v>
      </c>
      <c r="H1064">
        <v>1458883066</v>
      </c>
      <c r="I1064">
        <v>1302937088</v>
      </c>
      <c r="J1064">
        <v>1640311011</v>
      </c>
      <c r="K1064">
        <v>2014950269</v>
      </c>
      <c r="L1064">
        <v>1963667889</v>
      </c>
      <c r="M1064">
        <v>1588581508</v>
      </c>
      <c r="N1064">
        <v>2031018200</v>
      </c>
      <c r="O1064">
        <v>1945307772</v>
      </c>
      <c r="P1064">
        <v>150</v>
      </c>
      <c r="Q1064" t="s">
        <v>2386</v>
      </c>
    </row>
    <row r="1065" spans="1:17" x14ac:dyDescent="0.3">
      <c r="A1065" t="s">
        <v>73</v>
      </c>
      <c r="B1065" t="str">
        <f>"002692"</f>
        <v>002692</v>
      </c>
      <c r="C1065" t="s">
        <v>2387</v>
      </c>
      <c r="D1065" t="s">
        <v>515</v>
      </c>
      <c r="E1065">
        <v>1125731784</v>
      </c>
      <c r="F1065">
        <v>1133171966</v>
      </c>
      <c r="G1065">
        <v>826520125</v>
      </c>
      <c r="H1065">
        <v>1218378909</v>
      </c>
      <c r="I1065">
        <v>1152862994</v>
      </c>
      <c r="J1065">
        <v>1228626135</v>
      </c>
      <c r="K1065">
        <v>1299063772</v>
      </c>
      <c r="L1065">
        <v>1057716498</v>
      </c>
      <c r="M1065">
        <v>916672007</v>
      </c>
      <c r="N1065">
        <v>620604488</v>
      </c>
      <c r="O1065">
        <v>0</v>
      </c>
      <c r="P1065">
        <v>53</v>
      </c>
      <c r="Q1065" t="s">
        <v>2388</v>
      </c>
    </row>
    <row r="1066" spans="1:17" x14ac:dyDescent="0.3">
      <c r="A1066" t="s">
        <v>17</v>
      </c>
      <c r="B1066" t="str">
        <f>"603278"</f>
        <v>603278</v>
      </c>
      <c r="C1066" t="s">
        <v>2389</v>
      </c>
      <c r="D1066" t="s">
        <v>146</v>
      </c>
      <c r="E1066">
        <v>1125086233</v>
      </c>
      <c r="F1066">
        <v>1072961773</v>
      </c>
      <c r="G1066">
        <v>647665243</v>
      </c>
      <c r="H1066">
        <v>695230489</v>
      </c>
      <c r="I1066">
        <v>577453172</v>
      </c>
      <c r="P1066">
        <v>122</v>
      </c>
      <c r="Q1066" t="s">
        <v>2390</v>
      </c>
    </row>
    <row r="1067" spans="1:17" x14ac:dyDescent="0.3">
      <c r="A1067" t="s">
        <v>73</v>
      </c>
      <c r="B1067" t="str">
        <f>"300560"</f>
        <v>300560</v>
      </c>
      <c r="C1067" t="s">
        <v>2391</v>
      </c>
      <c r="D1067" t="s">
        <v>853</v>
      </c>
      <c r="E1067">
        <v>1123215647</v>
      </c>
      <c r="F1067">
        <v>1127791974</v>
      </c>
      <c r="G1067">
        <v>635000319</v>
      </c>
      <c r="H1067">
        <v>512126377</v>
      </c>
      <c r="I1067">
        <v>365398498</v>
      </c>
      <c r="J1067">
        <v>305437446</v>
      </c>
      <c r="K1067">
        <v>0</v>
      </c>
      <c r="P1067">
        <v>192</v>
      </c>
      <c r="Q1067" t="s">
        <v>2392</v>
      </c>
    </row>
    <row r="1068" spans="1:17" x14ac:dyDescent="0.3">
      <c r="A1068" t="s">
        <v>17</v>
      </c>
      <c r="B1068" t="str">
        <f>"601100"</f>
        <v>601100</v>
      </c>
      <c r="C1068" t="s">
        <v>2393</v>
      </c>
      <c r="D1068" t="s">
        <v>2394</v>
      </c>
      <c r="E1068">
        <v>1121463412</v>
      </c>
      <c r="F1068">
        <v>1366874869</v>
      </c>
      <c r="G1068">
        <v>1003947084</v>
      </c>
      <c r="H1068">
        <v>0</v>
      </c>
      <c r="I1068">
        <v>619460921</v>
      </c>
      <c r="J1068">
        <v>479262597</v>
      </c>
      <c r="K1068">
        <v>270720699</v>
      </c>
      <c r="L1068">
        <v>237800372</v>
      </c>
      <c r="M1068">
        <v>262643530</v>
      </c>
      <c r="N1068">
        <v>256112264</v>
      </c>
      <c r="O1068">
        <v>143159865</v>
      </c>
      <c r="P1068">
        <v>1782</v>
      </c>
      <c r="Q1068" t="s">
        <v>2395</v>
      </c>
    </row>
    <row r="1069" spans="1:17" x14ac:dyDescent="0.3">
      <c r="A1069" t="s">
        <v>17</v>
      </c>
      <c r="B1069" t="str">
        <f>"603421"</f>
        <v>603421</v>
      </c>
      <c r="C1069" t="s">
        <v>2396</v>
      </c>
      <c r="D1069" t="s">
        <v>189</v>
      </c>
      <c r="E1069">
        <v>1120042399</v>
      </c>
      <c r="F1069">
        <v>804517361</v>
      </c>
      <c r="G1069">
        <v>733655417</v>
      </c>
      <c r="H1069">
        <v>593168767</v>
      </c>
      <c r="I1069">
        <v>553685010</v>
      </c>
      <c r="J1069">
        <v>428912268</v>
      </c>
      <c r="P1069">
        <v>138</v>
      </c>
      <c r="Q1069" t="s">
        <v>2397</v>
      </c>
    </row>
    <row r="1070" spans="1:17" x14ac:dyDescent="0.3">
      <c r="A1070" t="s">
        <v>17</v>
      </c>
      <c r="B1070" t="str">
        <f>"603843"</f>
        <v>603843</v>
      </c>
      <c r="C1070" t="s">
        <v>2398</v>
      </c>
      <c r="D1070" t="s">
        <v>22</v>
      </c>
      <c r="E1070">
        <v>1118356161</v>
      </c>
      <c r="F1070">
        <v>424174890</v>
      </c>
      <c r="G1070">
        <v>413333411</v>
      </c>
      <c r="H1070">
        <v>997535106</v>
      </c>
      <c r="I1070">
        <v>931928629</v>
      </c>
      <c r="J1070">
        <v>681937129</v>
      </c>
      <c r="K1070">
        <v>736418719</v>
      </c>
      <c r="L1070">
        <v>0</v>
      </c>
      <c r="P1070">
        <v>90</v>
      </c>
      <c r="Q1070" t="s">
        <v>2399</v>
      </c>
    </row>
    <row r="1071" spans="1:17" x14ac:dyDescent="0.3">
      <c r="A1071" t="s">
        <v>17</v>
      </c>
      <c r="B1071" t="str">
        <f>"688396"</f>
        <v>688396</v>
      </c>
      <c r="C1071" t="s">
        <v>2400</v>
      </c>
      <c r="D1071" t="s">
        <v>2401</v>
      </c>
      <c r="E1071">
        <v>1114842626</v>
      </c>
      <c r="F1071">
        <v>972952805</v>
      </c>
      <c r="G1071">
        <v>778427629</v>
      </c>
      <c r="P1071">
        <v>495</v>
      </c>
      <c r="Q1071" t="s">
        <v>2402</v>
      </c>
    </row>
    <row r="1072" spans="1:17" x14ac:dyDescent="0.3">
      <c r="A1072" t="s">
        <v>73</v>
      </c>
      <c r="B1072" t="str">
        <f>"000540"</f>
        <v>000540</v>
      </c>
      <c r="C1072" t="s">
        <v>2403</v>
      </c>
      <c r="D1072" t="s">
        <v>27</v>
      </c>
      <c r="E1072">
        <v>1114386593</v>
      </c>
      <c r="F1072">
        <v>1988948269</v>
      </c>
      <c r="G1072">
        <v>1773341222</v>
      </c>
      <c r="H1072">
        <v>1635830116</v>
      </c>
      <c r="I1072">
        <v>1576747719</v>
      </c>
      <c r="J1072">
        <v>4002383665</v>
      </c>
      <c r="K1072">
        <v>1504737882</v>
      </c>
      <c r="L1072">
        <v>805231613</v>
      </c>
      <c r="M1072">
        <v>865248337</v>
      </c>
      <c r="N1072">
        <v>242038637</v>
      </c>
      <c r="O1072">
        <v>116952121</v>
      </c>
      <c r="P1072">
        <v>5239</v>
      </c>
      <c r="Q1072" t="s">
        <v>2404</v>
      </c>
    </row>
    <row r="1073" spans="1:17" x14ac:dyDescent="0.3">
      <c r="A1073" t="s">
        <v>73</v>
      </c>
      <c r="B1073" t="str">
        <f>"002454"</f>
        <v>002454</v>
      </c>
      <c r="C1073" t="s">
        <v>2405</v>
      </c>
      <c r="D1073" t="s">
        <v>442</v>
      </c>
      <c r="E1073">
        <v>1111874679</v>
      </c>
      <c r="F1073">
        <v>1127046165</v>
      </c>
      <c r="G1073">
        <v>1029067106</v>
      </c>
      <c r="H1073">
        <v>1387361801</v>
      </c>
      <c r="I1073">
        <v>1281563660</v>
      </c>
      <c r="J1073">
        <v>1188821289</v>
      </c>
      <c r="K1073">
        <v>959919311</v>
      </c>
      <c r="L1073">
        <v>883477728</v>
      </c>
      <c r="M1073">
        <v>792664516</v>
      </c>
      <c r="N1073">
        <v>624394528</v>
      </c>
      <c r="O1073">
        <v>481535606</v>
      </c>
      <c r="P1073">
        <v>191</v>
      </c>
      <c r="Q1073" t="s">
        <v>2406</v>
      </c>
    </row>
    <row r="1074" spans="1:17" x14ac:dyDescent="0.3">
      <c r="A1074" t="s">
        <v>73</v>
      </c>
      <c r="B1074" t="str">
        <f>"002407"</f>
        <v>002407</v>
      </c>
      <c r="C1074" t="s">
        <v>2407</v>
      </c>
      <c r="D1074" t="s">
        <v>1726</v>
      </c>
      <c r="E1074">
        <v>1111426087</v>
      </c>
      <c r="F1074">
        <v>854179590</v>
      </c>
      <c r="G1074">
        <v>934691139</v>
      </c>
      <c r="H1074">
        <v>1270444969</v>
      </c>
      <c r="I1074">
        <v>988325331</v>
      </c>
      <c r="J1074">
        <v>592385659</v>
      </c>
      <c r="K1074">
        <v>479595992</v>
      </c>
      <c r="L1074">
        <v>397860451</v>
      </c>
      <c r="M1074">
        <v>308201527</v>
      </c>
      <c r="N1074">
        <v>306949745</v>
      </c>
      <c r="O1074">
        <v>278045429</v>
      </c>
      <c r="P1074">
        <v>566</v>
      </c>
      <c r="Q1074" t="s">
        <v>2408</v>
      </c>
    </row>
    <row r="1075" spans="1:17" x14ac:dyDescent="0.3">
      <c r="A1075" t="s">
        <v>73</v>
      </c>
      <c r="B1075" t="str">
        <f>"002402"</f>
        <v>002402</v>
      </c>
      <c r="C1075" t="s">
        <v>2409</v>
      </c>
      <c r="D1075" t="s">
        <v>42</v>
      </c>
      <c r="E1075">
        <v>1111293903</v>
      </c>
      <c r="F1075">
        <v>1101105544</v>
      </c>
      <c r="G1075">
        <v>656882095</v>
      </c>
      <c r="H1075">
        <v>763256853</v>
      </c>
      <c r="I1075">
        <v>551824786</v>
      </c>
      <c r="J1075">
        <v>349317730</v>
      </c>
      <c r="K1075">
        <v>318493039</v>
      </c>
      <c r="L1075">
        <v>248216340</v>
      </c>
      <c r="M1075">
        <v>226449033</v>
      </c>
      <c r="N1075">
        <v>184112239</v>
      </c>
      <c r="O1075">
        <v>168186501</v>
      </c>
      <c r="P1075">
        <v>1281</v>
      </c>
      <c r="Q1075" t="s">
        <v>2410</v>
      </c>
    </row>
    <row r="1076" spans="1:17" x14ac:dyDescent="0.3">
      <c r="A1076" t="s">
        <v>73</v>
      </c>
      <c r="B1076" t="str">
        <f>"000533"</f>
        <v>000533</v>
      </c>
      <c r="C1076" t="s">
        <v>2411</v>
      </c>
      <c r="D1076" t="s">
        <v>224</v>
      </c>
      <c r="E1076">
        <v>1109800887</v>
      </c>
      <c r="F1076">
        <v>910870784</v>
      </c>
      <c r="G1076">
        <v>1025508516</v>
      </c>
      <c r="H1076">
        <v>1156258833</v>
      </c>
      <c r="I1076">
        <v>1266922241</v>
      </c>
      <c r="J1076">
        <v>1308561810</v>
      </c>
      <c r="K1076">
        <v>1348659631</v>
      </c>
      <c r="L1076">
        <v>1032832807</v>
      </c>
      <c r="M1076">
        <v>870759649</v>
      </c>
      <c r="N1076">
        <v>252143102</v>
      </c>
      <c r="O1076">
        <v>378606089</v>
      </c>
      <c r="P1076">
        <v>101</v>
      </c>
      <c r="Q1076" t="s">
        <v>2412</v>
      </c>
    </row>
    <row r="1077" spans="1:17" x14ac:dyDescent="0.3">
      <c r="A1077" t="s">
        <v>17</v>
      </c>
      <c r="B1077" t="str">
        <f>"600649"</f>
        <v>600649</v>
      </c>
      <c r="C1077" t="s">
        <v>2413</v>
      </c>
      <c r="D1077" t="s">
        <v>27</v>
      </c>
      <c r="E1077">
        <v>1108224885</v>
      </c>
      <c r="F1077">
        <v>1646759319</v>
      </c>
      <c r="G1077">
        <v>214631186</v>
      </c>
      <c r="H1077">
        <v>43880593</v>
      </c>
      <c r="I1077">
        <v>53058013</v>
      </c>
      <c r="J1077">
        <v>70833492</v>
      </c>
      <c r="K1077">
        <v>479870865</v>
      </c>
      <c r="L1077">
        <v>284498160</v>
      </c>
      <c r="M1077">
        <v>201896794</v>
      </c>
      <c r="N1077">
        <v>203543559</v>
      </c>
      <c r="O1077">
        <v>204773209</v>
      </c>
      <c r="P1077">
        <v>205</v>
      </c>
      <c r="Q1077" t="s">
        <v>2414</v>
      </c>
    </row>
    <row r="1078" spans="1:17" x14ac:dyDescent="0.3">
      <c r="A1078" t="s">
        <v>73</v>
      </c>
      <c r="B1078" t="str">
        <f>"002019"</f>
        <v>002019</v>
      </c>
      <c r="C1078" t="s">
        <v>2415</v>
      </c>
      <c r="D1078" t="s">
        <v>348</v>
      </c>
      <c r="E1078">
        <v>1106511577</v>
      </c>
      <c r="F1078">
        <v>1035268944</v>
      </c>
      <c r="G1078">
        <v>1155107191</v>
      </c>
      <c r="H1078">
        <v>997531099</v>
      </c>
      <c r="I1078">
        <v>834410152</v>
      </c>
      <c r="J1078">
        <v>689023650</v>
      </c>
      <c r="K1078">
        <v>566735117</v>
      </c>
      <c r="L1078">
        <v>421129984</v>
      </c>
      <c r="M1078">
        <v>182877682</v>
      </c>
      <c r="N1078">
        <v>186603823</v>
      </c>
      <c r="O1078">
        <v>125618161</v>
      </c>
      <c r="P1078">
        <v>974</v>
      </c>
      <c r="Q1078" t="s">
        <v>2416</v>
      </c>
    </row>
    <row r="1079" spans="1:17" x14ac:dyDescent="0.3">
      <c r="A1079" t="s">
        <v>17</v>
      </c>
      <c r="B1079" t="str">
        <f>"600706"</f>
        <v>600706</v>
      </c>
      <c r="C1079" t="s">
        <v>2417</v>
      </c>
      <c r="D1079" t="s">
        <v>1456</v>
      </c>
      <c r="E1079">
        <v>1105435443</v>
      </c>
      <c r="F1079">
        <v>844067510</v>
      </c>
      <c r="G1079">
        <v>568494092</v>
      </c>
      <c r="H1079">
        <v>583637055</v>
      </c>
      <c r="I1079">
        <v>479121928</v>
      </c>
      <c r="J1079">
        <v>447443477</v>
      </c>
      <c r="K1079">
        <v>401309397</v>
      </c>
      <c r="L1079">
        <v>341570002</v>
      </c>
      <c r="M1079">
        <v>222350949</v>
      </c>
      <c r="N1079">
        <v>196631791</v>
      </c>
      <c r="O1079">
        <v>28459</v>
      </c>
      <c r="P1079">
        <v>122</v>
      </c>
      <c r="Q1079" t="s">
        <v>2418</v>
      </c>
    </row>
    <row r="1080" spans="1:17" x14ac:dyDescent="0.3">
      <c r="A1080" t="s">
        <v>73</v>
      </c>
      <c r="B1080" t="str">
        <f>"002440"</f>
        <v>002440</v>
      </c>
      <c r="C1080" t="s">
        <v>2419</v>
      </c>
      <c r="D1080" t="s">
        <v>1001</v>
      </c>
      <c r="E1080">
        <v>1102126627</v>
      </c>
      <c r="F1080">
        <v>1058609397</v>
      </c>
      <c r="G1080">
        <v>1026317006</v>
      </c>
      <c r="H1080">
        <v>1649426596</v>
      </c>
      <c r="I1080">
        <v>1476500651</v>
      </c>
      <c r="J1080">
        <v>1133110603</v>
      </c>
      <c r="K1080">
        <v>1028748021</v>
      </c>
      <c r="L1080">
        <v>1458950891</v>
      </c>
      <c r="M1080">
        <v>1201771988</v>
      </c>
      <c r="N1080">
        <v>877566625</v>
      </c>
      <c r="O1080">
        <v>762511212</v>
      </c>
      <c r="P1080">
        <v>537</v>
      </c>
      <c r="Q1080" t="s">
        <v>2420</v>
      </c>
    </row>
    <row r="1081" spans="1:17" x14ac:dyDescent="0.3">
      <c r="A1081" t="s">
        <v>73</v>
      </c>
      <c r="B1081" t="str">
        <f>"002517"</f>
        <v>002517</v>
      </c>
      <c r="C1081" t="s">
        <v>2421</v>
      </c>
      <c r="D1081" t="s">
        <v>899</v>
      </c>
      <c r="E1081">
        <v>1101260811</v>
      </c>
      <c r="F1081">
        <v>532551634</v>
      </c>
      <c r="G1081">
        <v>695429019</v>
      </c>
      <c r="H1081">
        <v>1094814544</v>
      </c>
      <c r="I1081">
        <v>1108479667</v>
      </c>
      <c r="J1081">
        <v>593459645</v>
      </c>
      <c r="K1081">
        <v>386362439</v>
      </c>
      <c r="L1081">
        <v>122120471</v>
      </c>
      <c r="M1081">
        <v>136835125</v>
      </c>
      <c r="N1081">
        <v>101552699</v>
      </c>
      <c r="O1081">
        <v>74810316</v>
      </c>
      <c r="P1081">
        <v>289</v>
      </c>
      <c r="Q1081" t="s">
        <v>2422</v>
      </c>
    </row>
    <row r="1082" spans="1:17" x14ac:dyDescent="0.3">
      <c r="A1082" t="s">
        <v>17</v>
      </c>
      <c r="B1082" t="str">
        <f>"603596"</f>
        <v>603596</v>
      </c>
      <c r="C1082" t="s">
        <v>2423</v>
      </c>
      <c r="D1082" t="s">
        <v>122</v>
      </c>
      <c r="E1082">
        <v>1100857241</v>
      </c>
      <c r="F1082">
        <v>1010155574</v>
      </c>
      <c r="G1082">
        <v>870014674</v>
      </c>
      <c r="H1082">
        <v>785303286</v>
      </c>
      <c r="I1082">
        <v>853902670</v>
      </c>
      <c r="J1082">
        <v>0</v>
      </c>
      <c r="P1082">
        <v>369</v>
      </c>
      <c r="Q1082" t="s">
        <v>2424</v>
      </c>
    </row>
    <row r="1083" spans="1:17" x14ac:dyDescent="0.3">
      <c r="A1083" t="s">
        <v>73</v>
      </c>
      <c r="B1083" t="str">
        <f>"000797"</f>
        <v>000797</v>
      </c>
      <c r="C1083" t="s">
        <v>2425</v>
      </c>
      <c r="D1083" t="s">
        <v>27</v>
      </c>
      <c r="E1083">
        <v>1099796434</v>
      </c>
      <c r="F1083">
        <v>1212280760</v>
      </c>
      <c r="G1083">
        <v>1765774443</v>
      </c>
      <c r="H1083">
        <v>1431137762</v>
      </c>
      <c r="I1083">
        <v>831974276</v>
      </c>
      <c r="J1083">
        <v>582394291</v>
      </c>
      <c r="K1083">
        <v>632222844</v>
      </c>
      <c r="L1083">
        <v>358917272</v>
      </c>
      <c r="M1083">
        <v>427250275</v>
      </c>
      <c r="N1083">
        <v>439320465</v>
      </c>
      <c r="O1083">
        <v>314023262</v>
      </c>
      <c r="P1083">
        <v>121</v>
      </c>
      <c r="Q1083" t="s">
        <v>2426</v>
      </c>
    </row>
    <row r="1084" spans="1:17" x14ac:dyDescent="0.3">
      <c r="A1084" t="s">
        <v>73</v>
      </c>
      <c r="B1084" t="str">
        <f>"002987"</f>
        <v>002987</v>
      </c>
      <c r="C1084" t="s">
        <v>2427</v>
      </c>
      <c r="D1084" t="s">
        <v>795</v>
      </c>
      <c r="E1084">
        <v>1099413790</v>
      </c>
      <c r="F1084">
        <v>892891433</v>
      </c>
      <c r="G1084">
        <v>629267393</v>
      </c>
      <c r="P1084">
        <v>127</v>
      </c>
      <c r="Q1084" t="s">
        <v>2428</v>
      </c>
    </row>
    <row r="1085" spans="1:17" x14ac:dyDescent="0.3">
      <c r="A1085" t="s">
        <v>73</v>
      </c>
      <c r="B1085" t="str">
        <f>"300340"</f>
        <v>300340</v>
      </c>
      <c r="C1085" t="s">
        <v>2429</v>
      </c>
      <c r="D1085" t="s">
        <v>561</v>
      </c>
      <c r="E1085">
        <v>1096989138</v>
      </c>
      <c r="F1085">
        <v>855158406</v>
      </c>
      <c r="G1085">
        <v>781711133</v>
      </c>
      <c r="H1085">
        <v>903219594</v>
      </c>
      <c r="I1085">
        <v>942631860</v>
      </c>
      <c r="J1085">
        <v>439945638</v>
      </c>
      <c r="K1085">
        <v>231943936</v>
      </c>
      <c r="L1085">
        <v>211158740</v>
      </c>
      <c r="M1085">
        <v>189615487</v>
      </c>
      <c r="N1085">
        <v>199053366</v>
      </c>
      <c r="O1085">
        <v>0</v>
      </c>
      <c r="P1085">
        <v>96</v>
      </c>
      <c r="Q1085" t="s">
        <v>2430</v>
      </c>
    </row>
    <row r="1086" spans="1:17" x14ac:dyDescent="0.3">
      <c r="A1086" t="s">
        <v>17</v>
      </c>
      <c r="B1086" t="str">
        <f>"603609"</f>
        <v>603609</v>
      </c>
      <c r="C1086" t="s">
        <v>2431</v>
      </c>
      <c r="D1086" t="s">
        <v>2130</v>
      </c>
      <c r="E1086">
        <v>1096984405</v>
      </c>
      <c r="F1086">
        <v>845866978</v>
      </c>
      <c r="G1086">
        <v>659947300</v>
      </c>
      <c r="H1086">
        <v>673481755</v>
      </c>
      <c r="I1086">
        <v>625648392</v>
      </c>
      <c r="J1086">
        <v>579036406</v>
      </c>
      <c r="K1086">
        <v>416201261</v>
      </c>
      <c r="L1086">
        <v>307889936</v>
      </c>
      <c r="M1086">
        <v>0</v>
      </c>
      <c r="P1086">
        <v>507</v>
      </c>
      <c r="Q1086" t="s">
        <v>2432</v>
      </c>
    </row>
    <row r="1087" spans="1:17" x14ac:dyDescent="0.3">
      <c r="A1087" t="s">
        <v>73</v>
      </c>
      <c r="B1087" t="str">
        <f>"002035"</f>
        <v>002035</v>
      </c>
      <c r="C1087" t="s">
        <v>2433</v>
      </c>
      <c r="D1087" t="s">
        <v>1693</v>
      </c>
      <c r="E1087">
        <v>1096896931</v>
      </c>
      <c r="F1087">
        <v>645406483</v>
      </c>
      <c r="G1087">
        <v>748879885</v>
      </c>
      <c r="H1087">
        <v>838275964</v>
      </c>
      <c r="I1087">
        <v>686354546</v>
      </c>
      <c r="J1087">
        <v>313195197</v>
      </c>
      <c r="K1087">
        <v>301239382</v>
      </c>
      <c r="L1087">
        <v>326411252</v>
      </c>
      <c r="M1087">
        <v>172649812</v>
      </c>
      <c r="N1087">
        <v>154518731</v>
      </c>
      <c r="O1087">
        <v>72456145</v>
      </c>
      <c r="P1087">
        <v>1344</v>
      </c>
      <c r="Q1087" t="s">
        <v>2434</v>
      </c>
    </row>
    <row r="1088" spans="1:17" x14ac:dyDescent="0.3">
      <c r="A1088" t="s">
        <v>73</v>
      </c>
      <c r="B1088" t="str">
        <f>"300850"</f>
        <v>300850</v>
      </c>
      <c r="C1088" t="s">
        <v>2435</v>
      </c>
      <c r="D1088" t="s">
        <v>778</v>
      </c>
      <c r="E1088">
        <v>1096844035</v>
      </c>
      <c r="F1088">
        <v>628220614</v>
      </c>
      <c r="G1088">
        <v>271787729</v>
      </c>
      <c r="P1088">
        <v>264</v>
      </c>
      <c r="Q1088" t="s">
        <v>2436</v>
      </c>
    </row>
    <row r="1089" spans="1:17" x14ac:dyDescent="0.3">
      <c r="A1089" t="s">
        <v>73</v>
      </c>
      <c r="B1089" t="str">
        <f>"002303"</f>
        <v>002303</v>
      </c>
      <c r="C1089" t="s">
        <v>2437</v>
      </c>
      <c r="D1089" t="s">
        <v>577</v>
      </c>
      <c r="E1089">
        <v>1096519409</v>
      </c>
      <c r="F1089">
        <v>1042352197</v>
      </c>
      <c r="G1089">
        <v>705509363</v>
      </c>
      <c r="H1089">
        <v>822107990</v>
      </c>
      <c r="I1089">
        <v>760805445</v>
      </c>
      <c r="J1089">
        <v>623477345</v>
      </c>
      <c r="K1089">
        <v>429132403</v>
      </c>
      <c r="L1089">
        <v>413307139</v>
      </c>
      <c r="M1089">
        <v>332354383</v>
      </c>
      <c r="N1089">
        <v>270527380</v>
      </c>
      <c r="O1089">
        <v>215767526</v>
      </c>
      <c r="P1089">
        <v>224</v>
      </c>
      <c r="Q1089" t="s">
        <v>2438</v>
      </c>
    </row>
    <row r="1090" spans="1:17" x14ac:dyDescent="0.3">
      <c r="A1090" t="s">
        <v>73</v>
      </c>
      <c r="B1090" t="str">
        <f>"000779"</f>
        <v>000779</v>
      </c>
      <c r="C1090" t="s">
        <v>2439</v>
      </c>
      <c r="D1090" t="s">
        <v>661</v>
      </c>
      <c r="E1090">
        <v>1094042492</v>
      </c>
      <c r="F1090">
        <v>800191046</v>
      </c>
      <c r="G1090">
        <v>710748309</v>
      </c>
      <c r="H1090">
        <v>695564976</v>
      </c>
      <c r="I1090">
        <v>39895048</v>
      </c>
      <c r="J1090">
        <v>47036273</v>
      </c>
      <c r="K1090">
        <v>48511384</v>
      </c>
      <c r="L1090">
        <v>55620357</v>
      </c>
      <c r="M1090">
        <v>49943891</v>
      </c>
      <c r="N1090">
        <v>42629323</v>
      </c>
      <c r="O1090">
        <v>51000995</v>
      </c>
      <c r="P1090">
        <v>165</v>
      </c>
      <c r="Q1090" t="s">
        <v>2440</v>
      </c>
    </row>
    <row r="1091" spans="1:17" x14ac:dyDescent="0.3">
      <c r="A1091" t="s">
        <v>17</v>
      </c>
      <c r="B1091" t="str">
        <f>"603033"</f>
        <v>603033</v>
      </c>
      <c r="C1091" t="s">
        <v>2441</v>
      </c>
      <c r="D1091" t="s">
        <v>2295</v>
      </c>
      <c r="E1091">
        <v>1093234914</v>
      </c>
      <c r="F1091">
        <v>939669899</v>
      </c>
      <c r="G1091">
        <v>757934250</v>
      </c>
      <c r="H1091">
        <v>795028967</v>
      </c>
      <c r="I1091">
        <v>438599621</v>
      </c>
      <c r="J1091">
        <v>396050853</v>
      </c>
      <c r="P1091">
        <v>99</v>
      </c>
      <c r="Q1091" t="s">
        <v>2442</v>
      </c>
    </row>
    <row r="1092" spans="1:17" x14ac:dyDescent="0.3">
      <c r="A1092" t="s">
        <v>73</v>
      </c>
      <c r="B1092" t="str">
        <f>"000710"</f>
        <v>000710</v>
      </c>
      <c r="C1092" t="s">
        <v>2443</v>
      </c>
      <c r="D1092" t="s">
        <v>773</v>
      </c>
      <c r="E1092">
        <v>1092983243</v>
      </c>
      <c r="F1092">
        <v>1137474375</v>
      </c>
      <c r="G1092">
        <v>895965545</v>
      </c>
      <c r="H1092">
        <v>713675343</v>
      </c>
      <c r="I1092">
        <v>501360027</v>
      </c>
      <c r="J1092">
        <v>57073823</v>
      </c>
      <c r="K1092">
        <v>53516409</v>
      </c>
      <c r="L1092">
        <v>45553435</v>
      </c>
      <c r="M1092">
        <v>44295598</v>
      </c>
      <c r="N1092">
        <v>56848519</v>
      </c>
      <c r="O1092">
        <v>55060857</v>
      </c>
      <c r="P1092">
        <v>460</v>
      </c>
      <c r="Q1092" t="s">
        <v>2444</v>
      </c>
    </row>
    <row r="1093" spans="1:17" x14ac:dyDescent="0.3">
      <c r="A1093" t="s">
        <v>17</v>
      </c>
      <c r="B1093" t="str">
        <f>"600398"</f>
        <v>600398</v>
      </c>
      <c r="C1093" t="s">
        <v>2445</v>
      </c>
      <c r="D1093" t="s">
        <v>991</v>
      </c>
      <c r="E1093">
        <v>1088889394</v>
      </c>
      <c r="F1093">
        <v>1087148744</v>
      </c>
      <c r="G1093">
        <v>889253065</v>
      </c>
      <c r="H1093">
        <v>622902405</v>
      </c>
      <c r="I1093">
        <v>645087361</v>
      </c>
      <c r="J1093">
        <v>623376325</v>
      </c>
      <c r="K1093">
        <v>680233247</v>
      </c>
      <c r="L1093">
        <v>489596177</v>
      </c>
      <c r="M1093">
        <v>214434889</v>
      </c>
      <c r="N1093">
        <v>130093945</v>
      </c>
      <c r="O1093">
        <v>146419116</v>
      </c>
      <c r="P1093">
        <v>2674</v>
      </c>
      <c r="Q1093" t="s">
        <v>2446</v>
      </c>
    </row>
    <row r="1094" spans="1:17" x14ac:dyDescent="0.3">
      <c r="A1094" t="s">
        <v>17</v>
      </c>
      <c r="B1094" t="str">
        <f>"603098"</f>
        <v>603098</v>
      </c>
      <c r="C1094" t="s">
        <v>2447</v>
      </c>
      <c r="D1094" t="s">
        <v>711</v>
      </c>
      <c r="E1094">
        <v>1088644949</v>
      </c>
      <c r="F1094">
        <v>1158917206</v>
      </c>
      <c r="G1094">
        <v>1830187551</v>
      </c>
      <c r="H1094">
        <v>1263391473</v>
      </c>
      <c r="I1094">
        <v>714896759</v>
      </c>
      <c r="J1094">
        <v>453928397</v>
      </c>
      <c r="P1094">
        <v>158</v>
      </c>
      <c r="Q1094" t="s">
        <v>2448</v>
      </c>
    </row>
    <row r="1095" spans="1:17" x14ac:dyDescent="0.3">
      <c r="A1095" t="s">
        <v>17</v>
      </c>
      <c r="B1095" t="str">
        <f>"601212"</f>
        <v>601212</v>
      </c>
      <c r="C1095" t="s">
        <v>2449</v>
      </c>
      <c r="D1095" t="s">
        <v>2450</v>
      </c>
      <c r="E1095">
        <v>1088478878</v>
      </c>
      <c r="F1095">
        <v>1096843691</v>
      </c>
      <c r="G1095">
        <v>770126767</v>
      </c>
      <c r="H1095">
        <v>635771913</v>
      </c>
      <c r="I1095">
        <v>594641370</v>
      </c>
      <c r="J1095">
        <v>952150756</v>
      </c>
      <c r="P1095">
        <v>185</v>
      </c>
      <c r="Q1095" t="s">
        <v>2451</v>
      </c>
    </row>
    <row r="1096" spans="1:17" x14ac:dyDescent="0.3">
      <c r="A1096" t="s">
        <v>17</v>
      </c>
      <c r="B1096" t="str">
        <f>"603187"</f>
        <v>603187</v>
      </c>
      <c r="C1096" t="s">
        <v>2452</v>
      </c>
      <c r="D1096" t="s">
        <v>2227</v>
      </c>
      <c r="E1096">
        <v>1088400226</v>
      </c>
      <c r="F1096">
        <v>679592990</v>
      </c>
      <c r="G1096">
        <v>577536416</v>
      </c>
      <c r="H1096">
        <v>478437539</v>
      </c>
      <c r="I1096">
        <v>0</v>
      </c>
      <c r="P1096">
        <v>704</v>
      </c>
      <c r="Q1096" t="s">
        <v>2453</v>
      </c>
    </row>
    <row r="1097" spans="1:17" x14ac:dyDescent="0.3">
      <c r="A1097" t="s">
        <v>73</v>
      </c>
      <c r="B1097" t="str">
        <f>"002911"</f>
        <v>002911</v>
      </c>
      <c r="C1097" t="s">
        <v>2454</v>
      </c>
      <c r="D1097" t="s">
        <v>469</v>
      </c>
      <c r="E1097">
        <v>1086730119</v>
      </c>
      <c r="F1097">
        <v>523985550</v>
      </c>
      <c r="G1097">
        <v>366465939</v>
      </c>
      <c r="H1097">
        <v>332682630</v>
      </c>
      <c r="I1097">
        <v>287640304</v>
      </c>
      <c r="P1097">
        <v>183</v>
      </c>
      <c r="Q1097" t="s">
        <v>2455</v>
      </c>
    </row>
    <row r="1098" spans="1:17" x14ac:dyDescent="0.3">
      <c r="A1098" t="s">
        <v>73</v>
      </c>
      <c r="B1098" t="str">
        <f>"000682"</f>
        <v>000682</v>
      </c>
      <c r="C1098" t="s">
        <v>2456</v>
      </c>
      <c r="D1098" t="s">
        <v>161</v>
      </c>
      <c r="E1098">
        <v>1085768548</v>
      </c>
      <c r="F1098">
        <v>898250992</v>
      </c>
      <c r="G1098">
        <v>1223853495</v>
      </c>
      <c r="H1098">
        <v>1099628214</v>
      </c>
      <c r="I1098">
        <v>1053036288</v>
      </c>
      <c r="J1098">
        <v>933901258</v>
      </c>
      <c r="K1098">
        <v>716981923</v>
      </c>
      <c r="L1098">
        <v>616331664</v>
      </c>
      <c r="M1098">
        <v>727940322</v>
      </c>
      <c r="N1098">
        <v>709598453</v>
      </c>
      <c r="O1098">
        <v>573343976</v>
      </c>
      <c r="P1098">
        <v>156</v>
      </c>
      <c r="Q1098" t="s">
        <v>2457</v>
      </c>
    </row>
    <row r="1099" spans="1:17" x14ac:dyDescent="0.3">
      <c r="A1099" t="s">
        <v>17</v>
      </c>
      <c r="B1099" t="str">
        <f>"688777"</f>
        <v>688777</v>
      </c>
      <c r="C1099" t="s">
        <v>2458</v>
      </c>
      <c r="D1099" t="s">
        <v>626</v>
      </c>
      <c r="E1099">
        <v>1085693971</v>
      </c>
      <c r="F1099">
        <v>883253381</v>
      </c>
      <c r="G1099">
        <v>0</v>
      </c>
      <c r="P1099">
        <v>180</v>
      </c>
      <c r="Q1099" t="s">
        <v>2459</v>
      </c>
    </row>
    <row r="1100" spans="1:17" x14ac:dyDescent="0.3">
      <c r="A1100" t="s">
        <v>73</v>
      </c>
      <c r="B1100" t="str">
        <f>"002283"</f>
        <v>002283</v>
      </c>
      <c r="C1100" t="s">
        <v>2460</v>
      </c>
      <c r="D1100" t="s">
        <v>122</v>
      </c>
      <c r="E1100">
        <v>1085531493</v>
      </c>
      <c r="F1100">
        <v>1659441244</v>
      </c>
      <c r="G1100">
        <v>1204389189</v>
      </c>
      <c r="H1100">
        <v>1221359910</v>
      </c>
      <c r="I1100">
        <v>968333838</v>
      </c>
      <c r="J1100">
        <v>766976023</v>
      </c>
      <c r="K1100">
        <v>546913914</v>
      </c>
      <c r="L1100">
        <v>360025241</v>
      </c>
      <c r="M1100">
        <v>517111032</v>
      </c>
      <c r="N1100">
        <v>386079486</v>
      </c>
      <c r="O1100">
        <v>268200866</v>
      </c>
      <c r="P1100">
        <v>202</v>
      </c>
      <c r="Q1100" t="s">
        <v>2461</v>
      </c>
    </row>
    <row r="1101" spans="1:17" x14ac:dyDescent="0.3">
      <c r="A1101" t="s">
        <v>73</v>
      </c>
      <c r="B1101" t="str">
        <f>"002668"</f>
        <v>002668</v>
      </c>
      <c r="C1101" t="s">
        <v>2462</v>
      </c>
      <c r="D1101" t="s">
        <v>195</v>
      </c>
      <c r="E1101">
        <v>1084843352</v>
      </c>
      <c r="F1101">
        <v>2384615402</v>
      </c>
      <c r="G1101">
        <v>1871551931</v>
      </c>
      <c r="H1101">
        <v>2061229643</v>
      </c>
      <c r="I1101">
        <v>2107383604</v>
      </c>
      <c r="J1101">
        <v>986405760</v>
      </c>
      <c r="K1101">
        <v>640421145</v>
      </c>
      <c r="L1101">
        <v>380192939</v>
      </c>
      <c r="M1101">
        <v>632154197</v>
      </c>
      <c r="N1101">
        <v>555602422</v>
      </c>
      <c r="O1101">
        <v>354639479</v>
      </c>
      <c r="P1101">
        <v>204</v>
      </c>
      <c r="Q1101" t="s">
        <v>2463</v>
      </c>
    </row>
    <row r="1102" spans="1:17" x14ac:dyDescent="0.3">
      <c r="A1102" t="s">
        <v>73</v>
      </c>
      <c r="B1102" t="str">
        <f>"000560"</f>
        <v>000560</v>
      </c>
      <c r="C1102" t="s">
        <v>2464</v>
      </c>
      <c r="D1102" t="s">
        <v>1914</v>
      </c>
      <c r="E1102">
        <v>1084518160</v>
      </c>
      <c r="F1102">
        <v>1257178032</v>
      </c>
      <c r="G1102">
        <v>1296411738</v>
      </c>
      <c r="H1102">
        <v>1189211563</v>
      </c>
      <c r="I1102">
        <v>1110997560</v>
      </c>
      <c r="J1102">
        <v>66779578</v>
      </c>
      <c r="K1102">
        <v>36262222</v>
      </c>
      <c r="L1102">
        <v>47372686</v>
      </c>
      <c r="M1102">
        <v>68798177</v>
      </c>
      <c r="N1102">
        <v>10897585</v>
      </c>
      <c r="O1102">
        <v>16792519</v>
      </c>
      <c r="P1102">
        <v>206</v>
      </c>
      <c r="Q1102" t="s">
        <v>2465</v>
      </c>
    </row>
    <row r="1103" spans="1:17" x14ac:dyDescent="0.3">
      <c r="A1103" t="s">
        <v>17</v>
      </c>
      <c r="B1103" t="str">
        <f>"603050"</f>
        <v>603050</v>
      </c>
      <c r="C1103" t="s">
        <v>2466</v>
      </c>
      <c r="D1103" t="s">
        <v>161</v>
      </c>
      <c r="E1103">
        <v>1083963353</v>
      </c>
      <c r="F1103">
        <v>887245391</v>
      </c>
      <c r="G1103">
        <v>723427916</v>
      </c>
      <c r="H1103">
        <v>621795491</v>
      </c>
      <c r="I1103">
        <v>473487893</v>
      </c>
      <c r="J1103">
        <v>388765366</v>
      </c>
      <c r="P1103">
        <v>124</v>
      </c>
      <c r="Q1103" t="s">
        <v>2467</v>
      </c>
    </row>
    <row r="1104" spans="1:17" x14ac:dyDescent="0.3">
      <c r="A1104" t="s">
        <v>73</v>
      </c>
      <c r="B1104" t="str">
        <f>"000930"</f>
        <v>000930</v>
      </c>
      <c r="C1104" t="s">
        <v>2468</v>
      </c>
      <c r="D1104" t="s">
        <v>2469</v>
      </c>
      <c r="E1104">
        <v>1082288000</v>
      </c>
      <c r="F1104">
        <v>767872564</v>
      </c>
      <c r="G1104">
        <v>1042041152</v>
      </c>
      <c r="H1104">
        <v>955314525</v>
      </c>
      <c r="I1104">
        <v>293164611</v>
      </c>
      <c r="J1104">
        <v>212531380</v>
      </c>
      <c r="K1104">
        <v>256605192</v>
      </c>
      <c r="L1104">
        <v>318018791</v>
      </c>
      <c r="M1104">
        <v>532069575</v>
      </c>
      <c r="N1104">
        <v>328608662</v>
      </c>
      <c r="O1104">
        <v>279877448</v>
      </c>
      <c r="P1104">
        <v>378</v>
      </c>
      <c r="Q1104" t="s">
        <v>2470</v>
      </c>
    </row>
    <row r="1105" spans="1:17" x14ac:dyDescent="0.3">
      <c r="A1105" t="s">
        <v>73</v>
      </c>
      <c r="B1105" t="str">
        <f>"002063"</f>
        <v>002063</v>
      </c>
      <c r="C1105" t="s">
        <v>2471</v>
      </c>
      <c r="D1105" t="s">
        <v>795</v>
      </c>
      <c r="E1105">
        <v>1080539472</v>
      </c>
      <c r="F1105">
        <v>893256840</v>
      </c>
      <c r="G1105">
        <v>885775372</v>
      </c>
      <c r="H1105">
        <v>889053712</v>
      </c>
      <c r="I1105">
        <v>822720554</v>
      </c>
      <c r="J1105">
        <v>692377876</v>
      </c>
      <c r="K1105">
        <v>577867292</v>
      </c>
      <c r="L1105">
        <v>486228008</v>
      </c>
      <c r="M1105">
        <v>370390552</v>
      </c>
      <c r="N1105">
        <v>290157813</v>
      </c>
      <c r="O1105">
        <v>252928202</v>
      </c>
      <c r="P1105">
        <v>489</v>
      </c>
      <c r="Q1105" t="s">
        <v>2472</v>
      </c>
    </row>
    <row r="1106" spans="1:17" x14ac:dyDescent="0.3">
      <c r="A1106" t="s">
        <v>73</v>
      </c>
      <c r="B1106" t="str">
        <f>"300035"</f>
        <v>300035</v>
      </c>
      <c r="C1106" t="s">
        <v>2473</v>
      </c>
      <c r="D1106" t="s">
        <v>561</v>
      </c>
      <c r="E1106">
        <v>1076352182</v>
      </c>
      <c r="F1106">
        <v>489400484</v>
      </c>
      <c r="G1106">
        <v>390636211</v>
      </c>
      <c r="H1106">
        <v>419843214</v>
      </c>
      <c r="I1106">
        <v>300302021</v>
      </c>
      <c r="J1106">
        <v>240164430</v>
      </c>
      <c r="K1106">
        <v>210953506</v>
      </c>
      <c r="L1106">
        <v>227859112</v>
      </c>
      <c r="M1106">
        <v>235108282</v>
      </c>
      <c r="N1106">
        <v>209693542</v>
      </c>
      <c r="O1106">
        <v>198789726</v>
      </c>
      <c r="P1106">
        <v>272</v>
      </c>
      <c r="Q1106" t="s">
        <v>2474</v>
      </c>
    </row>
    <row r="1107" spans="1:17" x14ac:dyDescent="0.3">
      <c r="A1107" t="s">
        <v>73</v>
      </c>
      <c r="B1107" t="str">
        <f>"000862"</f>
        <v>000862</v>
      </c>
      <c r="C1107" t="s">
        <v>2475</v>
      </c>
      <c r="D1107" t="s">
        <v>133</v>
      </c>
      <c r="E1107">
        <v>1073318817</v>
      </c>
      <c r="F1107">
        <v>1792430555</v>
      </c>
      <c r="G1107">
        <v>1529931937</v>
      </c>
      <c r="H1107">
        <v>1280979893</v>
      </c>
      <c r="I1107">
        <v>988950389</v>
      </c>
      <c r="J1107">
        <v>766598313</v>
      </c>
      <c r="K1107">
        <v>256054608</v>
      </c>
      <c r="L1107">
        <v>447744683</v>
      </c>
      <c r="M1107">
        <v>465891019</v>
      </c>
      <c r="N1107">
        <v>620384826</v>
      </c>
      <c r="O1107">
        <v>715319408</v>
      </c>
      <c r="P1107">
        <v>171</v>
      </c>
      <c r="Q1107" t="s">
        <v>2476</v>
      </c>
    </row>
    <row r="1108" spans="1:17" x14ac:dyDescent="0.3">
      <c r="A1108" t="s">
        <v>17</v>
      </c>
      <c r="B1108" t="str">
        <f>"603920"</f>
        <v>603920</v>
      </c>
      <c r="C1108" t="s">
        <v>2477</v>
      </c>
      <c r="D1108" t="s">
        <v>418</v>
      </c>
      <c r="E1108">
        <v>1072972634</v>
      </c>
      <c r="F1108">
        <v>691769818</v>
      </c>
      <c r="G1108">
        <v>550261591</v>
      </c>
      <c r="H1108">
        <v>498712322</v>
      </c>
      <c r="I1108">
        <v>457724975</v>
      </c>
      <c r="J1108">
        <v>367484839</v>
      </c>
      <c r="P1108">
        <v>267</v>
      </c>
      <c r="Q1108" t="s">
        <v>2478</v>
      </c>
    </row>
    <row r="1109" spans="1:17" x14ac:dyDescent="0.3">
      <c r="A1109" t="s">
        <v>73</v>
      </c>
      <c r="B1109" t="str">
        <f>"300657"</f>
        <v>300657</v>
      </c>
      <c r="C1109" t="s">
        <v>2479</v>
      </c>
      <c r="D1109" t="s">
        <v>418</v>
      </c>
      <c r="E1109">
        <v>1072827360</v>
      </c>
      <c r="F1109">
        <v>1045773724</v>
      </c>
      <c r="G1109">
        <v>685366219</v>
      </c>
      <c r="H1109">
        <v>802700394</v>
      </c>
      <c r="I1109">
        <v>489004798</v>
      </c>
      <c r="J1109">
        <v>479570159</v>
      </c>
      <c r="K1109">
        <v>0</v>
      </c>
      <c r="P1109">
        <v>257</v>
      </c>
      <c r="Q1109" t="s">
        <v>2480</v>
      </c>
    </row>
    <row r="1110" spans="1:17" x14ac:dyDescent="0.3">
      <c r="A1110" t="s">
        <v>73</v>
      </c>
      <c r="B1110" t="str">
        <f>"300638"</f>
        <v>300638</v>
      </c>
      <c r="C1110" t="s">
        <v>2481</v>
      </c>
      <c r="D1110" t="s">
        <v>332</v>
      </c>
      <c r="E1110">
        <v>1072186010</v>
      </c>
      <c r="F1110">
        <v>589534336</v>
      </c>
      <c r="G1110">
        <v>576170386</v>
      </c>
      <c r="H1110">
        <v>380367131</v>
      </c>
      <c r="I1110">
        <v>234862792</v>
      </c>
      <c r="J1110">
        <v>77060016</v>
      </c>
      <c r="K1110">
        <v>0</v>
      </c>
      <c r="P1110">
        <v>757</v>
      </c>
      <c r="Q1110" t="s">
        <v>2482</v>
      </c>
    </row>
    <row r="1111" spans="1:17" x14ac:dyDescent="0.3">
      <c r="A1111" t="s">
        <v>73</v>
      </c>
      <c r="B1111" t="str">
        <f>"300117"</f>
        <v>300117</v>
      </c>
      <c r="C1111" t="s">
        <v>2483</v>
      </c>
      <c r="D1111" t="s">
        <v>39</v>
      </c>
      <c r="E1111">
        <v>1070001891</v>
      </c>
      <c r="F1111">
        <v>936710716</v>
      </c>
      <c r="G1111">
        <v>1373365965</v>
      </c>
      <c r="H1111">
        <v>1486785751</v>
      </c>
      <c r="I1111">
        <v>1176213952</v>
      </c>
      <c r="J1111">
        <v>723108784</v>
      </c>
      <c r="K1111">
        <v>583653002</v>
      </c>
      <c r="L1111">
        <v>544357403</v>
      </c>
      <c r="M1111">
        <v>392653799</v>
      </c>
      <c r="N1111">
        <v>374994676</v>
      </c>
      <c r="O1111">
        <v>277419681</v>
      </c>
      <c r="P1111">
        <v>179</v>
      </c>
      <c r="Q1111" t="s">
        <v>2484</v>
      </c>
    </row>
    <row r="1112" spans="1:17" x14ac:dyDescent="0.3">
      <c r="A1112" t="s">
        <v>73</v>
      </c>
      <c r="B1112" t="str">
        <f>"000783"</f>
        <v>000783</v>
      </c>
      <c r="C1112" t="s">
        <v>2485</v>
      </c>
      <c r="D1112" t="s">
        <v>53</v>
      </c>
      <c r="E1112">
        <v>1069872782</v>
      </c>
      <c r="F1112">
        <v>728450686</v>
      </c>
      <c r="G1112">
        <v>534420022</v>
      </c>
      <c r="H1112">
        <v>355332361</v>
      </c>
      <c r="I1112">
        <v>490406183</v>
      </c>
      <c r="J1112">
        <v>1198084540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1208</v>
      </c>
      <c r="Q1112" t="s">
        <v>2486</v>
      </c>
    </row>
    <row r="1113" spans="1:17" x14ac:dyDescent="0.3">
      <c r="A1113" t="s">
        <v>73</v>
      </c>
      <c r="B1113" t="str">
        <f>"000949"</f>
        <v>000949</v>
      </c>
      <c r="C1113" t="s">
        <v>2487</v>
      </c>
      <c r="D1113" t="s">
        <v>943</v>
      </c>
      <c r="E1113">
        <v>1068896226</v>
      </c>
      <c r="F1113">
        <v>772755998</v>
      </c>
      <c r="G1113">
        <v>683725103</v>
      </c>
      <c r="H1113">
        <v>619599707</v>
      </c>
      <c r="I1113">
        <v>406566300</v>
      </c>
      <c r="J1113">
        <v>287906605</v>
      </c>
      <c r="K1113">
        <v>216978559</v>
      </c>
      <c r="L1113">
        <v>141738610</v>
      </c>
      <c r="M1113">
        <v>224921011</v>
      </c>
      <c r="N1113">
        <v>219045085</v>
      </c>
      <c r="O1113">
        <v>215450223</v>
      </c>
      <c r="P1113">
        <v>157</v>
      </c>
      <c r="Q1113" t="s">
        <v>2488</v>
      </c>
    </row>
    <row r="1114" spans="1:17" x14ac:dyDescent="0.3">
      <c r="A1114" t="s">
        <v>17</v>
      </c>
      <c r="B1114" t="str">
        <f>"688680"</f>
        <v>688680</v>
      </c>
      <c r="C1114" t="s">
        <v>2489</v>
      </c>
      <c r="D1114" t="s">
        <v>919</v>
      </c>
      <c r="E1114">
        <v>1067206191</v>
      </c>
      <c r="F1114">
        <v>385913406</v>
      </c>
      <c r="H1114">
        <v>256732031</v>
      </c>
      <c r="I1114">
        <v>292328550</v>
      </c>
      <c r="P1114">
        <v>79</v>
      </c>
      <c r="Q1114" t="s">
        <v>2490</v>
      </c>
    </row>
    <row r="1115" spans="1:17" x14ac:dyDescent="0.3">
      <c r="A1115" t="s">
        <v>17</v>
      </c>
      <c r="B1115" t="str">
        <f>"603333"</f>
        <v>603333</v>
      </c>
      <c r="C1115" t="s">
        <v>2491</v>
      </c>
      <c r="D1115" t="s">
        <v>515</v>
      </c>
      <c r="E1115">
        <v>1058433398</v>
      </c>
      <c r="F1115">
        <v>861554119</v>
      </c>
      <c r="G1115">
        <v>874823896</v>
      </c>
      <c r="H1115">
        <v>1100936096</v>
      </c>
      <c r="I1115">
        <v>668557358</v>
      </c>
      <c r="J1115">
        <v>518959102</v>
      </c>
      <c r="K1115">
        <v>516453671</v>
      </c>
      <c r="L1115">
        <v>504336748</v>
      </c>
      <c r="M1115">
        <v>641396385</v>
      </c>
      <c r="N1115">
        <v>681820636</v>
      </c>
      <c r="O1115">
        <v>0</v>
      </c>
      <c r="P1115">
        <v>134</v>
      </c>
      <c r="Q1115" t="s">
        <v>2492</v>
      </c>
    </row>
    <row r="1116" spans="1:17" x14ac:dyDescent="0.3">
      <c r="A1116" t="s">
        <v>73</v>
      </c>
      <c r="B1116" t="str">
        <f>"002491"</f>
        <v>002491</v>
      </c>
      <c r="C1116" t="s">
        <v>2493</v>
      </c>
      <c r="D1116" t="s">
        <v>208</v>
      </c>
      <c r="E1116">
        <v>1058305864</v>
      </c>
      <c r="F1116">
        <v>1431272985</v>
      </c>
      <c r="G1116">
        <v>1555029107</v>
      </c>
      <c r="H1116">
        <v>2027576305</v>
      </c>
      <c r="I1116">
        <v>2018529314</v>
      </c>
      <c r="J1116">
        <v>1836626752</v>
      </c>
      <c r="K1116">
        <v>1664744280</v>
      </c>
      <c r="L1116">
        <v>1197919305</v>
      </c>
      <c r="M1116">
        <v>1079813546</v>
      </c>
      <c r="N1116">
        <v>804472482</v>
      </c>
      <c r="O1116">
        <v>635369401</v>
      </c>
      <c r="P1116">
        <v>214</v>
      </c>
      <c r="Q1116" t="s">
        <v>2494</v>
      </c>
    </row>
    <row r="1117" spans="1:17" x14ac:dyDescent="0.3">
      <c r="A1117" t="s">
        <v>17</v>
      </c>
      <c r="B1117" t="str">
        <f>"603063"</f>
        <v>603063</v>
      </c>
      <c r="C1117" t="s">
        <v>2495</v>
      </c>
      <c r="D1117" t="s">
        <v>778</v>
      </c>
      <c r="E1117">
        <v>1055761810</v>
      </c>
      <c r="F1117">
        <v>982941343</v>
      </c>
      <c r="G1117">
        <v>1257493244</v>
      </c>
      <c r="H1117">
        <v>1154279158</v>
      </c>
      <c r="I1117">
        <v>942750011</v>
      </c>
      <c r="P1117">
        <v>212</v>
      </c>
      <c r="Q1117" t="s">
        <v>2496</v>
      </c>
    </row>
    <row r="1118" spans="1:17" x14ac:dyDescent="0.3">
      <c r="A1118" t="s">
        <v>73</v>
      </c>
      <c r="B1118" t="str">
        <f>"000519"</f>
        <v>000519</v>
      </c>
      <c r="C1118" t="s">
        <v>2497</v>
      </c>
      <c r="D1118" t="s">
        <v>1743</v>
      </c>
      <c r="E1118">
        <v>1053857772</v>
      </c>
      <c r="F1118">
        <v>589161579</v>
      </c>
      <c r="G1118">
        <v>462444848</v>
      </c>
      <c r="H1118">
        <v>624529691</v>
      </c>
      <c r="I1118">
        <v>643652914</v>
      </c>
      <c r="J1118">
        <v>720831473</v>
      </c>
      <c r="K1118">
        <v>615553058</v>
      </c>
      <c r="L1118">
        <v>529803242</v>
      </c>
      <c r="M1118">
        <v>312820312</v>
      </c>
      <c r="N1118">
        <v>92009153</v>
      </c>
      <c r="O1118">
        <v>88634976</v>
      </c>
      <c r="P1118">
        <v>336</v>
      </c>
      <c r="Q1118" t="s">
        <v>2498</v>
      </c>
    </row>
    <row r="1119" spans="1:17" x14ac:dyDescent="0.3">
      <c r="A1119" t="s">
        <v>73</v>
      </c>
      <c r="B1119" t="str">
        <f>"002342"</f>
        <v>002342</v>
      </c>
      <c r="C1119" t="s">
        <v>2499</v>
      </c>
      <c r="D1119" t="s">
        <v>146</v>
      </c>
      <c r="E1119">
        <v>1053308466</v>
      </c>
      <c r="F1119">
        <v>918925258</v>
      </c>
      <c r="G1119">
        <v>829426405</v>
      </c>
      <c r="H1119">
        <v>775762918</v>
      </c>
      <c r="I1119">
        <v>765922844</v>
      </c>
      <c r="J1119">
        <v>881556542</v>
      </c>
      <c r="K1119">
        <v>784633186</v>
      </c>
      <c r="L1119">
        <v>739751480</v>
      </c>
      <c r="M1119">
        <v>723968413</v>
      </c>
      <c r="N1119">
        <v>624271879</v>
      </c>
      <c r="O1119">
        <v>453153906</v>
      </c>
      <c r="P1119">
        <v>112</v>
      </c>
      <c r="Q1119" t="s">
        <v>2500</v>
      </c>
    </row>
    <row r="1120" spans="1:17" x14ac:dyDescent="0.3">
      <c r="A1120" t="s">
        <v>17</v>
      </c>
      <c r="B1120" t="str">
        <f>"688232"</f>
        <v>688232</v>
      </c>
      <c r="C1120" t="s">
        <v>2501</v>
      </c>
      <c r="D1120" t="s">
        <v>795</v>
      </c>
      <c r="E1120">
        <v>1053239490</v>
      </c>
      <c r="G1120">
        <v>471433955</v>
      </c>
      <c r="P1120">
        <v>26</v>
      </c>
      <c r="Q1120" t="s">
        <v>2502</v>
      </c>
    </row>
    <row r="1121" spans="1:17" x14ac:dyDescent="0.3">
      <c r="A1121" t="s">
        <v>17</v>
      </c>
      <c r="B1121" t="str">
        <f>"600663"</f>
        <v>600663</v>
      </c>
      <c r="C1121" t="s">
        <v>2503</v>
      </c>
      <c r="D1121" t="s">
        <v>697</v>
      </c>
      <c r="E1121">
        <v>1051335980</v>
      </c>
      <c r="F1121">
        <v>803840570</v>
      </c>
      <c r="G1121">
        <v>560287710</v>
      </c>
      <c r="H1121">
        <v>685492511</v>
      </c>
      <c r="I1121">
        <v>276157954</v>
      </c>
      <c r="J1121">
        <v>133838393</v>
      </c>
      <c r="K1121">
        <v>49257831</v>
      </c>
      <c r="L1121">
        <v>42715920</v>
      </c>
      <c r="M1121">
        <v>40372421</v>
      </c>
      <c r="N1121">
        <v>49466273</v>
      </c>
      <c r="O1121">
        <v>22960124</v>
      </c>
      <c r="P1121">
        <v>700</v>
      </c>
      <c r="Q1121" t="s">
        <v>2504</v>
      </c>
    </row>
    <row r="1122" spans="1:17" x14ac:dyDescent="0.3">
      <c r="A1122" t="s">
        <v>17</v>
      </c>
      <c r="B1122" t="str">
        <f>"688001"</f>
        <v>688001</v>
      </c>
      <c r="C1122" t="s">
        <v>2505</v>
      </c>
      <c r="D1122" t="s">
        <v>2280</v>
      </c>
      <c r="E1122">
        <v>1046989476</v>
      </c>
      <c r="F1122">
        <v>769035825</v>
      </c>
      <c r="G1122">
        <v>526749796</v>
      </c>
      <c r="H1122">
        <v>0</v>
      </c>
      <c r="P1122">
        <v>169</v>
      </c>
      <c r="Q1122" t="s">
        <v>2506</v>
      </c>
    </row>
    <row r="1123" spans="1:17" x14ac:dyDescent="0.3">
      <c r="A1123" t="s">
        <v>73</v>
      </c>
      <c r="B1123" t="str">
        <f>"002579"</f>
        <v>002579</v>
      </c>
      <c r="C1123" t="s">
        <v>2507</v>
      </c>
      <c r="D1123" t="s">
        <v>418</v>
      </c>
      <c r="E1123">
        <v>1044878220</v>
      </c>
      <c r="F1123">
        <v>828261042</v>
      </c>
      <c r="G1123">
        <v>337533749</v>
      </c>
      <c r="H1123">
        <v>625516093</v>
      </c>
      <c r="I1123">
        <v>282567859</v>
      </c>
      <c r="J1123">
        <v>235042260</v>
      </c>
      <c r="K1123">
        <v>171337872</v>
      </c>
      <c r="L1123">
        <v>116442683</v>
      </c>
      <c r="M1123">
        <v>97936578</v>
      </c>
      <c r="N1123">
        <v>74932786</v>
      </c>
      <c r="O1123">
        <v>98654641</v>
      </c>
      <c r="P1123">
        <v>279</v>
      </c>
      <c r="Q1123" t="s">
        <v>2508</v>
      </c>
    </row>
    <row r="1124" spans="1:17" x14ac:dyDescent="0.3">
      <c r="A1124" t="s">
        <v>17</v>
      </c>
      <c r="B1124" t="str">
        <f>"600855"</f>
        <v>600855</v>
      </c>
      <c r="C1124" t="s">
        <v>2509</v>
      </c>
      <c r="D1124" t="s">
        <v>158</v>
      </c>
      <c r="E1124">
        <v>1042641797</v>
      </c>
      <c r="F1124">
        <v>730367050</v>
      </c>
      <c r="G1124">
        <v>687163972</v>
      </c>
      <c r="H1124">
        <v>803378438</v>
      </c>
      <c r="I1124">
        <v>531692915</v>
      </c>
      <c r="J1124">
        <v>356403369</v>
      </c>
      <c r="K1124">
        <v>366555241</v>
      </c>
      <c r="L1124">
        <v>311319001</v>
      </c>
      <c r="M1124">
        <v>444460537</v>
      </c>
      <c r="N1124">
        <v>318901526</v>
      </c>
      <c r="O1124">
        <v>271505497</v>
      </c>
      <c r="P1124">
        <v>139</v>
      </c>
      <c r="Q1124" t="s">
        <v>2510</v>
      </c>
    </row>
    <row r="1125" spans="1:17" x14ac:dyDescent="0.3">
      <c r="A1125" t="s">
        <v>73</v>
      </c>
      <c r="B1125" t="str">
        <f>"002066"</f>
        <v>002066</v>
      </c>
      <c r="C1125" t="s">
        <v>2511</v>
      </c>
      <c r="D1125" t="s">
        <v>1412</v>
      </c>
      <c r="E1125">
        <v>1042510106</v>
      </c>
      <c r="F1125">
        <v>882202392</v>
      </c>
      <c r="G1125">
        <v>913157118</v>
      </c>
      <c r="H1125">
        <v>1262538996</v>
      </c>
      <c r="I1125">
        <v>1100431389</v>
      </c>
      <c r="J1125">
        <v>962645335</v>
      </c>
      <c r="K1125">
        <v>1166182389</v>
      </c>
      <c r="L1125">
        <v>1033102899</v>
      </c>
      <c r="M1125">
        <v>918484182</v>
      </c>
      <c r="N1125">
        <v>817173029</v>
      </c>
      <c r="O1125">
        <v>606985768</v>
      </c>
      <c r="P1125">
        <v>74</v>
      </c>
      <c r="Q1125" t="s">
        <v>2512</v>
      </c>
    </row>
    <row r="1126" spans="1:17" x14ac:dyDescent="0.3">
      <c r="A1126" t="s">
        <v>17</v>
      </c>
      <c r="B1126" t="str">
        <f>"603989"</f>
        <v>603989</v>
      </c>
      <c r="C1126" t="s">
        <v>2513</v>
      </c>
      <c r="D1126" t="s">
        <v>1944</v>
      </c>
      <c r="E1126">
        <v>1042366556</v>
      </c>
      <c r="F1126">
        <v>783930801</v>
      </c>
      <c r="G1126">
        <v>559620345</v>
      </c>
      <c r="H1126">
        <v>548373518</v>
      </c>
      <c r="I1126">
        <v>520810157</v>
      </c>
      <c r="J1126">
        <v>453944535</v>
      </c>
      <c r="K1126">
        <v>340174701</v>
      </c>
      <c r="L1126">
        <v>0</v>
      </c>
      <c r="P1126">
        <v>12177</v>
      </c>
      <c r="Q1126" t="s">
        <v>2514</v>
      </c>
    </row>
    <row r="1127" spans="1:17" x14ac:dyDescent="0.3">
      <c r="A1127" t="s">
        <v>17</v>
      </c>
      <c r="B1127" t="str">
        <f>"601003"</f>
        <v>601003</v>
      </c>
      <c r="C1127" t="s">
        <v>2515</v>
      </c>
      <c r="D1127" t="s">
        <v>221</v>
      </c>
      <c r="E1127">
        <v>1041272209</v>
      </c>
      <c r="F1127">
        <v>206661974</v>
      </c>
      <c r="G1127">
        <v>87723333</v>
      </c>
      <c r="H1127">
        <v>261397779</v>
      </c>
      <c r="I1127">
        <v>354040414</v>
      </c>
      <c r="J1127">
        <v>416052900</v>
      </c>
      <c r="K1127">
        <v>357953466</v>
      </c>
      <c r="L1127">
        <v>667115628</v>
      </c>
      <c r="M1127">
        <v>167088001</v>
      </c>
      <c r="N1127">
        <v>158064680</v>
      </c>
      <c r="O1127">
        <v>131737155</v>
      </c>
      <c r="P1127">
        <v>1021</v>
      </c>
      <c r="Q1127" t="s">
        <v>2516</v>
      </c>
    </row>
    <row r="1128" spans="1:17" x14ac:dyDescent="0.3">
      <c r="A1128" t="s">
        <v>73</v>
      </c>
      <c r="B1128" t="str">
        <f>"300231"</f>
        <v>300231</v>
      </c>
      <c r="C1128" t="s">
        <v>2517</v>
      </c>
      <c r="D1128" t="s">
        <v>302</v>
      </c>
      <c r="E1128">
        <v>1038466594</v>
      </c>
      <c r="F1128">
        <v>789368371</v>
      </c>
      <c r="G1128">
        <v>489412987</v>
      </c>
      <c r="H1128">
        <v>671951406</v>
      </c>
      <c r="I1128">
        <v>632923283</v>
      </c>
      <c r="J1128">
        <v>441100019</v>
      </c>
      <c r="K1128">
        <v>373690358</v>
      </c>
      <c r="L1128">
        <v>167847070</v>
      </c>
      <c r="M1128">
        <v>198130182</v>
      </c>
      <c r="N1128">
        <v>178942466</v>
      </c>
      <c r="O1128">
        <v>84671357</v>
      </c>
      <c r="P1128">
        <v>264</v>
      </c>
      <c r="Q1128" t="s">
        <v>2518</v>
      </c>
    </row>
    <row r="1129" spans="1:17" x14ac:dyDescent="0.3">
      <c r="A1129" t="s">
        <v>73</v>
      </c>
      <c r="B1129" t="str">
        <f>"002928"</f>
        <v>002928</v>
      </c>
      <c r="C1129" t="s">
        <v>2519</v>
      </c>
      <c r="D1129" t="s">
        <v>948</v>
      </c>
      <c r="E1129">
        <v>1036162645</v>
      </c>
      <c r="F1129">
        <v>1209849075</v>
      </c>
      <c r="G1129">
        <v>982312094</v>
      </c>
      <c r="H1129">
        <v>954615899</v>
      </c>
      <c r="I1129">
        <v>613889708</v>
      </c>
      <c r="P1129">
        <v>333</v>
      </c>
      <c r="Q1129" t="s">
        <v>2520</v>
      </c>
    </row>
    <row r="1130" spans="1:17" x14ac:dyDescent="0.3">
      <c r="A1130" t="s">
        <v>17</v>
      </c>
      <c r="B1130" t="str">
        <f>"600067"</f>
        <v>600067</v>
      </c>
      <c r="C1130" t="s">
        <v>2521</v>
      </c>
      <c r="D1130" t="s">
        <v>27</v>
      </c>
      <c r="E1130">
        <v>1035073998</v>
      </c>
      <c r="F1130">
        <v>921112386</v>
      </c>
      <c r="G1130">
        <v>592500355</v>
      </c>
      <c r="H1130">
        <v>661531186</v>
      </c>
      <c r="I1130">
        <v>670393433</v>
      </c>
      <c r="J1130">
        <v>636228995</v>
      </c>
      <c r="K1130">
        <v>591003982</v>
      </c>
      <c r="L1130">
        <v>665097597</v>
      </c>
      <c r="M1130">
        <v>823302288</v>
      </c>
      <c r="N1130">
        <v>838048662</v>
      </c>
      <c r="O1130">
        <v>646177371</v>
      </c>
      <c r="P1130">
        <v>222</v>
      </c>
      <c r="Q1130" t="s">
        <v>2522</v>
      </c>
    </row>
    <row r="1131" spans="1:17" x14ac:dyDescent="0.3">
      <c r="A1131" t="s">
        <v>73</v>
      </c>
      <c r="B1131" t="str">
        <f>"002614"</f>
        <v>002614</v>
      </c>
      <c r="C1131" t="s">
        <v>2523</v>
      </c>
      <c r="D1131" t="s">
        <v>2524</v>
      </c>
      <c r="E1131">
        <v>1034737117</v>
      </c>
      <c r="F1131">
        <v>1405640151</v>
      </c>
      <c r="G1131">
        <v>643191114</v>
      </c>
      <c r="H1131">
        <v>787628826</v>
      </c>
      <c r="I1131">
        <v>476086261</v>
      </c>
      <c r="J1131">
        <v>336660456</v>
      </c>
      <c r="K1131">
        <v>246930073</v>
      </c>
      <c r="L1131">
        <v>305070685</v>
      </c>
      <c r="M1131">
        <v>258583606</v>
      </c>
      <c r="N1131">
        <v>216066791</v>
      </c>
      <c r="O1131">
        <v>205445188</v>
      </c>
      <c r="P1131">
        <v>525</v>
      </c>
      <c r="Q1131" t="s">
        <v>2525</v>
      </c>
    </row>
    <row r="1132" spans="1:17" x14ac:dyDescent="0.3">
      <c r="A1132" t="s">
        <v>73</v>
      </c>
      <c r="B1132" t="str">
        <f>"301090"</f>
        <v>301090</v>
      </c>
      <c r="C1132" t="s">
        <v>2526</v>
      </c>
      <c r="D1132" t="s">
        <v>267</v>
      </c>
      <c r="E1132">
        <v>1034574916</v>
      </c>
      <c r="G1132">
        <v>669290640</v>
      </c>
      <c r="P1132">
        <v>18</v>
      </c>
      <c r="Q1132" t="s">
        <v>2527</v>
      </c>
    </row>
    <row r="1133" spans="1:17" x14ac:dyDescent="0.3">
      <c r="A1133" t="s">
        <v>17</v>
      </c>
      <c r="B1133" t="str">
        <f>"600363"</f>
        <v>600363</v>
      </c>
      <c r="C1133" t="s">
        <v>2528</v>
      </c>
      <c r="D1133" t="s">
        <v>737</v>
      </c>
      <c r="E1133">
        <v>1034440122</v>
      </c>
      <c r="F1133">
        <v>1065883392</v>
      </c>
      <c r="G1133">
        <v>1007520199</v>
      </c>
      <c r="H1133">
        <v>0</v>
      </c>
      <c r="I1133">
        <v>855286714</v>
      </c>
      <c r="J1133">
        <v>756195140</v>
      </c>
      <c r="K1133">
        <v>756545435</v>
      </c>
      <c r="L1133">
        <v>639855236</v>
      </c>
      <c r="M1133">
        <v>497420409</v>
      </c>
      <c r="N1133">
        <v>423669619</v>
      </c>
      <c r="O1133">
        <v>333191122</v>
      </c>
      <c r="P1133">
        <v>202</v>
      </c>
      <c r="Q1133" t="s">
        <v>2529</v>
      </c>
    </row>
    <row r="1134" spans="1:17" x14ac:dyDescent="0.3">
      <c r="A1134" t="s">
        <v>17</v>
      </c>
      <c r="B1134" t="str">
        <f>"600403"</f>
        <v>600403</v>
      </c>
      <c r="C1134" t="s">
        <v>2530</v>
      </c>
      <c r="D1134" t="s">
        <v>218</v>
      </c>
      <c r="E1134">
        <v>1034028183</v>
      </c>
      <c r="F1134">
        <v>987179890</v>
      </c>
      <c r="G1134">
        <v>1036558092</v>
      </c>
      <c r="H1134">
        <v>1169545869</v>
      </c>
      <c r="I1134">
        <v>1419053550</v>
      </c>
      <c r="J1134">
        <v>1184603342</v>
      </c>
      <c r="K1134">
        <v>1404062542</v>
      </c>
      <c r="L1134">
        <v>1874441758</v>
      </c>
      <c r="M1134">
        <v>1584746278</v>
      </c>
      <c r="N1134">
        <v>1267566642</v>
      </c>
      <c r="O1134">
        <v>537736863</v>
      </c>
      <c r="P1134">
        <v>221</v>
      </c>
      <c r="Q1134" t="s">
        <v>2531</v>
      </c>
    </row>
    <row r="1135" spans="1:17" x14ac:dyDescent="0.3">
      <c r="A1135" t="s">
        <v>73</v>
      </c>
      <c r="B1135" t="str">
        <f>"002572"</f>
        <v>002572</v>
      </c>
      <c r="C1135" t="s">
        <v>2532</v>
      </c>
      <c r="D1135" t="s">
        <v>2533</v>
      </c>
      <c r="E1135">
        <v>1030256913</v>
      </c>
      <c r="F1135">
        <v>822901205</v>
      </c>
      <c r="G1135">
        <v>584352829</v>
      </c>
      <c r="H1135">
        <v>462139674</v>
      </c>
      <c r="I1135">
        <v>290328357</v>
      </c>
      <c r="J1135">
        <v>118463254</v>
      </c>
      <c r="K1135">
        <v>78313608</v>
      </c>
      <c r="L1135">
        <v>55748101</v>
      </c>
      <c r="M1135">
        <v>33307650</v>
      </c>
      <c r="N1135">
        <v>44077272</v>
      </c>
      <c r="O1135">
        <v>20644291</v>
      </c>
      <c r="P1135">
        <v>9141</v>
      </c>
      <c r="Q1135" t="s">
        <v>2534</v>
      </c>
    </row>
    <row r="1136" spans="1:17" x14ac:dyDescent="0.3">
      <c r="A1136" t="s">
        <v>73</v>
      </c>
      <c r="B1136" t="str">
        <f>"002809"</f>
        <v>002809</v>
      </c>
      <c r="C1136" t="s">
        <v>2535</v>
      </c>
      <c r="D1136" t="s">
        <v>588</v>
      </c>
      <c r="E1136">
        <v>1029479445</v>
      </c>
      <c r="F1136">
        <v>848787866</v>
      </c>
      <c r="G1136">
        <v>613736300</v>
      </c>
      <c r="H1136">
        <v>510802912</v>
      </c>
      <c r="I1136">
        <v>376090423</v>
      </c>
      <c r="J1136">
        <v>292964192</v>
      </c>
      <c r="P1136">
        <v>99</v>
      </c>
      <c r="Q1136" t="s">
        <v>2536</v>
      </c>
    </row>
    <row r="1137" spans="1:17" x14ac:dyDescent="0.3">
      <c r="A1137" t="s">
        <v>73</v>
      </c>
      <c r="B1137" t="str">
        <f>"000690"</f>
        <v>000690</v>
      </c>
      <c r="C1137" t="s">
        <v>2537</v>
      </c>
      <c r="D1137" t="s">
        <v>71</v>
      </c>
      <c r="E1137">
        <v>1029461054</v>
      </c>
      <c r="F1137">
        <v>903662835</v>
      </c>
      <c r="G1137">
        <v>479389676</v>
      </c>
      <c r="H1137">
        <v>515739309</v>
      </c>
      <c r="I1137">
        <v>364078618</v>
      </c>
      <c r="J1137">
        <v>223727389</v>
      </c>
      <c r="K1137">
        <v>388714302</v>
      </c>
      <c r="L1137">
        <v>376988596</v>
      </c>
      <c r="M1137">
        <v>525488687</v>
      </c>
      <c r="N1137">
        <v>551976450</v>
      </c>
      <c r="O1137">
        <v>420085881</v>
      </c>
      <c r="P1137">
        <v>643</v>
      </c>
      <c r="Q1137" t="s">
        <v>2538</v>
      </c>
    </row>
    <row r="1138" spans="1:17" x14ac:dyDescent="0.3">
      <c r="A1138" t="s">
        <v>73</v>
      </c>
      <c r="B1138" t="str">
        <f>"002527"</f>
        <v>002527</v>
      </c>
      <c r="C1138" t="s">
        <v>2539</v>
      </c>
      <c r="D1138" t="s">
        <v>2121</v>
      </c>
      <c r="E1138">
        <v>1028833117</v>
      </c>
      <c r="F1138">
        <v>913224970</v>
      </c>
      <c r="G1138">
        <v>846407604</v>
      </c>
      <c r="H1138">
        <v>923846605</v>
      </c>
      <c r="I1138">
        <v>874253134</v>
      </c>
      <c r="J1138">
        <v>808158010</v>
      </c>
      <c r="K1138">
        <v>590061648</v>
      </c>
      <c r="L1138">
        <v>499182998</v>
      </c>
      <c r="M1138">
        <v>345693156</v>
      </c>
      <c r="N1138">
        <v>306988899</v>
      </c>
      <c r="O1138">
        <v>188520298</v>
      </c>
      <c r="P1138">
        <v>161</v>
      </c>
      <c r="Q1138" t="s">
        <v>2540</v>
      </c>
    </row>
    <row r="1139" spans="1:17" x14ac:dyDescent="0.3">
      <c r="A1139" t="s">
        <v>17</v>
      </c>
      <c r="B1139" t="str">
        <f>"600776"</f>
        <v>600776</v>
      </c>
      <c r="C1139" t="s">
        <v>2541</v>
      </c>
      <c r="D1139" t="s">
        <v>2542</v>
      </c>
      <c r="E1139">
        <v>1027664308</v>
      </c>
      <c r="F1139">
        <v>1048695048</v>
      </c>
      <c r="G1139">
        <v>1024878340</v>
      </c>
      <c r="H1139">
        <v>860702981</v>
      </c>
      <c r="I1139">
        <v>803655864</v>
      </c>
      <c r="J1139">
        <v>837401271</v>
      </c>
      <c r="K1139">
        <v>830992728</v>
      </c>
      <c r="L1139">
        <v>664103621</v>
      </c>
      <c r="M1139">
        <v>632790403</v>
      </c>
      <c r="N1139">
        <v>562038435</v>
      </c>
      <c r="O1139">
        <v>365795679</v>
      </c>
      <c r="P1139">
        <v>284</v>
      </c>
      <c r="Q1139" t="s">
        <v>2543</v>
      </c>
    </row>
    <row r="1140" spans="1:17" x14ac:dyDescent="0.3">
      <c r="A1140" t="s">
        <v>73</v>
      </c>
      <c r="B1140" t="str">
        <f>"300477"</f>
        <v>300477</v>
      </c>
      <c r="C1140" t="s">
        <v>2544</v>
      </c>
      <c r="D1140" t="s">
        <v>224</v>
      </c>
      <c r="E1140">
        <v>1027630237</v>
      </c>
      <c r="F1140">
        <v>778357826</v>
      </c>
      <c r="G1140">
        <v>1220533084</v>
      </c>
      <c r="H1140">
        <v>1259858833</v>
      </c>
      <c r="I1140">
        <v>1284489634</v>
      </c>
      <c r="J1140">
        <v>753058487</v>
      </c>
      <c r="K1140">
        <v>523313562</v>
      </c>
      <c r="L1140">
        <v>388918839</v>
      </c>
      <c r="M1140">
        <v>0</v>
      </c>
      <c r="P1140">
        <v>100</v>
      </c>
      <c r="Q1140" t="s">
        <v>2545</v>
      </c>
    </row>
    <row r="1141" spans="1:17" x14ac:dyDescent="0.3">
      <c r="A1141" t="s">
        <v>73</v>
      </c>
      <c r="B1141" t="str">
        <f>"300263"</f>
        <v>300263</v>
      </c>
      <c r="C1141" t="s">
        <v>2546</v>
      </c>
      <c r="D1141" t="s">
        <v>873</v>
      </c>
      <c r="E1141">
        <v>1026522031</v>
      </c>
      <c r="F1141">
        <v>987583078</v>
      </c>
      <c r="G1141">
        <v>1101067135</v>
      </c>
      <c r="H1141">
        <v>916194988</v>
      </c>
      <c r="I1141">
        <v>700350117</v>
      </c>
      <c r="J1141">
        <v>709844648</v>
      </c>
      <c r="K1141">
        <v>853587945</v>
      </c>
      <c r="L1141">
        <v>770695171</v>
      </c>
      <c r="M1141">
        <v>675717937</v>
      </c>
      <c r="N1141">
        <v>238169451</v>
      </c>
      <c r="O1141">
        <v>184217642</v>
      </c>
      <c r="P1141">
        <v>232</v>
      </c>
      <c r="Q1141" t="s">
        <v>2547</v>
      </c>
    </row>
    <row r="1142" spans="1:17" x14ac:dyDescent="0.3">
      <c r="A1142" t="s">
        <v>73</v>
      </c>
      <c r="B1142" t="str">
        <f>"300024"</f>
        <v>300024</v>
      </c>
      <c r="C1142" t="s">
        <v>2121</v>
      </c>
      <c r="D1142" t="s">
        <v>2121</v>
      </c>
      <c r="E1142">
        <v>1026261605</v>
      </c>
      <c r="F1142">
        <v>709593757</v>
      </c>
      <c r="G1142">
        <v>1228509721</v>
      </c>
      <c r="H1142">
        <v>1109536493</v>
      </c>
      <c r="I1142">
        <v>1156495587</v>
      </c>
      <c r="J1142">
        <v>943671234</v>
      </c>
      <c r="K1142">
        <v>768058218</v>
      </c>
      <c r="L1142">
        <v>561124722</v>
      </c>
      <c r="M1142">
        <v>441576325</v>
      </c>
      <c r="N1142">
        <v>369939747</v>
      </c>
      <c r="O1142">
        <v>266167734</v>
      </c>
      <c r="P1142">
        <v>547</v>
      </c>
      <c r="Q1142" t="s">
        <v>2548</v>
      </c>
    </row>
    <row r="1143" spans="1:17" x14ac:dyDescent="0.3">
      <c r="A1143" t="s">
        <v>17</v>
      </c>
      <c r="B1143" t="str">
        <f>"603208"</f>
        <v>603208</v>
      </c>
      <c r="C1143" t="s">
        <v>2549</v>
      </c>
      <c r="D1143" t="s">
        <v>2533</v>
      </c>
      <c r="E1143">
        <v>1025126988</v>
      </c>
      <c r="F1143">
        <v>429443297</v>
      </c>
      <c r="G1143">
        <v>388786341</v>
      </c>
      <c r="H1143">
        <v>294715710</v>
      </c>
      <c r="I1143">
        <v>169532320</v>
      </c>
      <c r="J1143">
        <v>132442819</v>
      </c>
      <c r="P1143">
        <v>493</v>
      </c>
      <c r="Q1143" t="s">
        <v>2550</v>
      </c>
    </row>
    <row r="1144" spans="1:17" x14ac:dyDescent="0.3">
      <c r="A1144" t="s">
        <v>73</v>
      </c>
      <c r="B1144" t="str">
        <f>"002672"</f>
        <v>002672</v>
      </c>
      <c r="C1144" t="s">
        <v>2551</v>
      </c>
      <c r="D1144" t="s">
        <v>623</v>
      </c>
      <c r="E1144">
        <v>1024845235</v>
      </c>
      <c r="F1144">
        <v>900098956</v>
      </c>
      <c r="G1144">
        <v>891228894</v>
      </c>
      <c r="H1144">
        <v>702445016</v>
      </c>
      <c r="I1144">
        <v>701588283</v>
      </c>
      <c r="J1144">
        <v>560840429</v>
      </c>
      <c r="K1144">
        <v>684541079</v>
      </c>
      <c r="L1144">
        <v>580919650</v>
      </c>
      <c r="M1144">
        <v>220058005</v>
      </c>
      <c r="N1144">
        <v>165686717</v>
      </c>
      <c r="O1144">
        <v>268451737</v>
      </c>
      <c r="P1144">
        <v>317</v>
      </c>
      <c r="Q1144" t="s">
        <v>2552</v>
      </c>
    </row>
    <row r="1145" spans="1:17" x14ac:dyDescent="0.3">
      <c r="A1145" t="s">
        <v>73</v>
      </c>
      <c r="B1145" t="str">
        <f>"002250"</f>
        <v>002250</v>
      </c>
      <c r="C1145" t="s">
        <v>2553</v>
      </c>
      <c r="D1145" t="s">
        <v>272</v>
      </c>
      <c r="E1145">
        <v>1024293552</v>
      </c>
      <c r="F1145">
        <v>915323678</v>
      </c>
      <c r="G1145">
        <v>551251910</v>
      </c>
      <c r="H1145">
        <v>1017451809</v>
      </c>
      <c r="I1145">
        <v>850505874</v>
      </c>
      <c r="J1145">
        <v>659027725</v>
      </c>
      <c r="K1145">
        <v>578504971</v>
      </c>
      <c r="L1145">
        <v>655132090</v>
      </c>
      <c r="M1145">
        <v>617383822</v>
      </c>
      <c r="N1145">
        <v>391886918</v>
      </c>
      <c r="O1145">
        <v>311718949</v>
      </c>
      <c r="P1145">
        <v>348</v>
      </c>
      <c r="Q1145" t="s">
        <v>2554</v>
      </c>
    </row>
    <row r="1146" spans="1:17" x14ac:dyDescent="0.3">
      <c r="A1146" t="s">
        <v>17</v>
      </c>
      <c r="B1146" t="str">
        <f>"688609"</f>
        <v>688609</v>
      </c>
      <c r="C1146" t="s">
        <v>2555</v>
      </c>
      <c r="D1146" t="s">
        <v>957</v>
      </c>
      <c r="E1146">
        <v>1023550249</v>
      </c>
      <c r="F1146">
        <v>1040947596</v>
      </c>
      <c r="P1146">
        <v>31</v>
      </c>
      <c r="Q1146" t="s">
        <v>2556</v>
      </c>
    </row>
    <row r="1147" spans="1:17" x14ac:dyDescent="0.3">
      <c r="A1147" t="s">
        <v>73</v>
      </c>
      <c r="B1147" t="str">
        <f>"300499"</f>
        <v>300499</v>
      </c>
      <c r="C1147" t="s">
        <v>2557</v>
      </c>
      <c r="D1147" t="s">
        <v>1451</v>
      </c>
      <c r="E1147">
        <v>1023316721</v>
      </c>
      <c r="F1147">
        <v>815707803</v>
      </c>
      <c r="G1147">
        <v>579003332</v>
      </c>
      <c r="H1147">
        <v>351171062</v>
      </c>
      <c r="I1147">
        <v>239620157</v>
      </c>
      <c r="J1147">
        <v>285781823</v>
      </c>
      <c r="K1147">
        <v>230134862</v>
      </c>
      <c r="L1147">
        <v>0</v>
      </c>
      <c r="P1147">
        <v>135</v>
      </c>
      <c r="Q1147" t="s">
        <v>2558</v>
      </c>
    </row>
    <row r="1148" spans="1:17" x14ac:dyDescent="0.3">
      <c r="A1148" t="s">
        <v>73</v>
      </c>
      <c r="B1148" t="str">
        <f>"002339"</f>
        <v>002339</v>
      </c>
      <c r="C1148" t="s">
        <v>2559</v>
      </c>
      <c r="D1148" t="s">
        <v>161</v>
      </c>
      <c r="E1148">
        <v>1022452168</v>
      </c>
      <c r="F1148">
        <v>963395719</v>
      </c>
      <c r="G1148">
        <v>1073664320</v>
      </c>
      <c r="H1148">
        <v>1120683785</v>
      </c>
      <c r="I1148">
        <v>1200687944</v>
      </c>
      <c r="J1148">
        <v>1038778592</v>
      </c>
      <c r="K1148">
        <v>954684567</v>
      </c>
      <c r="L1148">
        <v>667042397</v>
      </c>
      <c r="M1148">
        <v>533553707</v>
      </c>
      <c r="N1148">
        <v>509076482</v>
      </c>
      <c r="O1148">
        <v>315706697</v>
      </c>
      <c r="P1148">
        <v>120</v>
      </c>
      <c r="Q1148" t="s">
        <v>2560</v>
      </c>
    </row>
    <row r="1149" spans="1:17" x14ac:dyDescent="0.3">
      <c r="A1149" t="s">
        <v>73</v>
      </c>
      <c r="B1149" t="str">
        <f>"300933"</f>
        <v>300933</v>
      </c>
      <c r="C1149" t="s">
        <v>2561</v>
      </c>
      <c r="D1149" t="s">
        <v>515</v>
      </c>
      <c r="E1149">
        <v>1022103682</v>
      </c>
      <c r="F1149">
        <v>992401373</v>
      </c>
      <c r="P1149">
        <v>30</v>
      </c>
      <c r="Q1149" t="s">
        <v>2562</v>
      </c>
    </row>
    <row r="1150" spans="1:17" x14ac:dyDescent="0.3">
      <c r="A1150" t="s">
        <v>73</v>
      </c>
      <c r="B1150" t="str">
        <f>"300602"</f>
        <v>300602</v>
      </c>
      <c r="C1150" t="s">
        <v>2563</v>
      </c>
      <c r="D1150" t="s">
        <v>42</v>
      </c>
      <c r="E1150">
        <v>1020472038</v>
      </c>
      <c r="F1150">
        <v>839177501</v>
      </c>
      <c r="G1150">
        <v>852023051</v>
      </c>
      <c r="H1150">
        <v>504216449</v>
      </c>
      <c r="I1150">
        <v>347742968</v>
      </c>
      <c r="J1150">
        <v>319951466</v>
      </c>
      <c r="K1150">
        <v>0</v>
      </c>
      <c r="P1150">
        <v>597</v>
      </c>
      <c r="Q1150" t="s">
        <v>2564</v>
      </c>
    </row>
    <row r="1151" spans="1:17" x14ac:dyDescent="0.3">
      <c r="A1151" t="s">
        <v>73</v>
      </c>
      <c r="B1151" t="str">
        <f>"000046"</f>
        <v>000046</v>
      </c>
      <c r="C1151" t="s">
        <v>2565</v>
      </c>
      <c r="D1151" t="s">
        <v>27</v>
      </c>
      <c r="E1151">
        <v>1020379828</v>
      </c>
      <c r="F1151">
        <v>1501068278</v>
      </c>
      <c r="G1151">
        <v>914921839</v>
      </c>
      <c r="H1151">
        <v>1014251098</v>
      </c>
      <c r="I1151">
        <v>1819857157</v>
      </c>
      <c r="J1151">
        <v>1059154304</v>
      </c>
      <c r="K1151">
        <v>2178966409</v>
      </c>
      <c r="L1151">
        <v>1423987410</v>
      </c>
      <c r="M1151">
        <v>585756973</v>
      </c>
      <c r="N1151">
        <v>478630147</v>
      </c>
      <c r="O1151">
        <v>120987612</v>
      </c>
      <c r="P1151">
        <v>210</v>
      </c>
      <c r="Q1151" t="s">
        <v>2566</v>
      </c>
    </row>
    <row r="1152" spans="1:17" x14ac:dyDescent="0.3">
      <c r="A1152" t="s">
        <v>73</v>
      </c>
      <c r="B1152" t="str">
        <f>"300805"</f>
        <v>300805</v>
      </c>
      <c r="C1152" t="s">
        <v>2567</v>
      </c>
      <c r="D1152" t="s">
        <v>425</v>
      </c>
      <c r="E1152">
        <v>1019675481</v>
      </c>
      <c r="F1152">
        <v>1019612091</v>
      </c>
      <c r="G1152">
        <v>1092334328</v>
      </c>
      <c r="H1152">
        <v>0</v>
      </c>
      <c r="P1152">
        <v>71</v>
      </c>
      <c r="Q1152" t="s">
        <v>2568</v>
      </c>
    </row>
    <row r="1153" spans="1:17" x14ac:dyDescent="0.3">
      <c r="A1153" t="s">
        <v>73</v>
      </c>
      <c r="B1153" t="str">
        <f>"200530"</f>
        <v>200530</v>
      </c>
      <c r="C1153" t="s">
        <v>2569</v>
      </c>
      <c r="E1153">
        <v>1017433814.4400001</v>
      </c>
      <c r="F1153">
        <v>1023106300.743</v>
      </c>
      <c r="G1153">
        <v>1193566921.7319</v>
      </c>
      <c r="H1153">
        <v>1434501213.957</v>
      </c>
      <c r="I1153">
        <v>1293115593.1715</v>
      </c>
      <c r="J1153">
        <v>953298391.93400002</v>
      </c>
      <c r="K1153">
        <v>881691816.49100006</v>
      </c>
      <c r="L1153">
        <v>672868013.75</v>
      </c>
      <c r="M1153">
        <v>537328114.77639997</v>
      </c>
      <c r="N1153">
        <v>481630881.72719997</v>
      </c>
      <c r="O1153">
        <v>511434576.83700001</v>
      </c>
      <c r="P1153">
        <v>25</v>
      </c>
      <c r="Q1153" t="s">
        <v>2570</v>
      </c>
    </row>
    <row r="1154" spans="1:17" x14ac:dyDescent="0.3">
      <c r="A1154" t="s">
        <v>73</v>
      </c>
      <c r="B1154" t="str">
        <f>"000839"</f>
        <v>000839</v>
      </c>
      <c r="C1154" t="s">
        <v>2571</v>
      </c>
      <c r="D1154" t="s">
        <v>466</v>
      </c>
      <c r="E1154">
        <v>1016972837</v>
      </c>
      <c r="F1154">
        <v>995263817</v>
      </c>
      <c r="G1154">
        <v>848726558</v>
      </c>
      <c r="H1154">
        <v>785010389</v>
      </c>
      <c r="I1154">
        <v>1192265293</v>
      </c>
      <c r="J1154">
        <v>1045485918</v>
      </c>
      <c r="K1154">
        <v>870560218</v>
      </c>
      <c r="L1154">
        <v>551316637</v>
      </c>
      <c r="M1154">
        <v>996552348</v>
      </c>
      <c r="N1154">
        <v>827322595</v>
      </c>
      <c r="O1154">
        <v>730440655</v>
      </c>
      <c r="P1154">
        <v>219</v>
      </c>
      <c r="Q1154" t="s">
        <v>2572</v>
      </c>
    </row>
    <row r="1155" spans="1:17" x14ac:dyDescent="0.3">
      <c r="A1155" t="s">
        <v>17</v>
      </c>
      <c r="B1155" t="str">
        <f>"688739"</f>
        <v>688739</v>
      </c>
      <c r="C1155" t="s">
        <v>2573</v>
      </c>
      <c r="D1155" t="s">
        <v>182</v>
      </c>
      <c r="E1155">
        <v>1015389099</v>
      </c>
      <c r="G1155">
        <v>664663417</v>
      </c>
      <c r="P1155">
        <v>36</v>
      </c>
      <c r="Q1155" t="s">
        <v>2574</v>
      </c>
    </row>
    <row r="1156" spans="1:17" x14ac:dyDescent="0.3">
      <c r="A1156" t="s">
        <v>73</v>
      </c>
      <c r="B1156" t="str">
        <f>"002837"</f>
        <v>002837</v>
      </c>
      <c r="C1156" t="s">
        <v>2575</v>
      </c>
      <c r="D1156" t="s">
        <v>1451</v>
      </c>
      <c r="E1156">
        <v>1015125332</v>
      </c>
      <c r="F1156">
        <v>665383868</v>
      </c>
      <c r="G1156">
        <v>593523630</v>
      </c>
      <c r="H1156">
        <v>561688476</v>
      </c>
      <c r="I1156">
        <v>413665810</v>
      </c>
      <c r="J1156">
        <v>249954128</v>
      </c>
      <c r="P1156">
        <v>396</v>
      </c>
      <c r="Q1156" t="s">
        <v>2576</v>
      </c>
    </row>
    <row r="1157" spans="1:17" x14ac:dyDescent="0.3">
      <c r="A1157" t="s">
        <v>17</v>
      </c>
      <c r="B1157" t="str">
        <f>"603707"</f>
        <v>603707</v>
      </c>
      <c r="C1157" t="s">
        <v>2577</v>
      </c>
      <c r="D1157" t="s">
        <v>348</v>
      </c>
      <c r="E1157">
        <v>1012175045</v>
      </c>
      <c r="F1157">
        <v>818816057</v>
      </c>
      <c r="G1157">
        <v>453796616</v>
      </c>
      <c r="H1157">
        <v>307652721</v>
      </c>
      <c r="I1157">
        <v>214551105</v>
      </c>
      <c r="J1157">
        <v>0</v>
      </c>
      <c r="P1157">
        <v>771</v>
      </c>
      <c r="Q1157" t="s">
        <v>2578</v>
      </c>
    </row>
    <row r="1158" spans="1:17" x14ac:dyDescent="0.3">
      <c r="A1158" t="s">
        <v>17</v>
      </c>
      <c r="B1158" t="str">
        <f>"603993"</f>
        <v>603993</v>
      </c>
      <c r="C1158" t="s">
        <v>2579</v>
      </c>
      <c r="D1158" t="s">
        <v>2580</v>
      </c>
      <c r="E1158">
        <v>1012006695</v>
      </c>
      <c r="F1158">
        <v>901664103</v>
      </c>
      <c r="G1158">
        <v>783118584</v>
      </c>
      <c r="H1158">
        <v>1369753243</v>
      </c>
      <c r="I1158">
        <v>3033785500</v>
      </c>
      <c r="J1158">
        <v>1905673640</v>
      </c>
      <c r="K1158">
        <v>839506337</v>
      </c>
      <c r="L1158">
        <v>1110769302</v>
      </c>
      <c r="M1158">
        <v>825660931</v>
      </c>
      <c r="N1158">
        <v>797334747</v>
      </c>
      <c r="O1158">
        <v>0</v>
      </c>
      <c r="P1158">
        <v>1125</v>
      </c>
      <c r="Q1158" t="s">
        <v>2581</v>
      </c>
    </row>
    <row r="1159" spans="1:17" x14ac:dyDescent="0.3">
      <c r="A1159" t="s">
        <v>73</v>
      </c>
      <c r="B1159" t="str">
        <f>"002421"</f>
        <v>002421</v>
      </c>
      <c r="C1159" t="s">
        <v>2582</v>
      </c>
      <c r="D1159" t="s">
        <v>302</v>
      </c>
      <c r="E1159">
        <v>1009239341</v>
      </c>
      <c r="F1159">
        <v>1097217530</v>
      </c>
      <c r="G1159">
        <v>1088199661</v>
      </c>
      <c r="H1159">
        <v>2138677190</v>
      </c>
      <c r="I1159">
        <v>1718520742</v>
      </c>
      <c r="J1159">
        <v>1540282108</v>
      </c>
      <c r="K1159">
        <v>1306897571</v>
      </c>
      <c r="L1159">
        <v>710163722</v>
      </c>
      <c r="M1159">
        <v>490886535</v>
      </c>
      <c r="N1159">
        <v>363412107</v>
      </c>
      <c r="O1159">
        <v>195470573</v>
      </c>
      <c r="P1159">
        <v>199</v>
      </c>
      <c r="Q1159" t="s">
        <v>2583</v>
      </c>
    </row>
    <row r="1160" spans="1:17" x14ac:dyDescent="0.3">
      <c r="A1160" t="s">
        <v>17</v>
      </c>
      <c r="B1160" t="str">
        <f>"688285"</f>
        <v>688285</v>
      </c>
      <c r="C1160" t="s">
        <v>2584</v>
      </c>
      <c r="D1160" t="s">
        <v>47</v>
      </c>
      <c r="E1160">
        <v>1008637126</v>
      </c>
      <c r="P1160">
        <v>14</v>
      </c>
      <c r="Q1160" t="s">
        <v>2585</v>
      </c>
    </row>
    <row r="1161" spans="1:17" x14ac:dyDescent="0.3">
      <c r="A1161" t="s">
        <v>17</v>
      </c>
      <c r="B1161" t="str">
        <f>"603833"</f>
        <v>603833</v>
      </c>
      <c r="C1161" t="s">
        <v>2586</v>
      </c>
      <c r="D1161" t="s">
        <v>2533</v>
      </c>
      <c r="E1161">
        <v>1003264799</v>
      </c>
      <c r="F1161">
        <v>607160262</v>
      </c>
      <c r="G1161">
        <v>537102244</v>
      </c>
      <c r="H1161">
        <v>419621474</v>
      </c>
      <c r="I1161">
        <v>141785206</v>
      </c>
      <c r="J1161">
        <v>175745709</v>
      </c>
      <c r="P1161">
        <v>2566</v>
      </c>
      <c r="Q1161" t="s">
        <v>2587</v>
      </c>
    </row>
    <row r="1162" spans="1:17" x14ac:dyDescent="0.3">
      <c r="A1162" t="s">
        <v>73</v>
      </c>
      <c r="B1162" t="str">
        <f>"002268"</f>
        <v>002268</v>
      </c>
      <c r="C1162" t="s">
        <v>2588</v>
      </c>
      <c r="D1162" t="s">
        <v>158</v>
      </c>
      <c r="E1162">
        <v>1002793657</v>
      </c>
      <c r="F1162">
        <v>1207165821</v>
      </c>
      <c r="G1162">
        <v>1454984824</v>
      </c>
      <c r="H1162">
        <v>1679529488</v>
      </c>
      <c r="I1162">
        <v>1586830607</v>
      </c>
      <c r="J1162">
        <v>1041057056</v>
      </c>
      <c r="K1162">
        <v>907120296</v>
      </c>
      <c r="L1162">
        <v>538402079</v>
      </c>
      <c r="M1162">
        <v>249875098</v>
      </c>
      <c r="N1162">
        <v>197009173</v>
      </c>
      <c r="O1162">
        <v>194082078</v>
      </c>
      <c r="P1162">
        <v>525</v>
      </c>
      <c r="Q1162" t="s">
        <v>2589</v>
      </c>
    </row>
    <row r="1163" spans="1:17" x14ac:dyDescent="0.3">
      <c r="A1163" t="s">
        <v>73</v>
      </c>
      <c r="B1163" t="str">
        <f>"000636"</f>
        <v>000636</v>
      </c>
      <c r="C1163" t="s">
        <v>2590</v>
      </c>
      <c r="D1163" t="s">
        <v>1944</v>
      </c>
      <c r="E1163">
        <v>1001191666</v>
      </c>
      <c r="F1163">
        <v>935912069</v>
      </c>
      <c r="G1163">
        <v>543379419</v>
      </c>
      <c r="H1163">
        <v>671560540</v>
      </c>
      <c r="I1163">
        <v>792820973</v>
      </c>
      <c r="J1163">
        <v>761452406</v>
      </c>
      <c r="K1163">
        <v>634410449</v>
      </c>
      <c r="L1163">
        <v>402064249</v>
      </c>
      <c r="M1163">
        <v>443384565</v>
      </c>
      <c r="N1163">
        <v>303791594</v>
      </c>
      <c r="O1163">
        <v>289113004</v>
      </c>
      <c r="P1163">
        <v>896</v>
      </c>
      <c r="Q1163" t="s">
        <v>2591</v>
      </c>
    </row>
    <row r="1164" spans="1:17" x14ac:dyDescent="0.3">
      <c r="A1164" t="s">
        <v>17</v>
      </c>
      <c r="B1164" t="str">
        <f>"603100"</f>
        <v>603100</v>
      </c>
      <c r="C1164" t="s">
        <v>2592</v>
      </c>
      <c r="D1164" t="s">
        <v>2280</v>
      </c>
      <c r="E1164">
        <v>999912170</v>
      </c>
      <c r="F1164">
        <v>1250433137</v>
      </c>
      <c r="G1164">
        <v>1475920171</v>
      </c>
      <c r="H1164">
        <v>1800348683</v>
      </c>
      <c r="I1164">
        <v>1928121136</v>
      </c>
      <c r="J1164">
        <v>1549450145</v>
      </c>
      <c r="K1164">
        <v>1590839664</v>
      </c>
      <c r="L1164">
        <v>1507573796</v>
      </c>
      <c r="M1164">
        <v>1412922488</v>
      </c>
      <c r="N1164">
        <v>0</v>
      </c>
      <c r="P1164">
        <v>194</v>
      </c>
      <c r="Q1164" t="s">
        <v>2593</v>
      </c>
    </row>
    <row r="1165" spans="1:17" x14ac:dyDescent="0.3">
      <c r="A1165" t="s">
        <v>73</v>
      </c>
      <c r="B1165" t="str">
        <f>"300726"</f>
        <v>300726</v>
      </c>
      <c r="C1165" t="s">
        <v>2594</v>
      </c>
      <c r="D1165" t="s">
        <v>502</v>
      </c>
      <c r="E1165">
        <v>999272480</v>
      </c>
      <c r="F1165">
        <v>791631235</v>
      </c>
      <c r="G1165">
        <v>582018495</v>
      </c>
      <c r="H1165">
        <v>540144408</v>
      </c>
      <c r="I1165">
        <v>452887739</v>
      </c>
      <c r="J1165">
        <v>0</v>
      </c>
      <c r="P1165">
        <v>748</v>
      </c>
      <c r="Q1165" t="s">
        <v>2595</v>
      </c>
    </row>
    <row r="1166" spans="1:17" x14ac:dyDescent="0.3">
      <c r="A1166" t="s">
        <v>17</v>
      </c>
      <c r="B1166" t="str">
        <f>"603002"</f>
        <v>603002</v>
      </c>
      <c r="C1166" t="s">
        <v>2596</v>
      </c>
      <c r="D1166" t="s">
        <v>2178</v>
      </c>
      <c r="E1166">
        <v>998979085</v>
      </c>
      <c r="F1166">
        <v>955764324</v>
      </c>
      <c r="G1166">
        <v>352970917</v>
      </c>
      <c r="H1166">
        <v>361258415</v>
      </c>
      <c r="I1166">
        <v>419365727</v>
      </c>
      <c r="J1166">
        <v>281600882</v>
      </c>
      <c r="K1166">
        <v>284231807</v>
      </c>
      <c r="L1166">
        <v>291775814</v>
      </c>
      <c r="M1166">
        <v>302495801</v>
      </c>
      <c r="N1166">
        <v>309697171</v>
      </c>
      <c r="O1166">
        <v>0</v>
      </c>
      <c r="P1166">
        <v>117</v>
      </c>
      <c r="Q1166" t="s">
        <v>2597</v>
      </c>
    </row>
    <row r="1167" spans="1:17" x14ac:dyDescent="0.3">
      <c r="A1167" t="s">
        <v>73</v>
      </c>
      <c r="B1167" t="str">
        <f>"300398"</f>
        <v>300398</v>
      </c>
      <c r="C1167" t="s">
        <v>2598</v>
      </c>
      <c r="D1167" t="s">
        <v>2178</v>
      </c>
      <c r="E1167">
        <v>998197486</v>
      </c>
      <c r="F1167">
        <v>654492686</v>
      </c>
      <c r="G1167">
        <v>461267386</v>
      </c>
      <c r="H1167">
        <v>478332517</v>
      </c>
      <c r="I1167">
        <v>422405834</v>
      </c>
      <c r="J1167">
        <v>185651459</v>
      </c>
      <c r="K1167">
        <v>148516769</v>
      </c>
      <c r="L1167">
        <v>120733774</v>
      </c>
      <c r="M1167">
        <v>0</v>
      </c>
      <c r="P1167">
        <v>244</v>
      </c>
      <c r="Q1167" t="s">
        <v>2599</v>
      </c>
    </row>
    <row r="1168" spans="1:17" x14ac:dyDescent="0.3">
      <c r="A1168" t="s">
        <v>17</v>
      </c>
      <c r="B1168" t="str">
        <f>"603001"</f>
        <v>603001</v>
      </c>
      <c r="C1168" t="s">
        <v>2600</v>
      </c>
      <c r="D1168" t="s">
        <v>2601</v>
      </c>
      <c r="E1168">
        <v>998062863</v>
      </c>
      <c r="F1168">
        <v>1150302074</v>
      </c>
      <c r="G1168">
        <v>1110100272</v>
      </c>
      <c r="H1168">
        <v>1177313708</v>
      </c>
      <c r="I1168">
        <v>1062675938</v>
      </c>
      <c r="J1168">
        <v>815426673</v>
      </c>
      <c r="K1168">
        <v>788348467</v>
      </c>
      <c r="L1168">
        <v>1065356955</v>
      </c>
      <c r="M1168">
        <v>1027648604</v>
      </c>
      <c r="N1168">
        <v>1384885127</v>
      </c>
      <c r="O1168">
        <v>893699426</v>
      </c>
      <c r="P1168">
        <v>148</v>
      </c>
      <c r="Q1168" t="s">
        <v>2602</v>
      </c>
    </row>
    <row r="1169" spans="1:17" x14ac:dyDescent="0.3">
      <c r="A1169" t="s">
        <v>73</v>
      </c>
      <c r="B1169" t="str">
        <f>"002654"</f>
        <v>002654</v>
      </c>
      <c r="C1169" t="s">
        <v>2603</v>
      </c>
      <c r="D1169" t="s">
        <v>737</v>
      </c>
      <c r="E1169">
        <v>997777751</v>
      </c>
      <c r="F1169">
        <v>1198540619</v>
      </c>
      <c r="G1169">
        <v>1047626996</v>
      </c>
      <c r="H1169">
        <v>1377602529</v>
      </c>
      <c r="I1169">
        <v>1537783271</v>
      </c>
      <c r="J1169">
        <v>618321336</v>
      </c>
      <c r="K1169">
        <v>426009148</v>
      </c>
      <c r="L1169">
        <v>163367369</v>
      </c>
      <c r="M1169">
        <v>104534609</v>
      </c>
      <c r="N1169">
        <v>104763011</v>
      </c>
      <c r="O1169">
        <v>121569660</v>
      </c>
      <c r="P1169">
        <v>124</v>
      </c>
      <c r="Q1169" t="s">
        <v>2604</v>
      </c>
    </row>
    <row r="1170" spans="1:17" x14ac:dyDescent="0.3">
      <c r="A1170" t="s">
        <v>17</v>
      </c>
      <c r="B1170" t="str">
        <f>"603308"</f>
        <v>603308</v>
      </c>
      <c r="C1170" t="s">
        <v>2605</v>
      </c>
      <c r="D1170" t="s">
        <v>146</v>
      </c>
      <c r="E1170">
        <v>997189447</v>
      </c>
      <c r="F1170">
        <v>826954983</v>
      </c>
      <c r="G1170">
        <v>633224602</v>
      </c>
      <c r="H1170">
        <v>727521592</v>
      </c>
      <c r="I1170">
        <v>662679105</v>
      </c>
      <c r="J1170">
        <v>717920561</v>
      </c>
      <c r="K1170">
        <v>521689676</v>
      </c>
      <c r="L1170">
        <v>415225054</v>
      </c>
      <c r="M1170">
        <v>430441333</v>
      </c>
      <c r="N1170">
        <v>0</v>
      </c>
      <c r="P1170">
        <v>233</v>
      </c>
      <c r="Q1170" t="s">
        <v>2606</v>
      </c>
    </row>
    <row r="1171" spans="1:17" x14ac:dyDescent="0.3">
      <c r="A1171" t="s">
        <v>73</v>
      </c>
      <c r="B1171" t="str">
        <f>"300012"</f>
        <v>300012</v>
      </c>
      <c r="C1171" t="s">
        <v>2607</v>
      </c>
      <c r="D1171" t="s">
        <v>2608</v>
      </c>
      <c r="E1171">
        <v>996707218</v>
      </c>
      <c r="F1171">
        <v>757134654</v>
      </c>
      <c r="G1171">
        <v>534342782</v>
      </c>
      <c r="H1171">
        <v>574733516</v>
      </c>
      <c r="I1171">
        <v>471776355</v>
      </c>
      <c r="J1171">
        <v>337758068</v>
      </c>
      <c r="K1171">
        <v>266552291</v>
      </c>
      <c r="L1171">
        <v>206838155</v>
      </c>
      <c r="M1171">
        <v>67681549</v>
      </c>
      <c r="N1171">
        <v>50262942</v>
      </c>
      <c r="O1171">
        <v>27637720</v>
      </c>
      <c r="P1171">
        <v>1300</v>
      </c>
      <c r="Q1171" t="s">
        <v>2609</v>
      </c>
    </row>
    <row r="1172" spans="1:17" x14ac:dyDescent="0.3">
      <c r="A1172" t="s">
        <v>73</v>
      </c>
      <c r="B1172" t="str">
        <f>"300100"</f>
        <v>300100</v>
      </c>
      <c r="C1172" t="s">
        <v>2610</v>
      </c>
      <c r="D1172" t="s">
        <v>106</v>
      </c>
      <c r="E1172">
        <v>995360133</v>
      </c>
      <c r="F1172">
        <v>854691732</v>
      </c>
      <c r="G1172">
        <v>656142064</v>
      </c>
      <c r="H1172">
        <v>794977132</v>
      </c>
      <c r="I1172">
        <v>1030324348</v>
      </c>
      <c r="J1172">
        <v>1018783877</v>
      </c>
      <c r="K1172">
        <v>573435225</v>
      </c>
      <c r="L1172">
        <v>566135830</v>
      </c>
      <c r="M1172">
        <v>322869823</v>
      </c>
      <c r="N1172">
        <v>263967365</v>
      </c>
      <c r="O1172">
        <v>224751837</v>
      </c>
      <c r="P1172">
        <v>129</v>
      </c>
      <c r="Q1172" t="s">
        <v>2611</v>
      </c>
    </row>
    <row r="1173" spans="1:17" x14ac:dyDescent="0.3">
      <c r="A1173" t="s">
        <v>17</v>
      </c>
      <c r="B1173" t="str">
        <f>"688055"</f>
        <v>688055</v>
      </c>
      <c r="C1173" t="s">
        <v>2612</v>
      </c>
      <c r="D1173" t="s">
        <v>97</v>
      </c>
      <c r="E1173">
        <v>992261741</v>
      </c>
      <c r="F1173">
        <v>1078490547</v>
      </c>
      <c r="G1173">
        <v>563158733</v>
      </c>
      <c r="P1173">
        <v>76</v>
      </c>
      <c r="Q1173" t="s">
        <v>2613</v>
      </c>
    </row>
    <row r="1174" spans="1:17" x14ac:dyDescent="0.3">
      <c r="A1174" t="s">
        <v>17</v>
      </c>
      <c r="B1174" t="str">
        <f>"688121"</f>
        <v>688121</v>
      </c>
      <c r="C1174" t="s">
        <v>2614</v>
      </c>
      <c r="D1174" t="s">
        <v>311</v>
      </c>
      <c r="E1174">
        <v>992007811</v>
      </c>
      <c r="P1174">
        <v>24</v>
      </c>
      <c r="Q1174" t="s">
        <v>2615</v>
      </c>
    </row>
    <row r="1175" spans="1:17" x14ac:dyDescent="0.3">
      <c r="A1175" t="s">
        <v>17</v>
      </c>
      <c r="B1175" t="str">
        <f>"600461"</f>
        <v>600461</v>
      </c>
      <c r="C1175" t="s">
        <v>2616</v>
      </c>
      <c r="D1175" t="s">
        <v>308</v>
      </c>
      <c r="E1175">
        <v>991090524</v>
      </c>
      <c r="F1175">
        <v>678439279</v>
      </c>
      <c r="G1175">
        <v>488836779</v>
      </c>
      <c r="H1175">
        <v>774988051</v>
      </c>
      <c r="I1175">
        <v>563553427</v>
      </c>
      <c r="J1175">
        <v>634448094</v>
      </c>
      <c r="K1175">
        <v>408939229</v>
      </c>
      <c r="L1175">
        <v>279752530</v>
      </c>
      <c r="M1175">
        <v>236747059</v>
      </c>
      <c r="N1175">
        <v>184873415</v>
      </c>
      <c r="O1175">
        <v>144260924</v>
      </c>
      <c r="P1175">
        <v>366</v>
      </c>
      <c r="Q1175" t="s">
        <v>2617</v>
      </c>
    </row>
    <row r="1176" spans="1:17" x14ac:dyDescent="0.3">
      <c r="A1176" t="s">
        <v>17</v>
      </c>
      <c r="B1176" t="str">
        <f>"603357"</f>
        <v>603357</v>
      </c>
      <c r="C1176" t="s">
        <v>2618</v>
      </c>
      <c r="D1176" t="s">
        <v>661</v>
      </c>
      <c r="E1176">
        <v>989741034</v>
      </c>
      <c r="F1176">
        <v>740977755</v>
      </c>
      <c r="G1176">
        <v>559652608</v>
      </c>
      <c r="H1176">
        <v>1529406005</v>
      </c>
      <c r="I1176">
        <v>1340870939</v>
      </c>
      <c r="J1176">
        <v>888813337</v>
      </c>
      <c r="P1176">
        <v>361</v>
      </c>
      <c r="Q1176" t="s">
        <v>2619</v>
      </c>
    </row>
    <row r="1177" spans="1:17" x14ac:dyDescent="0.3">
      <c r="A1177" t="s">
        <v>17</v>
      </c>
      <c r="B1177" t="str">
        <f>"603658"</f>
        <v>603658</v>
      </c>
      <c r="C1177" t="s">
        <v>2620</v>
      </c>
      <c r="D1177" t="s">
        <v>773</v>
      </c>
      <c r="E1177">
        <v>989302836</v>
      </c>
      <c r="F1177">
        <v>900698165</v>
      </c>
      <c r="G1177">
        <v>646375022</v>
      </c>
      <c r="H1177">
        <v>358782845</v>
      </c>
      <c r="I1177">
        <v>220591080</v>
      </c>
      <c r="J1177">
        <v>131852515</v>
      </c>
      <c r="P1177">
        <v>2606</v>
      </c>
      <c r="Q1177" t="s">
        <v>2621</v>
      </c>
    </row>
    <row r="1178" spans="1:17" x14ac:dyDescent="0.3">
      <c r="A1178" t="s">
        <v>17</v>
      </c>
      <c r="B1178" t="str">
        <f>"601777"</f>
        <v>601777</v>
      </c>
      <c r="C1178" t="s">
        <v>2622</v>
      </c>
      <c r="D1178" t="s">
        <v>1324</v>
      </c>
      <c r="E1178">
        <v>986595064</v>
      </c>
      <c r="F1178">
        <v>651503833</v>
      </c>
      <c r="G1178">
        <v>1479155508</v>
      </c>
      <c r="H1178">
        <v>2547176708</v>
      </c>
      <c r="I1178">
        <v>2971004425</v>
      </c>
      <c r="J1178">
        <v>2642444824</v>
      </c>
      <c r="K1178">
        <v>2973677209</v>
      </c>
      <c r="L1178">
        <v>2729754450</v>
      </c>
      <c r="M1178">
        <v>1762205541</v>
      </c>
      <c r="N1178">
        <v>1613100246</v>
      </c>
      <c r="O1178">
        <v>1626439131</v>
      </c>
      <c r="P1178">
        <v>154</v>
      </c>
      <c r="Q1178" t="s">
        <v>2623</v>
      </c>
    </row>
    <row r="1179" spans="1:17" x14ac:dyDescent="0.3">
      <c r="A1179" t="s">
        <v>73</v>
      </c>
      <c r="B1179" t="str">
        <f>"000981"</f>
        <v>000981</v>
      </c>
      <c r="C1179" t="s">
        <v>2624</v>
      </c>
      <c r="D1179" t="s">
        <v>27</v>
      </c>
      <c r="E1179">
        <v>984938346</v>
      </c>
      <c r="F1179">
        <v>728220552</v>
      </c>
      <c r="G1179">
        <v>505967348</v>
      </c>
      <c r="H1179">
        <v>1182308591</v>
      </c>
      <c r="I1179">
        <v>1817008885</v>
      </c>
      <c r="J1179">
        <v>663628513</v>
      </c>
      <c r="K1179">
        <v>373948599</v>
      </c>
      <c r="L1179">
        <v>315441362</v>
      </c>
      <c r="M1179">
        <v>42529693</v>
      </c>
      <c r="N1179">
        <v>35481125</v>
      </c>
      <c r="O1179">
        <v>49702535</v>
      </c>
      <c r="P1179">
        <v>118</v>
      </c>
      <c r="Q1179" t="s">
        <v>2625</v>
      </c>
    </row>
    <row r="1180" spans="1:17" x14ac:dyDescent="0.3">
      <c r="A1180" t="s">
        <v>17</v>
      </c>
      <c r="B1180" t="str">
        <f>"600410"</f>
        <v>600410</v>
      </c>
      <c r="C1180" t="s">
        <v>2626</v>
      </c>
      <c r="D1180" t="s">
        <v>302</v>
      </c>
      <c r="E1180">
        <v>984158978</v>
      </c>
      <c r="F1180">
        <v>870071195</v>
      </c>
      <c r="G1180">
        <v>1656249396</v>
      </c>
      <c r="H1180">
        <v>1818237907</v>
      </c>
      <c r="I1180">
        <v>2355771855</v>
      </c>
      <c r="J1180">
        <v>2134679562</v>
      </c>
      <c r="K1180">
        <v>1773250396</v>
      </c>
      <c r="L1180">
        <v>1508693425</v>
      </c>
      <c r="M1180">
        <v>1686118615</v>
      </c>
      <c r="N1180">
        <v>1658984051</v>
      </c>
      <c r="O1180">
        <v>1417117628</v>
      </c>
      <c r="P1180">
        <v>514</v>
      </c>
      <c r="Q1180" t="s">
        <v>2627</v>
      </c>
    </row>
    <row r="1181" spans="1:17" x14ac:dyDescent="0.3">
      <c r="A1181" t="s">
        <v>73</v>
      </c>
      <c r="B1181" t="str">
        <f>"300552"</f>
        <v>300552</v>
      </c>
      <c r="C1181" t="s">
        <v>2628</v>
      </c>
      <c r="D1181" t="s">
        <v>158</v>
      </c>
      <c r="E1181">
        <v>983597060</v>
      </c>
      <c r="F1181">
        <v>1116168634</v>
      </c>
      <c r="G1181">
        <v>1112109954</v>
      </c>
      <c r="H1181">
        <v>529702972</v>
      </c>
      <c r="I1181">
        <v>451318747</v>
      </c>
      <c r="J1181">
        <v>326391261</v>
      </c>
      <c r="K1181">
        <v>0</v>
      </c>
      <c r="P1181">
        <v>327</v>
      </c>
      <c r="Q1181" t="s">
        <v>2629</v>
      </c>
    </row>
    <row r="1182" spans="1:17" x14ac:dyDescent="0.3">
      <c r="A1182" t="s">
        <v>73</v>
      </c>
      <c r="B1182" t="str">
        <f>"002046"</f>
        <v>002046</v>
      </c>
      <c r="C1182" t="s">
        <v>2630</v>
      </c>
      <c r="D1182" t="s">
        <v>146</v>
      </c>
      <c r="E1182">
        <v>983221436</v>
      </c>
      <c r="F1182">
        <v>676537806</v>
      </c>
      <c r="G1182">
        <v>576821086</v>
      </c>
      <c r="H1182">
        <v>489969348</v>
      </c>
      <c r="I1182">
        <v>467603953</v>
      </c>
      <c r="J1182">
        <v>180216478</v>
      </c>
      <c r="K1182">
        <v>178767033</v>
      </c>
      <c r="L1182">
        <v>185365710</v>
      </c>
      <c r="M1182">
        <v>197786652</v>
      </c>
      <c r="N1182">
        <v>251489290</v>
      </c>
      <c r="O1182">
        <v>217737967</v>
      </c>
      <c r="P1182">
        <v>148</v>
      </c>
      <c r="Q1182" t="s">
        <v>2631</v>
      </c>
    </row>
    <row r="1183" spans="1:17" x14ac:dyDescent="0.3">
      <c r="A1183" t="s">
        <v>73</v>
      </c>
      <c r="B1183" t="str">
        <f>"300078"</f>
        <v>300078</v>
      </c>
      <c r="C1183" t="s">
        <v>2632</v>
      </c>
      <c r="D1183" t="s">
        <v>302</v>
      </c>
      <c r="E1183">
        <v>982783520</v>
      </c>
      <c r="F1183">
        <v>1115298695</v>
      </c>
      <c r="G1183">
        <v>1147956017</v>
      </c>
      <c r="H1183">
        <v>814356306</v>
      </c>
      <c r="I1183">
        <v>630126154</v>
      </c>
      <c r="J1183">
        <v>533566708</v>
      </c>
      <c r="K1183">
        <v>446303108</v>
      </c>
      <c r="L1183">
        <v>111147403</v>
      </c>
      <c r="M1183">
        <v>69042876</v>
      </c>
      <c r="N1183">
        <v>55529898</v>
      </c>
      <c r="O1183">
        <v>36280535</v>
      </c>
      <c r="P1183">
        <v>296</v>
      </c>
      <c r="Q1183" t="s">
        <v>2633</v>
      </c>
    </row>
    <row r="1184" spans="1:17" x14ac:dyDescent="0.3">
      <c r="A1184" t="s">
        <v>73</v>
      </c>
      <c r="B1184" t="str">
        <f>"002145"</f>
        <v>002145</v>
      </c>
      <c r="C1184" t="s">
        <v>2634</v>
      </c>
      <c r="D1184" t="s">
        <v>1162</v>
      </c>
      <c r="E1184">
        <v>982760435</v>
      </c>
      <c r="F1184">
        <v>704078248</v>
      </c>
      <c r="G1184">
        <v>569585641</v>
      </c>
      <c r="H1184">
        <v>451074306</v>
      </c>
      <c r="I1184">
        <v>416296910</v>
      </c>
      <c r="J1184">
        <v>386091020</v>
      </c>
      <c r="K1184">
        <v>348540280</v>
      </c>
      <c r="L1184">
        <v>306492815</v>
      </c>
      <c r="M1184">
        <v>229497272</v>
      </c>
      <c r="N1184">
        <v>124917407</v>
      </c>
      <c r="O1184">
        <v>26385914</v>
      </c>
      <c r="P1184">
        <v>284</v>
      </c>
      <c r="Q1184" t="s">
        <v>2635</v>
      </c>
    </row>
    <row r="1185" spans="1:17" x14ac:dyDescent="0.3">
      <c r="A1185" t="s">
        <v>17</v>
      </c>
      <c r="B1185" t="str">
        <f>"601127"</f>
        <v>601127</v>
      </c>
      <c r="C1185" t="s">
        <v>2636</v>
      </c>
      <c r="D1185" t="s">
        <v>58</v>
      </c>
      <c r="E1185">
        <v>979314254</v>
      </c>
      <c r="F1185">
        <v>399747096</v>
      </c>
      <c r="G1185">
        <v>1227845820</v>
      </c>
      <c r="H1185">
        <v>1536674983</v>
      </c>
      <c r="I1185">
        <v>906031430</v>
      </c>
      <c r="J1185">
        <v>373251204</v>
      </c>
      <c r="K1185">
        <v>0</v>
      </c>
      <c r="L1185">
        <v>0</v>
      </c>
      <c r="P1185">
        <v>476</v>
      </c>
      <c r="Q1185" t="s">
        <v>2637</v>
      </c>
    </row>
    <row r="1186" spans="1:17" x14ac:dyDescent="0.3">
      <c r="A1186" t="s">
        <v>73</v>
      </c>
      <c r="B1186" t="str">
        <f>"000868"</f>
        <v>000868</v>
      </c>
      <c r="C1186" t="s">
        <v>2638</v>
      </c>
      <c r="D1186" t="s">
        <v>545</v>
      </c>
      <c r="E1186">
        <v>978545311</v>
      </c>
      <c r="F1186">
        <v>1050043995</v>
      </c>
      <c r="G1186">
        <v>1133256017</v>
      </c>
      <c r="H1186">
        <v>1695818539</v>
      </c>
      <c r="I1186">
        <v>2163217568</v>
      </c>
      <c r="J1186">
        <v>2247151826</v>
      </c>
      <c r="K1186">
        <v>1923791863</v>
      </c>
      <c r="L1186">
        <v>1335364060</v>
      </c>
      <c r="M1186">
        <v>1229195774</v>
      </c>
      <c r="N1186">
        <v>831696960</v>
      </c>
      <c r="O1186">
        <v>791160765</v>
      </c>
      <c r="P1186">
        <v>171</v>
      </c>
      <c r="Q1186" t="s">
        <v>2639</v>
      </c>
    </row>
    <row r="1187" spans="1:17" x14ac:dyDescent="0.3">
      <c r="A1187" t="s">
        <v>73</v>
      </c>
      <c r="B1187" t="str">
        <f>"200570"</f>
        <v>200570</v>
      </c>
      <c r="C1187" t="s">
        <v>2640</v>
      </c>
      <c r="E1187">
        <v>978534518.82000005</v>
      </c>
      <c r="F1187">
        <v>922124290.44200003</v>
      </c>
      <c r="G1187">
        <v>699584635.42289996</v>
      </c>
      <c r="H1187">
        <v>750732321.58650005</v>
      </c>
      <c r="I1187">
        <v>841094143.13600004</v>
      </c>
      <c r="J1187">
        <v>750801643.65999997</v>
      </c>
      <c r="K1187">
        <v>774462054.62549996</v>
      </c>
      <c r="L1187">
        <v>710500958.75</v>
      </c>
      <c r="M1187">
        <v>638793005.76279998</v>
      </c>
      <c r="N1187">
        <v>682739101.76279998</v>
      </c>
      <c r="O1187">
        <v>592596160.67700005</v>
      </c>
      <c r="P1187">
        <v>10</v>
      </c>
      <c r="Q1187" t="s">
        <v>2641</v>
      </c>
    </row>
    <row r="1188" spans="1:17" x14ac:dyDescent="0.3">
      <c r="A1188" t="s">
        <v>73</v>
      </c>
      <c r="B1188" t="str">
        <f>"002967"</f>
        <v>002967</v>
      </c>
      <c r="C1188" t="s">
        <v>2642</v>
      </c>
      <c r="D1188" t="s">
        <v>2608</v>
      </c>
      <c r="E1188">
        <v>977485267</v>
      </c>
      <c r="F1188">
        <v>898567227</v>
      </c>
      <c r="G1188">
        <v>692816595</v>
      </c>
      <c r="H1188">
        <v>504462335</v>
      </c>
      <c r="I1188">
        <v>284936267</v>
      </c>
      <c r="P1188">
        <v>236</v>
      </c>
      <c r="Q1188" t="s">
        <v>2643</v>
      </c>
    </row>
    <row r="1189" spans="1:17" x14ac:dyDescent="0.3">
      <c r="A1189" t="s">
        <v>73</v>
      </c>
      <c r="B1189" t="str">
        <f>"000997"</f>
        <v>000997</v>
      </c>
      <c r="C1189" t="s">
        <v>2644</v>
      </c>
      <c r="D1189" t="s">
        <v>158</v>
      </c>
      <c r="E1189">
        <v>976710690</v>
      </c>
      <c r="F1189">
        <v>1138611635</v>
      </c>
      <c r="G1189">
        <v>590481383</v>
      </c>
      <c r="H1189">
        <v>883658813</v>
      </c>
      <c r="I1189">
        <v>769314157</v>
      </c>
      <c r="J1189">
        <v>849965387</v>
      </c>
      <c r="K1189">
        <v>604093466</v>
      </c>
      <c r="L1189">
        <v>515863630</v>
      </c>
      <c r="M1189">
        <v>405698117</v>
      </c>
      <c r="N1189">
        <v>313654750</v>
      </c>
      <c r="O1189">
        <v>229809839</v>
      </c>
      <c r="P1189">
        <v>581</v>
      </c>
      <c r="Q1189" t="s">
        <v>2645</v>
      </c>
    </row>
    <row r="1190" spans="1:17" x14ac:dyDescent="0.3">
      <c r="A1190" t="s">
        <v>17</v>
      </c>
      <c r="B1190" t="str">
        <f>"688183"</f>
        <v>688183</v>
      </c>
      <c r="C1190" t="s">
        <v>2646</v>
      </c>
      <c r="D1190" t="s">
        <v>418</v>
      </c>
      <c r="E1190">
        <v>975718235</v>
      </c>
      <c r="F1190">
        <v>873250536</v>
      </c>
      <c r="P1190">
        <v>41</v>
      </c>
      <c r="Q1190" t="s">
        <v>2647</v>
      </c>
    </row>
    <row r="1191" spans="1:17" x14ac:dyDescent="0.3">
      <c r="A1191" t="s">
        <v>73</v>
      </c>
      <c r="B1191" t="str">
        <f>"300425"</f>
        <v>300425</v>
      </c>
      <c r="C1191" t="s">
        <v>2648</v>
      </c>
      <c r="D1191" t="s">
        <v>308</v>
      </c>
      <c r="E1191">
        <v>974647504</v>
      </c>
      <c r="F1191">
        <v>843499602</v>
      </c>
      <c r="G1191">
        <v>928394493</v>
      </c>
      <c r="H1191">
        <v>756299410</v>
      </c>
      <c r="I1191">
        <v>426022551</v>
      </c>
      <c r="J1191">
        <v>378172043</v>
      </c>
      <c r="K1191">
        <v>294521501</v>
      </c>
      <c r="L1191">
        <v>148774215</v>
      </c>
      <c r="M1191">
        <v>0</v>
      </c>
      <c r="P1191">
        <v>121</v>
      </c>
      <c r="Q1191" t="s">
        <v>2649</v>
      </c>
    </row>
    <row r="1192" spans="1:17" x14ac:dyDescent="0.3">
      <c r="A1192" t="s">
        <v>17</v>
      </c>
      <c r="B1192" t="str">
        <f>"688006"</f>
        <v>688006</v>
      </c>
      <c r="C1192" t="s">
        <v>2650</v>
      </c>
      <c r="D1192" t="s">
        <v>672</v>
      </c>
      <c r="E1192">
        <v>974054158</v>
      </c>
      <c r="F1192">
        <v>353527927</v>
      </c>
      <c r="G1192">
        <v>358976684</v>
      </c>
      <c r="H1192">
        <v>0</v>
      </c>
      <c r="P1192">
        <v>255</v>
      </c>
      <c r="Q1192" t="s">
        <v>2651</v>
      </c>
    </row>
    <row r="1193" spans="1:17" x14ac:dyDescent="0.3">
      <c r="A1193" t="s">
        <v>73</v>
      </c>
      <c r="B1193" t="str">
        <f>"001208"</f>
        <v>001208</v>
      </c>
      <c r="C1193" t="s">
        <v>2652</v>
      </c>
      <c r="D1193" t="s">
        <v>515</v>
      </c>
      <c r="E1193">
        <v>974027154</v>
      </c>
      <c r="F1193">
        <v>601119683</v>
      </c>
      <c r="P1193">
        <v>66</v>
      </c>
      <c r="Q1193" t="s">
        <v>2653</v>
      </c>
    </row>
    <row r="1194" spans="1:17" x14ac:dyDescent="0.3">
      <c r="A1194" t="s">
        <v>73</v>
      </c>
      <c r="B1194" t="str">
        <f>"000012"</f>
        <v>000012</v>
      </c>
      <c r="C1194" t="s">
        <v>2654</v>
      </c>
      <c r="D1194" t="s">
        <v>2655</v>
      </c>
      <c r="E1194">
        <v>973020406</v>
      </c>
      <c r="F1194">
        <v>1019990173</v>
      </c>
      <c r="G1194">
        <v>823778059</v>
      </c>
      <c r="H1194">
        <v>927810337</v>
      </c>
      <c r="I1194">
        <v>858861137</v>
      </c>
      <c r="J1194">
        <v>865641420</v>
      </c>
      <c r="K1194">
        <v>602855652</v>
      </c>
      <c r="L1194">
        <v>490628687</v>
      </c>
      <c r="M1194">
        <v>270099225</v>
      </c>
      <c r="N1194">
        <v>265483765</v>
      </c>
      <c r="O1194">
        <v>439483387</v>
      </c>
      <c r="P1194">
        <v>409</v>
      </c>
      <c r="Q1194" t="s">
        <v>2656</v>
      </c>
    </row>
    <row r="1195" spans="1:17" x14ac:dyDescent="0.3">
      <c r="A1195" t="s">
        <v>73</v>
      </c>
      <c r="B1195" t="str">
        <f>"300735"</f>
        <v>300735</v>
      </c>
      <c r="C1195" t="s">
        <v>2657</v>
      </c>
      <c r="D1195" t="s">
        <v>42</v>
      </c>
      <c r="E1195">
        <v>972219180</v>
      </c>
      <c r="F1195">
        <v>697529628</v>
      </c>
      <c r="G1195">
        <v>332953613</v>
      </c>
      <c r="H1195">
        <v>365466441</v>
      </c>
      <c r="I1195">
        <v>235172357</v>
      </c>
      <c r="J1195">
        <v>0</v>
      </c>
      <c r="P1195">
        <v>453</v>
      </c>
      <c r="Q1195" t="s">
        <v>2658</v>
      </c>
    </row>
    <row r="1196" spans="1:17" x14ac:dyDescent="0.3">
      <c r="A1196" t="s">
        <v>17</v>
      </c>
      <c r="B1196" t="str">
        <f>"600537"</f>
        <v>600537</v>
      </c>
      <c r="C1196" t="s">
        <v>2659</v>
      </c>
      <c r="D1196" t="s">
        <v>305</v>
      </c>
      <c r="E1196">
        <v>971161574</v>
      </c>
      <c r="F1196">
        <v>671511346</v>
      </c>
      <c r="G1196">
        <v>844425174</v>
      </c>
      <c r="H1196">
        <v>744071791</v>
      </c>
      <c r="I1196">
        <v>499400353</v>
      </c>
      <c r="J1196">
        <v>1113585906</v>
      </c>
      <c r="K1196">
        <v>999223088</v>
      </c>
      <c r="L1196">
        <v>948111310</v>
      </c>
      <c r="M1196">
        <v>408718513</v>
      </c>
      <c r="N1196">
        <v>555796247</v>
      </c>
      <c r="O1196">
        <v>502997928</v>
      </c>
      <c r="P1196">
        <v>147</v>
      </c>
      <c r="Q1196" t="s">
        <v>2660</v>
      </c>
    </row>
    <row r="1197" spans="1:17" x14ac:dyDescent="0.3">
      <c r="A1197" t="s">
        <v>73</v>
      </c>
      <c r="B1197" t="str">
        <f>"300171"</f>
        <v>300171</v>
      </c>
      <c r="C1197" t="s">
        <v>2661</v>
      </c>
      <c r="D1197" t="s">
        <v>692</v>
      </c>
      <c r="E1197">
        <v>968090914</v>
      </c>
      <c r="F1197">
        <v>595961054</v>
      </c>
      <c r="G1197">
        <v>525705152</v>
      </c>
      <c r="H1197">
        <v>553837411</v>
      </c>
      <c r="I1197">
        <v>522210002</v>
      </c>
      <c r="J1197">
        <v>424972556</v>
      </c>
      <c r="K1197">
        <v>368873324</v>
      </c>
      <c r="L1197">
        <v>255017961</v>
      </c>
      <c r="M1197">
        <v>201097773</v>
      </c>
      <c r="N1197">
        <v>138700680</v>
      </c>
      <c r="O1197">
        <v>123024161</v>
      </c>
      <c r="P1197">
        <v>248</v>
      </c>
      <c r="Q1197" t="s">
        <v>2662</v>
      </c>
    </row>
    <row r="1198" spans="1:17" x14ac:dyDescent="0.3">
      <c r="A1198" t="s">
        <v>17</v>
      </c>
      <c r="B1198" t="str">
        <f>"603556"</f>
        <v>603556</v>
      </c>
      <c r="C1198" t="s">
        <v>2663</v>
      </c>
      <c r="D1198" t="s">
        <v>1280</v>
      </c>
      <c r="E1198">
        <v>967611751</v>
      </c>
      <c r="F1198">
        <v>792895012</v>
      </c>
      <c r="G1198">
        <v>1006387376</v>
      </c>
      <c r="H1198">
        <v>1134904614</v>
      </c>
      <c r="I1198">
        <v>1060341920</v>
      </c>
      <c r="J1198">
        <v>692197342</v>
      </c>
      <c r="P1198">
        <v>218</v>
      </c>
      <c r="Q1198" t="s">
        <v>2664</v>
      </c>
    </row>
    <row r="1199" spans="1:17" x14ac:dyDescent="0.3">
      <c r="A1199" t="s">
        <v>73</v>
      </c>
      <c r="B1199" t="str">
        <f>"300265"</f>
        <v>300265</v>
      </c>
      <c r="C1199" t="s">
        <v>2665</v>
      </c>
      <c r="D1199" t="s">
        <v>515</v>
      </c>
      <c r="E1199">
        <v>966890990</v>
      </c>
      <c r="F1199">
        <v>718908206</v>
      </c>
      <c r="G1199">
        <v>742489365</v>
      </c>
      <c r="H1199">
        <v>898457817</v>
      </c>
      <c r="I1199">
        <v>1000338734</v>
      </c>
      <c r="J1199">
        <v>1121540082</v>
      </c>
      <c r="K1199">
        <v>622310524</v>
      </c>
      <c r="L1199">
        <v>506644605</v>
      </c>
      <c r="M1199">
        <v>417182934</v>
      </c>
      <c r="N1199">
        <v>423989504</v>
      </c>
      <c r="O1199">
        <v>313291477</v>
      </c>
      <c r="P1199">
        <v>162</v>
      </c>
      <c r="Q1199" t="s">
        <v>2666</v>
      </c>
    </row>
    <row r="1200" spans="1:17" x14ac:dyDescent="0.3">
      <c r="A1200" t="s">
        <v>17</v>
      </c>
      <c r="B1200" t="str">
        <f>"601126"</f>
        <v>601126</v>
      </c>
      <c r="C1200" t="s">
        <v>2667</v>
      </c>
      <c r="D1200" t="s">
        <v>161</v>
      </c>
      <c r="E1200">
        <v>966308909</v>
      </c>
      <c r="F1200">
        <v>924808935</v>
      </c>
      <c r="G1200">
        <v>2093942696</v>
      </c>
      <c r="H1200">
        <v>2385131718</v>
      </c>
      <c r="I1200">
        <v>2611382645</v>
      </c>
      <c r="J1200">
        <v>2674746941</v>
      </c>
      <c r="K1200">
        <v>2753217081</v>
      </c>
      <c r="L1200">
        <v>2476691545</v>
      </c>
      <c r="M1200">
        <v>2193534665</v>
      </c>
      <c r="N1200">
        <v>1729583809</v>
      </c>
      <c r="O1200">
        <v>1067409894</v>
      </c>
      <c r="P1200">
        <v>279</v>
      </c>
      <c r="Q1200" t="s">
        <v>2668</v>
      </c>
    </row>
    <row r="1201" spans="1:17" x14ac:dyDescent="0.3">
      <c r="A1201" t="s">
        <v>17</v>
      </c>
      <c r="B1201" t="str">
        <f>"600685"</f>
        <v>600685</v>
      </c>
      <c r="C1201" t="s">
        <v>2669</v>
      </c>
      <c r="D1201" t="s">
        <v>283</v>
      </c>
      <c r="E1201">
        <v>966158732</v>
      </c>
      <c r="F1201">
        <v>1234981002</v>
      </c>
      <c r="G1201">
        <v>1183535615</v>
      </c>
      <c r="H1201">
        <v>2635023648</v>
      </c>
      <c r="I1201">
        <v>1681068183</v>
      </c>
      <c r="J1201">
        <v>1378112840</v>
      </c>
      <c r="K1201">
        <v>1650402073</v>
      </c>
      <c r="L1201">
        <v>1702516450</v>
      </c>
      <c r="M1201">
        <v>838857019</v>
      </c>
      <c r="N1201">
        <v>733820980</v>
      </c>
      <c r="O1201">
        <v>814871974</v>
      </c>
      <c r="P1201">
        <v>263</v>
      </c>
      <c r="Q1201" t="s">
        <v>2670</v>
      </c>
    </row>
    <row r="1202" spans="1:17" x14ac:dyDescent="0.3">
      <c r="A1202" t="s">
        <v>73</v>
      </c>
      <c r="B1202" t="str">
        <f>"002712"</f>
        <v>002712</v>
      </c>
      <c r="C1202" t="s">
        <v>2671</v>
      </c>
      <c r="D1202" t="s">
        <v>425</v>
      </c>
      <c r="E1202">
        <v>964440008</v>
      </c>
      <c r="F1202">
        <v>986897052</v>
      </c>
      <c r="G1202">
        <v>817248327</v>
      </c>
      <c r="H1202">
        <v>0</v>
      </c>
      <c r="I1202">
        <v>1449265040</v>
      </c>
      <c r="J1202">
        <v>765403548</v>
      </c>
      <c r="K1202">
        <v>808968418</v>
      </c>
      <c r="L1202">
        <v>627737898</v>
      </c>
      <c r="M1202">
        <v>371861880</v>
      </c>
      <c r="N1202">
        <v>0</v>
      </c>
      <c r="P1202">
        <v>107</v>
      </c>
      <c r="Q1202" t="s">
        <v>2672</v>
      </c>
    </row>
    <row r="1203" spans="1:17" x14ac:dyDescent="0.3">
      <c r="A1203" t="s">
        <v>17</v>
      </c>
      <c r="B1203" t="str">
        <f>"600565"</f>
        <v>600565</v>
      </c>
      <c r="C1203" t="s">
        <v>2673</v>
      </c>
      <c r="D1203" t="s">
        <v>27</v>
      </c>
      <c r="E1203">
        <v>964193620</v>
      </c>
      <c r="F1203">
        <v>848108618</v>
      </c>
      <c r="G1203">
        <v>590305096</v>
      </c>
      <c r="H1203">
        <v>476844168</v>
      </c>
      <c r="I1203">
        <v>360119251</v>
      </c>
      <c r="J1203">
        <v>678923269</v>
      </c>
      <c r="K1203">
        <v>365350039</v>
      </c>
      <c r="L1203">
        <v>321070424</v>
      </c>
      <c r="M1203">
        <v>400660401</v>
      </c>
      <c r="N1203">
        <v>351271718</v>
      </c>
      <c r="O1203">
        <v>399304928</v>
      </c>
      <c r="P1203">
        <v>468</v>
      </c>
      <c r="Q1203" t="s">
        <v>2674</v>
      </c>
    </row>
    <row r="1204" spans="1:17" x14ac:dyDescent="0.3">
      <c r="A1204" t="s">
        <v>73</v>
      </c>
      <c r="B1204" t="str">
        <f>"000836"</f>
        <v>000836</v>
      </c>
      <c r="C1204" t="s">
        <v>2675</v>
      </c>
      <c r="D1204" t="s">
        <v>208</v>
      </c>
      <c r="E1204">
        <v>963878816</v>
      </c>
      <c r="F1204">
        <v>673363414</v>
      </c>
      <c r="G1204">
        <v>629018541</v>
      </c>
      <c r="H1204">
        <v>536685180</v>
      </c>
      <c r="I1204">
        <v>283008375</v>
      </c>
      <c r="J1204">
        <v>216581276</v>
      </c>
      <c r="K1204">
        <v>213587056</v>
      </c>
      <c r="L1204">
        <v>197627398</v>
      </c>
      <c r="M1204">
        <v>191809645</v>
      </c>
      <c r="N1204">
        <v>151717933</v>
      </c>
      <c r="O1204">
        <v>202254977</v>
      </c>
      <c r="P1204">
        <v>135</v>
      </c>
      <c r="Q1204" t="s">
        <v>2676</v>
      </c>
    </row>
    <row r="1205" spans="1:17" x14ac:dyDescent="0.3">
      <c r="A1205" t="s">
        <v>73</v>
      </c>
      <c r="B1205" t="str">
        <f>"300663"</f>
        <v>300663</v>
      </c>
      <c r="C1205" t="s">
        <v>2677</v>
      </c>
      <c r="D1205" t="s">
        <v>795</v>
      </c>
      <c r="E1205">
        <v>963242972</v>
      </c>
      <c r="F1205">
        <v>806531676</v>
      </c>
      <c r="G1205">
        <v>715792197</v>
      </c>
      <c r="H1205">
        <v>615887837</v>
      </c>
      <c r="I1205">
        <v>521767205</v>
      </c>
      <c r="J1205">
        <v>463934076</v>
      </c>
      <c r="K1205">
        <v>0</v>
      </c>
      <c r="P1205">
        <v>261</v>
      </c>
      <c r="Q1205" t="s">
        <v>2678</v>
      </c>
    </row>
    <row r="1206" spans="1:17" x14ac:dyDescent="0.3">
      <c r="A1206" t="s">
        <v>17</v>
      </c>
      <c r="B1206" t="str">
        <f>"600468"</f>
        <v>600468</v>
      </c>
      <c r="C1206" t="s">
        <v>2679</v>
      </c>
      <c r="D1206" t="s">
        <v>230</v>
      </c>
      <c r="E1206">
        <v>962869172</v>
      </c>
      <c r="F1206">
        <v>969872051</v>
      </c>
      <c r="G1206">
        <v>835443278</v>
      </c>
      <c r="H1206">
        <v>713119208</v>
      </c>
      <c r="I1206">
        <v>614115377</v>
      </c>
      <c r="J1206">
        <v>564693300</v>
      </c>
      <c r="K1206">
        <v>266237234</v>
      </c>
      <c r="L1206">
        <v>277767418</v>
      </c>
      <c r="M1206">
        <v>242851458</v>
      </c>
      <c r="N1206">
        <v>234780101</v>
      </c>
      <c r="O1206">
        <v>212903641</v>
      </c>
      <c r="P1206">
        <v>89</v>
      </c>
      <c r="Q1206" t="s">
        <v>2680</v>
      </c>
    </row>
    <row r="1207" spans="1:17" x14ac:dyDescent="0.3">
      <c r="A1207" t="s">
        <v>17</v>
      </c>
      <c r="B1207" t="str">
        <f>"600657"</f>
        <v>600657</v>
      </c>
      <c r="C1207" t="s">
        <v>2681</v>
      </c>
      <c r="D1207" t="s">
        <v>27</v>
      </c>
      <c r="E1207">
        <v>961301032</v>
      </c>
      <c r="F1207">
        <v>936631771</v>
      </c>
      <c r="G1207">
        <v>291886108</v>
      </c>
      <c r="H1207">
        <v>229392503</v>
      </c>
      <c r="I1207">
        <v>105192063</v>
      </c>
      <c r="J1207">
        <v>344976516</v>
      </c>
      <c r="K1207">
        <v>438280072</v>
      </c>
      <c r="L1207">
        <v>320842897</v>
      </c>
      <c r="M1207">
        <v>206376799</v>
      </c>
      <c r="N1207">
        <v>156262453</v>
      </c>
      <c r="O1207">
        <v>66843454</v>
      </c>
      <c r="P1207">
        <v>423</v>
      </c>
      <c r="Q1207" t="s">
        <v>2682</v>
      </c>
    </row>
    <row r="1208" spans="1:17" x14ac:dyDescent="0.3">
      <c r="A1208" t="s">
        <v>73</v>
      </c>
      <c r="B1208" t="str">
        <f>"002364"</f>
        <v>002364</v>
      </c>
      <c r="C1208" t="s">
        <v>2683</v>
      </c>
      <c r="D1208" t="s">
        <v>747</v>
      </c>
      <c r="E1208">
        <v>961091756</v>
      </c>
      <c r="F1208">
        <v>909529113</v>
      </c>
      <c r="G1208">
        <v>850882708</v>
      </c>
      <c r="H1208">
        <v>758503040</v>
      </c>
      <c r="I1208">
        <v>668430212</v>
      </c>
      <c r="J1208">
        <v>607850944</v>
      </c>
      <c r="K1208">
        <v>634653823</v>
      </c>
      <c r="L1208">
        <v>396068244</v>
      </c>
      <c r="M1208">
        <v>316864183</v>
      </c>
      <c r="N1208">
        <v>252865403</v>
      </c>
      <c r="O1208">
        <v>120781887</v>
      </c>
      <c r="P1208">
        <v>219</v>
      </c>
      <c r="Q1208" t="s">
        <v>2684</v>
      </c>
    </row>
    <row r="1209" spans="1:17" x14ac:dyDescent="0.3">
      <c r="A1209" t="s">
        <v>73</v>
      </c>
      <c r="B1209" t="str">
        <f>"002057"</f>
        <v>002057</v>
      </c>
      <c r="C1209" t="s">
        <v>2685</v>
      </c>
      <c r="D1209" t="s">
        <v>1142</v>
      </c>
      <c r="E1209">
        <v>960366188</v>
      </c>
      <c r="F1209">
        <v>686375965</v>
      </c>
      <c r="G1209">
        <v>453169719</v>
      </c>
      <c r="H1209">
        <v>410305314</v>
      </c>
      <c r="I1209">
        <v>326183281</v>
      </c>
      <c r="J1209">
        <v>151537412</v>
      </c>
      <c r="K1209">
        <v>129670278</v>
      </c>
      <c r="L1209">
        <v>131816259</v>
      </c>
      <c r="M1209">
        <v>120757627</v>
      </c>
      <c r="N1209">
        <v>113452361</v>
      </c>
      <c r="O1209">
        <v>114940425</v>
      </c>
      <c r="P1209">
        <v>126</v>
      </c>
      <c r="Q1209" t="s">
        <v>2686</v>
      </c>
    </row>
    <row r="1210" spans="1:17" x14ac:dyDescent="0.3">
      <c r="A1210" t="s">
        <v>73</v>
      </c>
      <c r="B1210" t="str">
        <f>"300887"</f>
        <v>300887</v>
      </c>
      <c r="C1210" t="s">
        <v>2687</v>
      </c>
      <c r="D1210" t="s">
        <v>2608</v>
      </c>
      <c r="E1210">
        <v>958923621</v>
      </c>
      <c r="F1210">
        <v>441518876</v>
      </c>
      <c r="P1210">
        <v>117</v>
      </c>
      <c r="Q1210" t="s">
        <v>2688</v>
      </c>
    </row>
    <row r="1211" spans="1:17" x14ac:dyDescent="0.3">
      <c r="A1211" t="s">
        <v>73</v>
      </c>
      <c r="B1211" t="str">
        <f>"000756"</f>
        <v>000756</v>
      </c>
      <c r="C1211" t="s">
        <v>2689</v>
      </c>
      <c r="D1211" t="s">
        <v>908</v>
      </c>
      <c r="E1211">
        <v>957574565</v>
      </c>
      <c r="F1211">
        <v>707881350</v>
      </c>
      <c r="G1211">
        <v>675773511</v>
      </c>
      <c r="H1211">
        <v>646180002</v>
      </c>
      <c r="I1211">
        <v>600307858</v>
      </c>
      <c r="J1211">
        <v>509404637</v>
      </c>
      <c r="K1211">
        <v>476752184</v>
      </c>
      <c r="L1211">
        <v>488621080</v>
      </c>
      <c r="M1211">
        <v>422639296</v>
      </c>
      <c r="N1211">
        <v>354652474</v>
      </c>
      <c r="O1211">
        <v>356047516</v>
      </c>
      <c r="P1211">
        <v>218</v>
      </c>
      <c r="Q1211" t="s">
        <v>2690</v>
      </c>
    </row>
    <row r="1212" spans="1:17" x14ac:dyDescent="0.3">
      <c r="A1212" t="s">
        <v>73</v>
      </c>
      <c r="B1212" t="str">
        <f>"002516"</f>
        <v>002516</v>
      </c>
      <c r="C1212" t="s">
        <v>2691</v>
      </c>
      <c r="D1212" t="s">
        <v>106</v>
      </c>
      <c r="E1212">
        <v>957431175</v>
      </c>
      <c r="F1212">
        <v>767057095</v>
      </c>
      <c r="G1212">
        <v>564667181</v>
      </c>
      <c r="H1212">
        <v>595322756</v>
      </c>
      <c r="I1212">
        <v>565315552</v>
      </c>
      <c r="J1212">
        <v>994872385</v>
      </c>
      <c r="K1212">
        <v>687424803</v>
      </c>
      <c r="L1212">
        <v>508437144</v>
      </c>
      <c r="M1212">
        <v>420046964</v>
      </c>
      <c r="N1212">
        <v>282812008</v>
      </c>
      <c r="O1212">
        <v>286298249</v>
      </c>
      <c r="P1212">
        <v>160</v>
      </c>
      <c r="Q1212" t="s">
        <v>2692</v>
      </c>
    </row>
    <row r="1213" spans="1:17" x14ac:dyDescent="0.3">
      <c r="A1213" t="s">
        <v>17</v>
      </c>
      <c r="B1213" t="str">
        <f>"601799"</f>
        <v>601799</v>
      </c>
      <c r="C1213" t="s">
        <v>2693</v>
      </c>
      <c r="D1213" t="s">
        <v>442</v>
      </c>
      <c r="E1213">
        <v>957346619</v>
      </c>
      <c r="F1213">
        <v>790548485</v>
      </c>
      <c r="G1213">
        <v>453932732</v>
      </c>
      <c r="H1213">
        <v>697088516</v>
      </c>
      <c r="I1213">
        <v>473360743</v>
      </c>
      <c r="J1213">
        <v>387833469</v>
      </c>
      <c r="K1213">
        <v>273673667</v>
      </c>
      <c r="L1213">
        <v>306428942</v>
      </c>
      <c r="M1213">
        <v>335351035</v>
      </c>
      <c r="N1213">
        <v>195161953</v>
      </c>
      <c r="O1213">
        <v>162349067</v>
      </c>
      <c r="P1213">
        <v>1014</v>
      </c>
      <c r="Q1213" t="s">
        <v>2694</v>
      </c>
    </row>
    <row r="1214" spans="1:17" x14ac:dyDescent="0.3">
      <c r="A1214" t="s">
        <v>17</v>
      </c>
      <c r="B1214" t="str">
        <f>"600609"</f>
        <v>600609</v>
      </c>
      <c r="C1214" t="s">
        <v>2695</v>
      </c>
      <c r="D1214" t="s">
        <v>106</v>
      </c>
      <c r="E1214">
        <v>956097430</v>
      </c>
      <c r="F1214">
        <v>882605705</v>
      </c>
      <c r="G1214">
        <v>790289623</v>
      </c>
      <c r="H1214">
        <v>1362204718</v>
      </c>
      <c r="I1214">
        <v>1346726315</v>
      </c>
      <c r="J1214">
        <v>2293528272</v>
      </c>
      <c r="K1214">
        <v>1370740319</v>
      </c>
      <c r="L1214">
        <v>1175765240</v>
      </c>
      <c r="M1214">
        <v>1076072385</v>
      </c>
      <c r="N1214">
        <v>1161721381</v>
      </c>
      <c r="O1214">
        <v>891852994</v>
      </c>
      <c r="P1214">
        <v>128</v>
      </c>
      <c r="Q1214" t="s">
        <v>2696</v>
      </c>
    </row>
    <row r="1215" spans="1:17" x14ac:dyDescent="0.3">
      <c r="A1215" t="s">
        <v>73</v>
      </c>
      <c r="B1215" t="str">
        <f>"300903"</f>
        <v>300903</v>
      </c>
      <c r="C1215" t="s">
        <v>2697</v>
      </c>
      <c r="D1215" t="s">
        <v>418</v>
      </c>
      <c r="E1215">
        <v>955166256</v>
      </c>
      <c r="F1215">
        <v>636369978</v>
      </c>
      <c r="G1215">
        <v>529910787</v>
      </c>
      <c r="P1215">
        <v>61</v>
      </c>
      <c r="Q1215" t="s">
        <v>2698</v>
      </c>
    </row>
    <row r="1216" spans="1:17" x14ac:dyDescent="0.3">
      <c r="A1216" t="s">
        <v>17</v>
      </c>
      <c r="B1216" t="str">
        <f>"600960"</f>
        <v>600960</v>
      </c>
      <c r="C1216" t="s">
        <v>2699</v>
      </c>
      <c r="D1216" t="s">
        <v>122</v>
      </c>
      <c r="E1216">
        <v>954698980</v>
      </c>
      <c r="F1216">
        <v>1048889229</v>
      </c>
      <c r="G1216">
        <v>908645313</v>
      </c>
      <c r="H1216">
        <v>1088880792</v>
      </c>
      <c r="I1216">
        <v>703804792</v>
      </c>
      <c r="J1216">
        <v>558005676</v>
      </c>
      <c r="K1216">
        <v>283548403</v>
      </c>
      <c r="L1216">
        <v>325627558</v>
      </c>
      <c r="M1216">
        <v>338955501</v>
      </c>
      <c r="N1216">
        <v>312979509</v>
      </c>
      <c r="O1216">
        <v>373176324</v>
      </c>
      <c r="P1216">
        <v>91</v>
      </c>
      <c r="Q1216" t="s">
        <v>2700</v>
      </c>
    </row>
    <row r="1217" spans="1:17" x14ac:dyDescent="0.3">
      <c r="A1217" t="s">
        <v>17</v>
      </c>
      <c r="B1217" t="str">
        <f>"603233"</f>
        <v>603233</v>
      </c>
      <c r="C1217" t="s">
        <v>2701</v>
      </c>
      <c r="D1217" t="s">
        <v>1520</v>
      </c>
      <c r="E1217">
        <v>954476555</v>
      </c>
      <c r="F1217">
        <v>490181592</v>
      </c>
      <c r="G1217">
        <v>339423213</v>
      </c>
      <c r="H1217">
        <v>349901662</v>
      </c>
      <c r="I1217">
        <v>260567029</v>
      </c>
      <c r="J1217">
        <v>196362909</v>
      </c>
      <c r="P1217">
        <v>1786</v>
      </c>
      <c r="Q1217" t="s">
        <v>2702</v>
      </c>
    </row>
    <row r="1218" spans="1:17" x14ac:dyDescent="0.3">
      <c r="A1218" t="s">
        <v>73</v>
      </c>
      <c r="B1218" t="str">
        <f>"002082"</f>
        <v>002082</v>
      </c>
      <c r="C1218" t="s">
        <v>2703</v>
      </c>
      <c r="D1218" t="s">
        <v>616</v>
      </c>
      <c r="E1218">
        <v>953809858</v>
      </c>
      <c r="F1218">
        <v>868617350</v>
      </c>
      <c r="G1218">
        <v>1074288333</v>
      </c>
      <c r="H1218">
        <v>367383589</v>
      </c>
      <c r="I1218">
        <v>304806289</v>
      </c>
      <c r="J1218">
        <v>141437500</v>
      </c>
      <c r="K1218">
        <v>210243842</v>
      </c>
      <c r="L1218">
        <v>197213686</v>
      </c>
      <c r="M1218">
        <v>179453600</v>
      </c>
      <c r="N1218">
        <v>262176971</v>
      </c>
      <c r="O1218">
        <v>164385002</v>
      </c>
      <c r="P1218">
        <v>135</v>
      </c>
      <c r="Q1218" t="s">
        <v>2704</v>
      </c>
    </row>
    <row r="1219" spans="1:17" x14ac:dyDescent="0.3">
      <c r="A1219" t="s">
        <v>73</v>
      </c>
      <c r="B1219" t="str">
        <f>"300041"</f>
        <v>300041</v>
      </c>
      <c r="C1219" t="s">
        <v>2705</v>
      </c>
      <c r="D1219" t="s">
        <v>1309</v>
      </c>
      <c r="E1219">
        <v>948987371</v>
      </c>
      <c r="F1219">
        <v>757680172</v>
      </c>
      <c r="G1219">
        <v>690468972</v>
      </c>
      <c r="H1219">
        <v>538844178</v>
      </c>
      <c r="I1219">
        <v>605408026</v>
      </c>
      <c r="J1219">
        <v>437871976</v>
      </c>
      <c r="K1219">
        <v>458842397</v>
      </c>
      <c r="L1219">
        <v>392761284</v>
      </c>
      <c r="M1219">
        <v>229870691</v>
      </c>
      <c r="N1219">
        <v>135022657</v>
      </c>
      <c r="O1219">
        <v>77602452</v>
      </c>
      <c r="P1219">
        <v>253</v>
      </c>
      <c r="Q1219" t="s">
        <v>2706</v>
      </c>
    </row>
    <row r="1220" spans="1:17" x14ac:dyDescent="0.3">
      <c r="A1220" t="s">
        <v>73</v>
      </c>
      <c r="B1220" t="str">
        <f>"300406"</f>
        <v>300406</v>
      </c>
      <c r="C1220" t="s">
        <v>2707</v>
      </c>
      <c r="D1220" t="s">
        <v>773</v>
      </c>
      <c r="E1220">
        <v>947926237</v>
      </c>
      <c r="F1220">
        <v>809761936</v>
      </c>
      <c r="G1220">
        <v>542963402</v>
      </c>
      <c r="H1220">
        <v>501137656</v>
      </c>
      <c r="I1220">
        <v>455275430</v>
      </c>
      <c r="J1220">
        <v>373857263</v>
      </c>
      <c r="K1220">
        <v>328163042</v>
      </c>
      <c r="L1220">
        <v>241767539</v>
      </c>
      <c r="M1220">
        <v>0</v>
      </c>
      <c r="P1220">
        <v>14630</v>
      </c>
      <c r="Q1220" t="s">
        <v>2708</v>
      </c>
    </row>
    <row r="1221" spans="1:17" x14ac:dyDescent="0.3">
      <c r="A1221" t="s">
        <v>73</v>
      </c>
      <c r="B1221" t="str">
        <f>"002642"</f>
        <v>002642</v>
      </c>
      <c r="C1221" t="s">
        <v>2709</v>
      </c>
      <c r="D1221" t="s">
        <v>302</v>
      </c>
      <c r="E1221">
        <v>947047007</v>
      </c>
      <c r="F1221">
        <v>882631985</v>
      </c>
      <c r="G1221">
        <v>876017292</v>
      </c>
      <c r="H1221">
        <v>810764088</v>
      </c>
      <c r="I1221">
        <v>1120749139</v>
      </c>
      <c r="J1221">
        <v>737672455</v>
      </c>
      <c r="K1221">
        <v>613269164</v>
      </c>
      <c r="L1221">
        <v>594540678</v>
      </c>
      <c r="M1221">
        <v>373065024</v>
      </c>
      <c r="N1221">
        <v>308638832</v>
      </c>
      <c r="O1221">
        <v>193059053</v>
      </c>
      <c r="P1221">
        <v>221</v>
      </c>
      <c r="Q1221" t="s">
        <v>2710</v>
      </c>
    </row>
    <row r="1222" spans="1:17" x14ac:dyDescent="0.3">
      <c r="A1222" t="s">
        <v>17</v>
      </c>
      <c r="B1222" t="str">
        <f>"603936"</f>
        <v>603936</v>
      </c>
      <c r="C1222" t="s">
        <v>2711</v>
      </c>
      <c r="D1222" t="s">
        <v>418</v>
      </c>
      <c r="E1222">
        <v>946767096</v>
      </c>
      <c r="F1222">
        <v>889006422</v>
      </c>
      <c r="G1222">
        <v>646654164</v>
      </c>
      <c r="H1222">
        <v>552459000</v>
      </c>
      <c r="I1222">
        <v>418054077</v>
      </c>
      <c r="J1222">
        <v>291835806</v>
      </c>
      <c r="K1222">
        <v>338325054</v>
      </c>
      <c r="L1222">
        <v>0</v>
      </c>
      <c r="M1222">
        <v>0</v>
      </c>
      <c r="P1222">
        <v>222</v>
      </c>
      <c r="Q1222" t="s">
        <v>2712</v>
      </c>
    </row>
    <row r="1223" spans="1:17" x14ac:dyDescent="0.3">
      <c r="A1223" t="s">
        <v>73</v>
      </c>
      <c r="B1223" t="str">
        <f>"002295"</f>
        <v>002295</v>
      </c>
      <c r="C1223" t="s">
        <v>2713</v>
      </c>
      <c r="D1223" t="s">
        <v>452</v>
      </c>
      <c r="E1223">
        <v>945793094</v>
      </c>
      <c r="F1223">
        <v>1087458954</v>
      </c>
      <c r="G1223">
        <v>833784153</v>
      </c>
      <c r="H1223">
        <v>966479944</v>
      </c>
      <c r="I1223">
        <v>752905137</v>
      </c>
      <c r="J1223">
        <v>521155880</v>
      </c>
      <c r="K1223">
        <v>323774109</v>
      </c>
      <c r="L1223">
        <v>310654303</v>
      </c>
      <c r="M1223">
        <v>289904390</v>
      </c>
      <c r="N1223">
        <v>334237396</v>
      </c>
      <c r="O1223">
        <v>296921782</v>
      </c>
      <c r="P1223">
        <v>56</v>
      </c>
      <c r="Q1223" t="s">
        <v>2714</v>
      </c>
    </row>
    <row r="1224" spans="1:17" x14ac:dyDescent="0.3">
      <c r="A1224" t="s">
        <v>73</v>
      </c>
      <c r="B1224" t="str">
        <f>"002115"</f>
        <v>002115</v>
      </c>
      <c r="C1224" t="s">
        <v>2715</v>
      </c>
      <c r="D1224" t="s">
        <v>853</v>
      </c>
      <c r="E1224">
        <v>945442651</v>
      </c>
      <c r="F1224">
        <v>919464970</v>
      </c>
      <c r="G1224">
        <v>751833806</v>
      </c>
      <c r="H1224">
        <v>598263561</v>
      </c>
      <c r="I1224">
        <v>578497921</v>
      </c>
      <c r="J1224">
        <v>410443218</v>
      </c>
      <c r="K1224">
        <v>396854054</v>
      </c>
      <c r="L1224">
        <v>531586283</v>
      </c>
      <c r="M1224">
        <v>560185177</v>
      </c>
      <c r="N1224">
        <v>621063552</v>
      </c>
      <c r="O1224">
        <v>524140174</v>
      </c>
      <c r="P1224">
        <v>239</v>
      </c>
      <c r="Q1224" t="s">
        <v>2716</v>
      </c>
    </row>
    <row r="1225" spans="1:17" x14ac:dyDescent="0.3">
      <c r="A1225" t="s">
        <v>73</v>
      </c>
      <c r="B1225" t="str">
        <f>"002087"</f>
        <v>002087</v>
      </c>
      <c r="C1225" t="s">
        <v>2717</v>
      </c>
      <c r="D1225" t="s">
        <v>2052</v>
      </c>
      <c r="E1225">
        <v>945360382</v>
      </c>
      <c r="F1225">
        <v>842754583</v>
      </c>
      <c r="G1225">
        <v>816193871</v>
      </c>
      <c r="H1225">
        <v>712021226</v>
      </c>
      <c r="I1225">
        <v>651374201</v>
      </c>
      <c r="J1225">
        <v>551587584</v>
      </c>
      <c r="K1225">
        <v>477292475</v>
      </c>
      <c r="L1225">
        <v>484835144</v>
      </c>
      <c r="M1225">
        <v>440309667</v>
      </c>
      <c r="N1225">
        <v>320156496</v>
      </c>
      <c r="O1225">
        <v>236605337</v>
      </c>
      <c r="P1225">
        <v>208</v>
      </c>
      <c r="Q1225" t="s">
        <v>2718</v>
      </c>
    </row>
    <row r="1226" spans="1:17" x14ac:dyDescent="0.3">
      <c r="A1226" t="s">
        <v>73</v>
      </c>
      <c r="B1226" t="str">
        <f>"300841"</f>
        <v>300841</v>
      </c>
      <c r="C1226" t="s">
        <v>2719</v>
      </c>
      <c r="D1226" t="s">
        <v>182</v>
      </c>
      <c r="E1226">
        <v>945299710</v>
      </c>
      <c r="F1226">
        <v>476432464</v>
      </c>
      <c r="G1226">
        <v>323602465</v>
      </c>
      <c r="H1226">
        <v>0</v>
      </c>
      <c r="P1226">
        <v>314</v>
      </c>
      <c r="Q1226" t="s">
        <v>2720</v>
      </c>
    </row>
    <row r="1227" spans="1:17" x14ac:dyDescent="0.3">
      <c r="A1227" t="s">
        <v>17</v>
      </c>
      <c r="B1227" t="str">
        <f>"600114"</f>
        <v>600114</v>
      </c>
      <c r="C1227" t="s">
        <v>2721</v>
      </c>
      <c r="D1227" t="s">
        <v>146</v>
      </c>
      <c r="E1227">
        <v>944827266</v>
      </c>
      <c r="F1227">
        <v>919902027</v>
      </c>
      <c r="G1227">
        <v>668638912</v>
      </c>
      <c r="H1227">
        <v>449645814</v>
      </c>
      <c r="I1227">
        <v>467360497</v>
      </c>
      <c r="J1227">
        <v>355913435</v>
      </c>
      <c r="K1227">
        <v>348175545</v>
      </c>
      <c r="L1227">
        <v>318981845</v>
      </c>
      <c r="M1227">
        <v>268623953</v>
      </c>
      <c r="N1227">
        <v>242113759</v>
      </c>
      <c r="O1227">
        <v>231915098</v>
      </c>
      <c r="P1227">
        <v>302</v>
      </c>
      <c r="Q1227" t="s">
        <v>2722</v>
      </c>
    </row>
    <row r="1228" spans="1:17" x14ac:dyDescent="0.3">
      <c r="A1228" t="s">
        <v>17</v>
      </c>
      <c r="B1228" t="str">
        <f>"600612"</f>
        <v>600612</v>
      </c>
      <c r="C1228" t="s">
        <v>2723</v>
      </c>
      <c r="D1228" t="s">
        <v>1260</v>
      </c>
      <c r="E1228">
        <v>944546559</v>
      </c>
      <c r="F1228">
        <v>813888233</v>
      </c>
      <c r="G1228">
        <v>1515159042</v>
      </c>
      <c r="H1228">
        <v>788776316</v>
      </c>
      <c r="I1228">
        <v>857836208</v>
      </c>
      <c r="J1228">
        <v>748172855</v>
      </c>
      <c r="K1228">
        <v>668844051</v>
      </c>
      <c r="L1228">
        <v>575791021</v>
      </c>
      <c r="M1228">
        <v>414582798</v>
      </c>
      <c r="N1228">
        <v>518117847</v>
      </c>
      <c r="O1228">
        <v>574926966</v>
      </c>
      <c r="P1228">
        <v>45897</v>
      </c>
      <c r="Q1228" t="s">
        <v>2724</v>
      </c>
    </row>
    <row r="1229" spans="1:17" x14ac:dyDescent="0.3">
      <c r="A1229" t="s">
        <v>17</v>
      </c>
      <c r="B1229" t="str">
        <f>"600602"</f>
        <v>600602</v>
      </c>
      <c r="C1229" t="s">
        <v>2725</v>
      </c>
      <c r="D1229" t="s">
        <v>795</v>
      </c>
      <c r="E1229">
        <v>943962975</v>
      </c>
      <c r="F1229">
        <v>967936994</v>
      </c>
      <c r="G1229">
        <v>926614859</v>
      </c>
      <c r="H1229">
        <v>1094664709</v>
      </c>
      <c r="I1229">
        <v>1302001693</v>
      </c>
      <c r="J1229">
        <v>917871552</v>
      </c>
      <c r="K1229">
        <v>754757834</v>
      </c>
      <c r="L1229">
        <v>295623427</v>
      </c>
      <c r="M1229">
        <v>215598475</v>
      </c>
      <c r="N1229">
        <v>236485732</v>
      </c>
      <c r="O1229">
        <v>190482213</v>
      </c>
      <c r="P1229">
        <v>136</v>
      </c>
      <c r="Q1229" t="s">
        <v>2726</v>
      </c>
    </row>
    <row r="1230" spans="1:17" x14ac:dyDescent="0.3">
      <c r="A1230" t="s">
        <v>17</v>
      </c>
      <c r="B1230" t="str">
        <f>"600277"</f>
        <v>600277</v>
      </c>
      <c r="C1230" t="s">
        <v>2727</v>
      </c>
      <c r="D1230" t="s">
        <v>641</v>
      </c>
      <c r="E1230">
        <v>943636331</v>
      </c>
      <c r="F1230">
        <v>1241047842</v>
      </c>
      <c r="G1230">
        <v>913927870</v>
      </c>
      <c r="H1230">
        <v>805083215</v>
      </c>
      <c r="I1230">
        <v>1197250429</v>
      </c>
      <c r="J1230">
        <v>911984961</v>
      </c>
      <c r="K1230">
        <v>1067521824</v>
      </c>
      <c r="L1230">
        <v>620563688</v>
      </c>
      <c r="M1230">
        <v>1827194638</v>
      </c>
      <c r="N1230">
        <v>1743178315</v>
      </c>
      <c r="O1230">
        <v>1130530246</v>
      </c>
      <c r="P1230">
        <v>187</v>
      </c>
      <c r="Q1230" t="s">
        <v>2728</v>
      </c>
    </row>
    <row r="1231" spans="1:17" x14ac:dyDescent="0.3">
      <c r="A1231" t="s">
        <v>17</v>
      </c>
      <c r="B1231" t="str">
        <f>"600563"</f>
        <v>600563</v>
      </c>
      <c r="C1231" t="s">
        <v>2729</v>
      </c>
      <c r="D1231" t="s">
        <v>1944</v>
      </c>
      <c r="E1231">
        <v>943502942</v>
      </c>
      <c r="F1231">
        <v>727346921</v>
      </c>
      <c r="G1231">
        <v>505594120</v>
      </c>
      <c r="H1231">
        <v>473672817</v>
      </c>
      <c r="I1231">
        <v>476173508</v>
      </c>
      <c r="J1231">
        <v>424553273</v>
      </c>
      <c r="K1231">
        <v>364835461</v>
      </c>
      <c r="L1231">
        <v>307550579</v>
      </c>
      <c r="M1231">
        <v>334682743</v>
      </c>
      <c r="N1231">
        <v>277273211</v>
      </c>
      <c r="O1231">
        <v>240212478</v>
      </c>
      <c r="P1231">
        <v>21656</v>
      </c>
      <c r="Q1231" t="s">
        <v>2730</v>
      </c>
    </row>
    <row r="1232" spans="1:17" x14ac:dyDescent="0.3">
      <c r="A1232" t="s">
        <v>73</v>
      </c>
      <c r="B1232" t="str">
        <f>"301030"</f>
        <v>301030</v>
      </c>
      <c r="C1232" t="s">
        <v>2731</v>
      </c>
      <c r="D1232" t="s">
        <v>540</v>
      </c>
      <c r="E1232">
        <v>942119052</v>
      </c>
      <c r="F1232">
        <v>612301710</v>
      </c>
      <c r="P1232">
        <v>19</v>
      </c>
      <c r="Q1232" t="s">
        <v>2732</v>
      </c>
    </row>
    <row r="1233" spans="1:17" x14ac:dyDescent="0.3">
      <c r="A1233" t="s">
        <v>73</v>
      </c>
      <c r="B1233" t="str">
        <f>"300213"</f>
        <v>300213</v>
      </c>
      <c r="C1233" t="s">
        <v>2733</v>
      </c>
      <c r="D1233" t="s">
        <v>2542</v>
      </c>
      <c r="E1233">
        <v>941897200</v>
      </c>
      <c r="F1233">
        <v>856446434</v>
      </c>
      <c r="G1233">
        <v>767996096</v>
      </c>
      <c r="H1233">
        <v>888503904</v>
      </c>
      <c r="I1233">
        <v>763358309</v>
      </c>
      <c r="J1233">
        <v>580134489</v>
      </c>
      <c r="K1233">
        <v>422194060</v>
      </c>
      <c r="L1233">
        <v>464233902</v>
      </c>
      <c r="M1233">
        <v>201954747</v>
      </c>
      <c r="N1233">
        <v>202303505</v>
      </c>
      <c r="O1233">
        <v>126843039</v>
      </c>
      <c r="P1233">
        <v>188</v>
      </c>
      <c r="Q1233" t="s">
        <v>2734</v>
      </c>
    </row>
    <row r="1234" spans="1:17" x14ac:dyDescent="0.3">
      <c r="A1234" t="s">
        <v>73</v>
      </c>
      <c r="B1234" t="str">
        <f>"002149"</f>
        <v>002149</v>
      </c>
      <c r="C1234" t="s">
        <v>2735</v>
      </c>
      <c r="D1234" t="s">
        <v>1240</v>
      </c>
      <c r="E1234">
        <v>941307987</v>
      </c>
      <c r="F1234">
        <v>752641630</v>
      </c>
      <c r="G1234">
        <v>640813550</v>
      </c>
      <c r="H1234">
        <v>713989485</v>
      </c>
      <c r="I1234">
        <v>577482882</v>
      </c>
      <c r="J1234">
        <v>412830705</v>
      </c>
      <c r="K1234">
        <v>314577177</v>
      </c>
      <c r="L1234">
        <v>338280043</v>
      </c>
      <c r="M1234">
        <v>331841728</v>
      </c>
      <c r="N1234">
        <v>295623976</v>
      </c>
      <c r="O1234">
        <v>318447499</v>
      </c>
      <c r="P1234">
        <v>259</v>
      </c>
      <c r="Q1234" t="s">
        <v>2736</v>
      </c>
    </row>
    <row r="1235" spans="1:17" x14ac:dyDescent="0.3">
      <c r="A1235" t="s">
        <v>17</v>
      </c>
      <c r="B1235" t="str">
        <f>"600452"</f>
        <v>600452</v>
      </c>
      <c r="C1235" t="s">
        <v>2737</v>
      </c>
      <c r="D1235" t="s">
        <v>314</v>
      </c>
      <c r="E1235">
        <v>941248195</v>
      </c>
      <c r="F1235">
        <v>585645061</v>
      </c>
      <c r="G1235">
        <v>381836006</v>
      </c>
      <c r="H1235">
        <v>296970344</v>
      </c>
      <c r="I1235">
        <v>205772285</v>
      </c>
      <c r="J1235">
        <v>163710361</v>
      </c>
      <c r="K1235">
        <v>393617</v>
      </c>
      <c r="L1235">
        <v>493296</v>
      </c>
      <c r="M1235">
        <v>984085</v>
      </c>
      <c r="N1235">
        <v>4865477</v>
      </c>
      <c r="O1235">
        <v>4859997</v>
      </c>
      <c r="P1235">
        <v>4515</v>
      </c>
      <c r="Q1235" t="s">
        <v>2738</v>
      </c>
    </row>
    <row r="1236" spans="1:17" x14ac:dyDescent="0.3">
      <c r="A1236" t="s">
        <v>17</v>
      </c>
      <c r="B1236" t="str">
        <f>"605123"</f>
        <v>605123</v>
      </c>
      <c r="C1236" t="s">
        <v>2739</v>
      </c>
      <c r="D1236" t="s">
        <v>130</v>
      </c>
      <c r="E1236">
        <v>941125652</v>
      </c>
      <c r="F1236">
        <v>588362610</v>
      </c>
      <c r="P1236">
        <v>143</v>
      </c>
      <c r="Q1236" t="s">
        <v>2740</v>
      </c>
    </row>
    <row r="1237" spans="1:17" x14ac:dyDescent="0.3">
      <c r="A1237" t="s">
        <v>17</v>
      </c>
      <c r="B1237" t="str">
        <f>"600575"</f>
        <v>600575</v>
      </c>
      <c r="C1237" t="s">
        <v>2741</v>
      </c>
      <c r="D1237" t="s">
        <v>524</v>
      </c>
      <c r="E1237">
        <v>940746870</v>
      </c>
      <c r="F1237">
        <v>1179307733</v>
      </c>
      <c r="G1237">
        <v>803856589</v>
      </c>
      <c r="H1237">
        <v>1030281171</v>
      </c>
      <c r="I1237">
        <v>807761911</v>
      </c>
      <c r="J1237">
        <v>862678105</v>
      </c>
      <c r="K1237">
        <v>272058794</v>
      </c>
      <c r="L1237">
        <v>469767292</v>
      </c>
      <c r="M1237">
        <v>1444315717</v>
      </c>
      <c r="N1237">
        <v>2634971714</v>
      </c>
      <c r="O1237">
        <v>1861827484</v>
      </c>
      <c r="P1237">
        <v>118</v>
      </c>
      <c r="Q1237" t="s">
        <v>2742</v>
      </c>
    </row>
    <row r="1238" spans="1:17" x14ac:dyDescent="0.3">
      <c r="A1238" t="s">
        <v>73</v>
      </c>
      <c r="B1238" t="str">
        <f>"300121"</f>
        <v>300121</v>
      </c>
      <c r="C1238" t="s">
        <v>2743</v>
      </c>
      <c r="D1238" t="s">
        <v>2744</v>
      </c>
      <c r="E1238">
        <v>940561911</v>
      </c>
      <c r="F1238">
        <v>585983582</v>
      </c>
      <c r="G1238">
        <v>451024831</v>
      </c>
      <c r="H1238">
        <v>509722063</v>
      </c>
      <c r="I1238">
        <v>512268895</v>
      </c>
      <c r="J1238">
        <v>392975163</v>
      </c>
      <c r="K1238">
        <v>296525480</v>
      </c>
      <c r="L1238">
        <v>258599258</v>
      </c>
      <c r="M1238">
        <v>201024446</v>
      </c>
      <c r="N1238">
        <v>123098531</v>
      </c>
      <c r="O1238">
        <v>84253530</v>
      </c>
      <c r="P1238">
        <v>353</v>
      </c>
      <c r="Q1238" t="s">
        <v>2745</v>
      </c>
    </row>
    <row r="1239" spans="1:17" x14ac:dyDescent="0.3">
      <c r="A1239" t="s">
        <v>17</v>
      </c>
      <c r="B1239" t="str">
        <f>"603730"</f>
        <v>603730</v>
      </c>
      <c r="C1239" t="s">
        <v>2746</v>
      </c>
      <c r="D1239" t="s">
        <v>106</v>
      </c>
      <c r="E1239">
        <v>940373032</v>
      </c>
      <c r="F1239">
        <v>1031864516</v>
      </c>
      <c r="G1239">
        <v>871155411</v>
      </c>
      <c r="H1239">
        <v>939739791</v>
      </c>
      <c r="I1239">
        <v>717991761</v>
      </c>
      <c r="J1239">
        <v>567027415</v>
      </c>
      <c r="P1239">
        <v>522</v>
      </c>
      <c r="Q1239" t="s">
        <v>2747</v>
      </c>
    </row>
    <row r="1240" spans="1:17" x14ac:dyDescent="0.3">
      <c r="A1240" t="s">
        <v>73</v>
      </c>
      <c r="B1240" t="str">
        <f>"000785"</f>
        <v>000785</v>
      </c>
      <c r="C1240" t="s">
        <v>2748</v>
      </c>
      <c r="D1240" t="s">
        <v>1463</v>
      </c>
      <c r="E1240">
        <v>939715173</v>
      </c>
      <c r="F1240">
        <v>1053212782</v>
      </c>
      <c r="G1240">
        <v>1643785133</v>
      </c>
      <c r="H1240">
        <v>105781447</v>
      </c>
      <c r="I1240">
        <v>84902423</v>
      </c>
      <c r="J1240">
        <v>62126260</v>
      </c>
      <c r="K1240">
        <v>47441542</v>
      </c>
      <c r="L1240">
        <v>46343572</v>
      </c>
      <c r="M1240">
        <v>22235987</v>
      </c>
      <c r="N1240">
        <v>14670906</v>
      </c>
      <c r="O1240">
        <v>3379090</v>
      </c>
      <c r="P1240">
        <v>333</v>
      </c>
      <c r="Q1240" t="s">
        <v>2749</v>
      </c>
    </row>
    <row r="1241" spans="1:17" x14ac:dyDescent="0.3">
      <c r="A1241" t="s">
        <v>73</v>
      </c>
      <c r="B1241" t="str">
        <f>"002838"</f>
        <v>002838</v>
      </c>
      <c r="C1241" t="s">
        <v>2750</v>
      </c>
      <c r="D1241" t="s">
        <v>570</v>
      </c>
      <c r="E1241">
        <v>939132862</v>
      </c>
      <c r="F1241">
        <v>598621900</v>
      </c>
      <c r="G1241">
        <v>425319116</v>
      </c>
      <c r="H1241">
        <v>0</v>
      </c>
      <c r="I1241">
        <v>247524055</v>
      </c>
      <c r="J1241">
        <v>196435287</v>
      </c>
      <c r="P1241">
        <v>614</v>
      </c>
      <c r="Q1241" t="s">
        <v>2751</v>
      </c>
    </row>
    <row r="1242" spans="1:17" x14ac:dyDescent="0.3">
      <c r="A1242" t="s">
        <v>73</v>
      </c>
      <c r="B1242" t="str">
        <f>"300319"</f>
        <v>300319</v>
      </c>
      <c r="C1242" t="s">
        <v>2752</v>
      </c>
      <c r="D1242" t="s">
        <v>1944</v>
      </c>
      <c r="E1242">
        <v>938510568</v>
      </c>
      <c r="F1242">
        <v>761234107</v>
      </c>
      <c r="G1242">
        <v>498349379</v>
      </c>
      <c r="H1242">
        <v>503660335</v>
      </c>
      <c r="I1242">
        <v>481903224</v>
      </c>
      <c r="J1242">
        <v>230326515</v>
      </c>
      <c r="K1242">
        <v>261040229</v>
      </c>
      <c r="L1242">
        <v>78113243</v>
      </c>
      <c r="M1242">
        <v>60724850</v>
      </c>
      <c r="N1242">
        <v>44274050</v>
      </c>
      <c r="O1242">
        <v>33199286</v>
      </c>
      <c r="P1242">
        <v>3161</v>
      </c>
      <c r="Q1242" t="s">
        <v>2753</v>
      </c>
    </row>
    <row r="1243" spans="1:17" x14ac:dyDescent="0.3">
      <c r="A1243" t="s">
        <v>73</v>
      </c>
      <c r="B1243" t="str">
        <f>"300867"</f>
        <v>300867</v>
      </c>
      <c r="C1243" t="s">
        <v>2754</v>
      </c>
      <c r="D1243" t="s">
        <v>623</v>
      </c>
      <c r="E1243">
        <v>938223507</v>
      </c>
      <c r="F1243">
        <v>519099262</v>
      </c>
      <c r="P1243">
        <v>103</v>
      </c>
      <c r="Q1243" t="s">
        <v>2755</v>
      </c>
    </row>
    <row r="1244" spans="1:17" x14ac:dyDescent="0.3">
      <c r="A1244" t="s">
        <v>17</v>
      </c>
      <c r="B1244" t="str">
        <f>"600261"</f>
        <v>600261</v>
      </c>
      <c r="C1244" t="s">
        <v>2756</v>
      </c>
      <c r="D1244" t="s">
        <v>1424</v>
      </c>
      <c r="E1244">
        <v>937484142</v>
      </c>
      <c r="F1244">
        <v>971609597</v>
      </c>
      <c r="G1244">
        <v>1058968207</v>
      </c>
      <c r="H1244">
        <v>1255491187</v>
      </c>
      <c r="I1244">
        <v>1345763133</v>
      </c>
      <c r="J1244">
        <v>1231179998</v>
      </c>
      <c r="K1244">
        <v>1024797788</v>
      </c>
      <c r="L1244">
        <v>912179917</v>
      </c>
      <c r="M1244">
        <v>732184964</v>
      </c>
      <c r="N1244">
        <v>777903343</v>
      </c>
      <c r="O1244">
        <v>734251822</v>
      </c>
      <c r="P1244">
        <v>440</v>
      </c>
      <c r="Q1244" t="s">
        <v>2757</v>
      </c>
    </row>
    <row r="1245" spans="1:17" x14ac:dyDescent="0.3">
      <c r="A1245" t="s">
        <v>73</v>
      </c>
      <c r="B1245" t="str">
        <f>"300888"</f>
        <v>300888</v>
      </c>
      <c r="C1245" t="s">
        <v>2758</v>
      </c>
      <c r="D1245" t="s">
        <v>2759</v>
      </c>
      <c r="E1245">
        <v>934459143</v>
      </c>
      <c r="F1245">
        <v>887026345</v>
      </c>
      <c r="P1245">
        <v>457</v>
      </c>
      <c r="Q1245" t="s">
        <v>2760</v>
      </c>
    </row>
    <row r="1246" spans="1:17" x14ac:dyDescent="0.3">
      <c r="A1246" t="s">
        <v>17</v>
      </c>
      <c r="B1246" t="str">
        <f>"603639"</f>
        <v>603639</v>
      </c>
      <c r="C1246" t="s">
        <v>2761</v>
      </c>
      <c r="D1246" t="s">
        <v>272</v>
      </c>
      <c r="E1246">
        <v>932208533</v>
      </c>
      <c r="F1246">
        <v>672722946</v>
      </c>
      <c r="G1246">
        <v>676593355</v>
      </c>
      <c r="H1246">
        <v>548147907</v>
      </c>
      <c r="I1246">
        <v>390422935</v>
      </c>
      <c r="J1246">
        <v>146138211</v>
      </c>
      <c r="P1246">
        <v>1565</v>
      </c>
      <c r="Q1246" t="s">
        <v>2762</v>
      </c>
    </row>
    <row r="1247" spans="1:17" x14ac:dyDescent="0.3">
      <c r="A1247" t="s">
        <v>73</v>
      </c>
      <c r="B1247" t="str">
        <f>"002132"</f>
        <v>002132</v>
      </c>
      <c r="C1247" t="s">
        <v>2763</v>
      </c>
      <c r="D1247" t="s">
        <v>146</v>
      </c>
      <c r="E1247">
        <v>932112229</v>
      </c>
      <c r="F1247">
        <v>863780679</v>
      </c>
      <c r="G1247">
        <v>789087540</v>
      </c>
      <c r="H1247">
        <v>857654914</v>
      </c>
      <c r="I1247">
        <v>814492994</v>
      </c>
      <c r="J1247">
        <v>724055191</v>
      </c>
      <c r="K1247">
        <v>599201545</v>
      </c>
      <c r="L1247">
        <v>594542876</v>
      </c>
      <c r="M1247">
        <v>534919172</v>
      </c>
      <c r="N1247">
        <v>558496246</v>
      </c>
      <c r="O1247">
        <v>561070517</v>
      </c>
      <c r="P1247">
        <v>127</v>
      </c>
      <c r="Q1247" t="s">
        <v>2764</v>
      </c>
    </row>
    <row r="1248" spans="1:17" x14ac:dyDescent="0.3">
      <c r="A1248" t="s">
        <v>17</v>
      </c>
      <c r="B1248" t="str">
        <f>"600718"</f>
        <v>600718</v>
      </c>
      <c r="C1248" t="s">
        <v>2765</v>
      </c>
      <c r="D1248" t="s">
        <v>302</v>
      </c>
      <c r="E1248">
        <v>931986204</v>
      </c>
      <c r="F1248">
        <v>1214428903</v>
      </c>
      <c r="G1248">
        <v>1483430474</v>
      </c>
      <c r="H1248">
        <v>1958423627</v>
      </c>
      <c r="I1248">
        <v>1818606983</v>
      </c>
      <c r="J1248">
        <v>1604021316</v>
      </c>
      <c r="K1248">
        <v>2427246697</v>
      </c>
      <c r="L1248">
        <v>2055377745</v>
      </c>
      <c r="M1248">
        <v>2126771266</v>
      </c>
      <c r="N1248">
        <v>1520727893</v>
      </c>
      <c r="O1248">
        <v>1311953879</v>
      </c>
      <c r="P1248">
        <v>396</v>
      </c>
      <c r="Q1248" t="s">
        <v>2766</v>
      </c>
    </row>
    <row r="1249" spans="1:17" x14ac:dyDescent="0.3">
      <c r="A1249" t="s">
        <v>17</v>
      </c>
      <c r="B1249" t="str">
        <f>"600178"</f>
        <v>600178</v>
      </c>
      <c r="C1249" t="s">
        <v>2767</v>
      </c>
      <c r="D1249" t="s">
        <v>122</v>
      </c>
      <c r="E1249">
        <v>931655119</v>
      </c>
      <c r="F1249">
        <v>1134010138</v>
      </c>
      <c r="G1249">
        <v>368570926</v>
      </c>
      <c r="H1249">
        <v>364132901</v>
      </c>
      <c r="I1249">
        <v>368443933</v>
      </c>
      <c r="J1249">
        <v>745223607</v>
      </c>
      <c r="K1249">
        <v>796457423</v>
      </c>
      <c r="L1249">
        <v>352158570</v>
      </c>
      <c r="M1249">
        <v>397058729</v>
      </c>
      <c r="N1249">
        <v>633683724</v>
      </c>
      <c r="O1249">
        <v>650222900</v>
      </c>
      <c r="P1249">
        <v>119</v>
      </c>
      <c r="Q1249" t="s">
        <v>2768</v>
      </c>
    </row>
    <row r="1250" spans="1:17" x14ac:dyDescent="0.3">
      <c r="A1250" t="s">
        <v>17</v>
      </c>
      <c r="B1250" t="str">
        <f>"600449"</f>
        <v>600449</v>
      </c>
      <c r="C1250" t="s">
        <v>2769</v>
      </c>
      <c r="D1250" t="s">
        <v>90</v>
      </c>
      <c r="E1250">
        <v>930361778</v>
      </c>
      <c r="F1250">
        <v>545991803</v>
      </c>
      <c r="G1250">
        <v>502239093</v>
      </c>
      <c r="H1250">
        <v>651879981</v>
      </c>
      <c r="I1250">
        <v>599496694</v>
      </c>
      <c r="J1250">
        <v>798301439</v>
      </c>
      <c r="K1250">
        <v>803092271</v>
      </c>
      <c r="L1250">
        <v>828880828</v>
      </c>
      <c r="M1250">
        <v>884362432</v>
      </c>
      <c r="N1250">
        <v>616324970</v>
      </c>
      <c r="O1250">
        <v>349153468</v>
      </c>
      <c r="P1250">
        <v>558</v>
      </c>
      <c r="Q1250" t="s">
        <v>2770</v>
      </c>
    </row>
    <row r="1251" spans="1:17" x14ac:dyDescent="0.3">
      <c r="A1251" t="s">
        <v>17</v>
      </c>
      <c r="B1251" t="str">
        <f>"603328"</f>
        <v>603328</v>
      </c>
      <c r="C1251" t="s">
        <v>2771</v>
      </c>
      <c r="D1251" t="s">
        <v>418</v>
      </c>
      <c r="E1251">
        <v>930355857</v>
      </c>
      <c r="F1251">
        <v>830472758</v>
      </c>
      <c r="G1251">
        <v>798507364</v>
      </c>
      <c r="H1251">
        <v>1021684350</v>
      </c>
      <c r="I1251">
        <v>918542213</v>
      </c>
      <c r="J1251">
        <v>916699290</v>
      </c>
      <c r="K1251">
        <v>828243854</v>
      </c>
      <c r="L1251">
        <v>797707259</v>
      </c>
      <c r="M1251">
        <v>0</v>
      </c>
      <c r="N1251">
        <v>0</v>
      </c>
      <c r="P1251">
        <v>590</v>
      </c>
      <c r="Q1251" t="s">
        <v>2772</v>
      </c>
    </row>
    <row r="1252" spans="1:17" x14ac:dyDescent="0.3">
      <c r="A1252" t="s">
        <v>73</v>
      </c>
      <c r="B1252" t="str">
        <f>"002563"</f>
        <v>002563</v>
      </c>
      <c r="C1252" t="s">
        <v>2773</v>
      </c>
      <c r="D1252" t="s">
        <v>991</v>
      </c>
      <c r="E1252">
        <v>928317008</v>
      </c>
      <c r="F1252">
        <v>1066091705</v>
      </c>
      <c r="G1252">
        <v>1811416974</v>
      </c>
      <c r="H1252">
        <v>1764508866</v>
      </c>
      <c r="I1252">
        <v>1102659350</v>
      </c>
      <c r="J1252">
        <v>1336813989</v>
      </c>
      <c r="K1252">
        <v>1258106944</v>
      </c>
      <c r="L1252">
        <v>576085770</v>
      </c>
      <c r="M1252">
        <v>463949812</v>
      </c>
      <c r="N1252">
        <v>423551883</v>
      </c>
      <c r="O1252">
        <v>424401002</v>
      </c>
      <c r="P1252">
        <v>904</v>
      </c>
      <c r="Q1252" t="s">
        <v>2774</v>
      </c>
    </row>
    <row r="1253" spans="1:17" x14ac:dyDescent="0.3">
      <c r="A1253" t="s">
        <v>73</v>
      </c>
      <c r="B1253" t="str">
        <f>"002957"</f>
        <v>002957</v>
      </c>
      <c r="C1253" t="s">
        <v>2775</v>
      </c>
      <c r="D1253" t="s">
        <v>626</v>
      </c>
      <c r="E1253">
        <v>928224536</v>
      </c>
      <c r="F1253">
        <v>996553701</v>
      </c>
      <c r="G1253">
        <v>620299276</v>
      </c>
      <c r="H1253">
        <v>0</v>
      </c>
      <c r="P1253">
        <v>182</v>
      </c>
      <c r="Q1253" t="s">
        <v>2776</v>
      </c>
    </row>
    <row r="1254" spans="1:17" x14ac:dyDescent="0.3">
      <c r="A1254" t="s">
        <v>73</v>
      </c>
      <c r="B1254" t="str">
        <f>"300747"</f>
        <v>300747</v>
      </c>
      <c r="C1254" t="s">
        <v>2777</v>
      </c>
      <c r="D1254" t="s">
        <v>499</v>
      </c>
      <c r="E1254">
        <v>927731682</v>
      </c>
      <c r="F1254">
        <v>792119434</v>
      </c>
      <c r="G1254">
        <v>479503343</v>
      </c>
      <c r="H1254">
        <v>419214123</v>
      </c>
      <c r="I1254">
        <v>0</v>
      </c>
      <c r="P1254">
        <v>3347</v>
      </c>
      <c r="Q1254" t="s">
        <v>2778</v>
      </c>
    </row>
    <row r="1255" spans="1:17" x14ac:dyDescent="0.3">
      <c r="A1255" t="s">
        <v>17</v>
      </c>
      <c r="B1255" t="str">
        <f>"603305"</f>
        <v>603305</v>
      </c>
      <c r="C1255" t="s">
        <v>2779</v>
      </c>
      <c r="D1255" t="s">
        <v>122</v>
      </c>
      <c r="E1255">
        <v>927060247</v>
      </c>
      <c r="F1255">
        <v>465108457</v>
      </c>
      <c r="G1255">
        <v>281598428</v>
      </c>
      <c r="H1255">
        <v>275500970</v>
      </c>
      <c r="I1255">
        <v>186680618</v>
      </c>
      <c r="J1255">
        <v>0</v>
      </c>
      <c r="P1255">
        <v>506</v>
      </c>
      <c r="Q1255" t="s">
        <v>2780</v>
      </c>
    </row>
    <row r="1256" spans="1:17" x14ac:dyDescent="0.3">
      <c r="A1256" t="s">
        <v>73</v>
      </c>
      <c r="B1256" t="str">
        <f>"300762"</f>
        <v>300762</v>
      </c>
      <c r="C1256" t="s">
        <v>2781</v>
      </c>
      <c r="D1256" t="s">
        <v>502</v>
      </c>
      <c r="E1256">
        <v>926237715</v>
      </c>
      <c r="F1256">
        <v>790776181</v>
      </c>
      <c r="G1256">
        <v>287099287</v>
      </c>
      <c r="H1256">
        <v>584465011</v>
      </c>
      <c r="I1256">
        <v>0</v>
      </c>
      <c r="J1256">
        <v>283746917</v>
      </c>
      <c r="P1256">
        <v>181</v>
      </c>
      <c r="Q1256" t="s">
        <v>2782</v>
      </c>
    </row>
    <row r="1257" spans="1:17" x14ac:dyDescent="0.3">
      <c r="A1257" t="s">
        <v>17</v>
      </c>
      <c r="B1257" t="str">
        <f>"688590"</f>
        <v>688590</v>
      </c>
      <c r="C1257" t="s">
        <v>2783</v>
      </c>
      <c r="D1257" t="s">
        <v>795</v>
      </c>
      <c r="E1257">
        <v>924845072</v>
      </c>
      <c r="F1257">
        <v>828781728</v>
      </c>
      <c r="P1257">
        <v>29</v>
      </c>
      <c r="Q1257" t="s">
        <v>2784</v>
      </c>
    </row>
    <row r="1258" spans="1:17" x14ac:dyDescent="0.3">
      <c r="A1258" t="s">
        <v>73</v>
      </c>
      <c r="B1258" t="str">
        <f>"002675"</f>
        <v>002675</v>
      </c>
      <c r="C1258" t="s">
        <v>2785</v>
      </c>
      <c r="D1258" t="s">
        <v>348</v>
      </c>
      <c r="E1258">
        <v>924230159</v>
      </c>
      <c r="F1258">
        <v>1029148969</v>
      </c>
      <c r="G1258">
        <v>981265037</v>
      </c>
      <c r="H1258">
        <v>872564853</v>
      </c>
      <c r="I1258">
        <v>601084830</v>
      </c>
      <c r="J1258">
        <v>555013801</v>
      </c>
      <c r="K1258">
        <v>348626617</v>
      </c>
      <c r="L1258">
        <v>182859320</v>
      </c>
      <c r="M1258">
        <v>144898764</v>
      </c>
      <c r="N1258">
        <v>120911059</v>
      </c>
      <c r="O1258">
        <v>85161596</v>
      </c>
      <c r="P1258">
        <v>365</v>
      </c>
      <c r="Q1258" t="s">
        <v>2786</v>
      </c>
    </row>
    <row r="1259" spans="1:17" x14ac:dyDescent="0.3">
      <c r="A1259" t="s">
        <v>73</v>
      </c>
      <c r="B1259" t="str">
        <f>"000837"</f>
        <v>000837</v>
      </c>
      <c r="C1259" t="s">
        <v>2787</v>
      </c>
      <c r="D1259" t="s">
        <v>2332</v>
      </c>
      <c r="E1259">
        <v>921007347</v>
      </c>
      <c r="F1259">
        <v>949899549</v>
      </c>
      <c r="G1259">
        <v>786687959</v>
      </c>
      <c r="H1259">
        <v>896401687</v>
      </c>
      <c r="I1259">
        <v>785441442</v>
      </c>
      <c r="J1259">
        <v>842848269</v>
      </c>
      <c r="K1259">
        <v>743843078</v>
      </c>
      <c r="L1259">
        <v>792790960</v>
      </c>
      <c r="M1259">
        <v>268875736</v>
      </c>
      <c r="N1259">
        <v>252833657</v>
      </c>
      <c r="O1259">
        <v>175666334</v>
      </c>
      <c r="P1259">
        <v>129</v>
      </c>
      <c r="Q1259" t="s">
        <v>2788</v>
      </c>
    </row>
    <row r="1260" spans="1:17" x14ac:dyDescent="0.3">
      <c r="A1260" t="s">
        <v>17</v>
      </c>
      <c r="B1260" t="str">
        <f>"603927"</f>
        <v>603927</v>
      </c>
      <c r="C1260" t="s">
        <v>2789</v>
      </c>
      <c r="D1260" t="s">
        <v>795</v>
      </c>
      <c r="E1260">
        <v>919117631</v>
      </c>
      <c r="F1260">
        <v>868643478</v>
      </c>
      <c r="G1260">
        <v>1264020361</v>
      </c>
      <c r="H1260">
        <v>1631095052</v>
      </c>
      <c r="I1260">
        <v>1511139018</v>
      </c>
      <c r="P1260">
        <v>821</v>
      </c>
      <c r="Q1260" t="s">
        <v>2790</v>
      </c>
    </row>
    <row r="1261" spans="1:17" x14ac:dyDescent="0.3">
      <c r="A1261" t="s">
        <v>73</v>
      </c>
      <c r="B1261" t="str">
        <f>"300324"</f>
        <v>300324</v>
      </c>
      <c r="C1261" t="s">
        <v>2791</v>
      </c>
      <c r="D1261" t="s">
        <v>158</v>
      </c>
      <c r="E1261">
        <v>918207337</v>
      </c>
      <c r="F1261">
        <v>996852640</v>
      </c>
      <c r="G1261">
        <v>865990626</v>
      </c>
      <c r="H1261">
        <v>1165788958</v>
      </c>
      <c r="I1261">
        <v>964484746</v>
      </c>
      <c r="J1261">
        <v>715269535</v>
      </c>
      <c r="K1261">
        <v>238532268</v>
      </c>
      <c r="L1261">
        <v>180711537</v>
      </c>
      <c r="M1261">
        <v>84824439</v>
      </c>
      <c r="N1261">
        <v>69135655</v>
      </c>
      <c r="O1261">
        <v>79189959</v>
      </c>
      <c r="P1261">
        <v>235</v>
      </c>
      <c r="Q1261" t="s">
        <v>2792</v>
      </c>
    </row>
    <row r="1262" spans="1:17" x14ac:dyDescent="0.3">
      <c r="A1262" t="s">
        <v>73</v>
      </c>
      <c r="B1262" t="str">
        <f>"002452"</f>
        <v>002452</v>
      </c>
      <c r="C1262" t="s">
        <v>2793</v>
      </c>
      <c r="D1262" t="s">
        <v>224</v>
      </c>
      <c r="E1262">
        <v>917706367</v>
      </c>
      <c r="F1262">
        <v>866261539</v>
      </c>
      <c r="G1262">
        <v>745213264</v>
      </c>
      <c r="H1262">
        <v>0</v>
      </c>
      <c r="I1262">
        <v>558834476</v>
      </c>
      <c r="J1262">
        <v>499571892</v>
      </c>
      <c r="K1262">
        <v>342663341</v>
      </c>
      <c r="L1262">
        <v>286200991</v>
      </c>
      <c r="M1262">
        <v>285538204</v>
      </c>
      <c r="N1262">
        <v>234014184</v>
      </c>
      <c r="O1262">
        <v>204701274</v>
      </c>
      <c r="P1262">
        <v>173</v>
      </c>
      <c r="Q1262" t="s">
        <v>2794</v>
      </c>
    </row>
    <row r="1263" spans="1:17" x14ac:dyDescent="0.3">
      <c r="A1263" t="s">
        <v>17</v>
      </c>
      <c r="B1263" t="str">
        <f>"600308"</f>
        <v>600308</v>
      </c>
      <c r="C1263" t="s">
        <v>2795</v>
      </c>
      <c r="D1263" t="s">
        <v>644</v>
      </c>
      <c r="E1263">
        <v>917242792</v>
      </c>
      <c r="F1263">
        <v>799706805</v>
      </c>
      <c r="G1263">
        <v>1026813540</v>
      </c>
      <c r="H1263">
        <v>1002544511</v>
      </c>
      <c r="I1263">
        <v>1151628492</v>
      </c>
      <c r="J1263">
        <v>1335937393</v>
      </c>
      <c r="K1263">
        <v>1578459698</v>
      </c>
      <c r="L1263">
        <v>1673222236</v>
      </c>
      <c r="M1263">
        <v>1372592528</v>
      </c>
      <c r="N1263">
        <v>1218163317</v>
      </c>
      <c r="O1263">
        <v>1234412113</v>
      </c>
      <c r="P1263">
        <v>644</v>
      </c>
      <c r="Q1263" t="s">
        <v>2796</v>
      </c>
    </row>
    <row r="1264" spans="1:17" x14ac:dyDescent="0.3">
      <c r="A1264" t="s">
        <v>73</v>
      </c>
      <c r="B1264" t="str">
        <f>"300062"</f>
        <v>300062</v>
      </c>
      <c r="C1264" t="s">
        <v>2797</v>
      </c>
      <c r="D1264" t="s">
        <v>224</v>
      </c>
      <c r="E1264">
        <v>916715752</v>
      </c>
      <c r="F1264">
        <v>752808064</v>
      </c>
      <c r="G1264">
        <v>539430715</v>
      </c>
      <c r="H1264">
        <v>671723614</v>
      </c>
      <c r="I1264">
        <v>638014709</v>
      </c>
      <c r="J1264">
        <v>498839630</v>
      </c>
      <c r="K1264">
        <v>1158176645</v>
      </c>
      <c r="L1264">
        <v>265201538</v>
      </c>
      <c r="M1264">
        <v>279670144</v>
      </c>
      <c r="N1264">
        <v>216405011</v>
      </c>
      <c r="O1264">
        <v>177023785</v>
      </c>
      <c r="P1264">
        <v>125</v>
      </c>
      <c r="Q1264" t="s">
        <v>2798</v>
      </c>
    </row>
    <row r="1265" spans="1:17" x14ac:dyDescent="0.3">
      <c r="A1265" t="s">
        <v>73</v>
      </c>
      <c r="B1265" t="str">
        <f>"002009"</f>
        <v>002009</v>
      </c>
      <c r="C1265" t="s">
        <v>2799</v>
      </c>
      <c r="D1265" t="s">
        <v>1451</v>
      </c>
      <c r="E1265">
        <v>913254752</v>
      </c>
      <c r="F1265">
        <v>1003917132</v>
      </c>
      <c r="G1265">
        <v>1066690973</v>
      </c>
      <c r="H1265">
        <v>1412610828</v>
      </c>
      <c r="I1265">
        <v>1089004804</v>
      </c>
      <c r="J1265">
        <v>1067462694</v>
      </c>
      <c r="K1265">
        <v>873698741</v>
      </c>
      <c r="L1265">
        <v>915823111</v>
      </c>
      <c r="M1265">
        <v>663294147</v>
      </c>
      <c r="N1265">
        <v>628381201</v>
      </c>
      <c r="O1265">
        <v>677010606</v>
      </c>
      <c r="P1265">
        <v>148</v>
      </c>
      <c r="Q1265" t="s">
        <v>2800</v>
      </c>
    </row>
    <row r="1266" spans="1:17" x14ac:dyDescent="0.3">
      <c r="A1266" t="s">
        <v>17</v>
      </c>
      <c r="B1266" t="str">
        <f>"603359"</f>
        <v>603359</v>
      </c>
      <c r="C1266" t="s">
        <v>2801</v>
      </c>
      <c r="D1266" t="s">
        <v>445</v>
      </c>
      <c r="E1266">
        <v>912719481</v>
      </c>
      <c r="F1266">
        <v>748667314</v>
      </c>
      <c r="G1266">
        <v>721488069</v>
      </c>
      <c r="H1266">
        <v>517855075</v>
      </c>
      <c r="I1266">
        <v>848167544</v>
      </c>
      <c r="J1266">
        <v>832607306</v>
      </c>
      <c r="P1266">
        <v>187</v>
      </c>
      <c r="Q1266" t="s">
        <v>2802</v>
      </c>
    </row>
    <row r="1267" spans="1:17" x14ac:dyDescent="0.3">
      <c r="A1267" t="s">
        <v>17</v>
      </c>
      <c r="B1267" t="str">
        <f>"603126"</f>
        <v>603126</v>
      </c>
      <c r="C1267" t="s">
        <v>2803</v>
      </c>
      <c r="D1267" t="s">
        <v>623</v>
      </c>
      <c r="E1267">
        <v>911554574</v>
      </c>
      <c r="F1267">
        <v>748111899</v>
      </c>
      <c r="G1267">
        <v>631370534</v>
      </c>
      <c r="H1267">
        <v>550828932</v>
      </c>
      <c r="I1267">
        <v>513967711</v>
      </c>
      <c r="J1267">
        <v>537704918</v>
      </c>
      <c r="K1267">
        <v>489841511</v>
      </c>
      <c r="L1267">
        <v>491983767</v>
      </c>
      <c r="M1267">
        <v>0</v>
      </c>
      <c r="N1267">
        <v>0</v>
      </c>
      <c r="P1267">
        <v>196</v>
      </c>
      <c r="Q1267" t="s">
        <v>2804</v>
      </c>
    </row>
    <row r="1268" spans="1:17" x14ac:dyDescent="0.3">
      <c r="A1268" t="s">
        <v>17</v>
      </c>
      <c r="B1268" t="str">
        <f>"601500"</f>
        <v>601500</v>
      </c>
      <c r="C1268" t="s">
        <v>2805</v>
      </c>
      <c r="D1268" t="s">
        <v>781</v>
      </c>
      <c r="E1268">
        <v>910074818</v>
      </c>
      <c r="F1268">
        <v>670674868</v>
      </c>
      <c r="G1268">
        <v>556182976</v>
      </c>
      <c r="H1268">
        <v>473381964</v>
      </c>
      <c r="I1268">
        <v>339154867</v>
      </c>
      <c r="J1268">
        <v>351387075</v>
      </c>
      <c r="P1268">
        <v>85</v>
      </c>
      <c r="Q1268" t="s">
        <v>2806</v>
      </c>
    </row>
    <row r="1269" spans="1:17" x14ac:dyDescent="0.3">
      <c r="A1269" t="s">
        <v>17</v>
      </c>
      <c r="B1269" t="str">
        <f>"600933"</f>
        <v>600933</v>
      </c>
      <c r="C1269" t="s">
        <v>2807</v>
      </c>
      <c r="D1269" t="s">
        <v>122</v>
      </c>
      <c r="E1269">
        <v>908970021</v>
      </c>
      <c r="F1269">
        <v>785426980</v>
      </c>
      <c r="G1269">
        <v>550521789</v>
      </c>
      <c r="H1269">
        <v>562143005</v>
      </c>
      <c r="I1269">
        <v>566701186</v>
      </c>
      <c r="J1269">
        <v>0</v>
      </c>
      <c r="P1269">
        <v>176</v>
      </c>
      <c r="Q1269" t="s">
        <v>2808</v>
      </c>
    </row>
    <row r="1270" spans="1:17" x14ac:dyDescent="0.3">
      <c r="A1270" t="s">
        <v>73</v>
      </c>
      <c r="B1270" t="str">
        <f>"300377"</f>
        <v>300377</v>
      </c>
      <c r="C1270" t="s">
        <v>2809</v>
      </c>
      <c r="D1270" t="s">
        <v>795</v>
      </c>
      <c r="E1270">
        <v>908482329</v>
      </c>
      <c r="F1270">
        <v>790024665</v>
      </c>
      <c r="G1270">
        <v>771616865</v>
      </c>
      <c r="H1270">
        <v>649400555</v>
      </c>
      <c r="I1270">
        <v>442284672</v>
      </c>
      <c r="J1270">
        <v>208747354</v>
      </c>
      <c r="K1270">
        <v>140681688</v>
      </c>
      <c r="L1270">
        <v>124391459</v>
      </c>
      <c r="M1270">
        <v>105824397</v>
      </c>
      <c r="N1270">
        <v>0</v>
      </c>
      <c r="P1270">
        <v>3125</v>
      </c>
      <c r="Q1270" t="s">
        <v>2810</v>
      </c>
    </row>
    <row r="1271" spans="1:17" x14ac:dyDescent="0.3">
      <c r="A1271" t="s">
        <v>17</v>
      </c>
      <c r="B1271" t="str">
        <f>"603077"</f>
        <v>603077</v>
      </c>
      <c r="C1271" t="s">
        <v>2811</v>
      </c>
      <c r="D1271" t="s">
        <v>2812</v>
      </c>
      <c r="E1271">
        <v>908124031</v>
      </c>
      <c r="F1271">
        <v>543822922</v>
      </c>
      <c r="G1271">
        <v>613577989</v>
      </c>
      <c r="H1271">
        <v>656585843</v>
      </c>
      <c r="I1271">
        <v>810259765</v>
      </c>
      <c r="J1271">
        <v>767922234</v>
      </c>
      <c r="K1271">
        <v>637277342</v>
      </c>
      <c r="L1271">
        <v>487248634</v>
      </c>
      <c r="M1271">
        <v>376774742</v>
      </c>
      <c r="N1271">
        <v>176963565</v>
      </c>
      <c r="O1271">
        <v>0</v>
      </c>
      <c r="P1271">
        <v>265</v>
      </c>
      <c r="Q1271" t="s">
        <v>2813</v>
      </c>
    </row>
    <row r="1272" spans="1:17" x14ac:dyDescent="0.3">
      <c r="A1272" t="s">
        <v>73</v>
      </c>
      <c r="B1272" t="str">
        <f>"002442"</f>
        <v>002442</v>
      </c>
      <c r="C1272" t="s">
        <v>2814</v>
      </c>
      <c r="D1272" t="s">
        <v>1698</v>
      </c>
      <c r="E1272">
        <v>907818234</v>
      </c>
      <c r="F1272">
        <v>681195665</v>
      </c>
      <c r="G1272">
        <v>447964467</v>
      </c>
      <c r="H1272">
        <v>651114715</v>
      </c>
      <c r="I1272">
        <v>598869240</v>
      </c>
      <c r="J1272">
        <v>500425264</v>
      </c>
      <c r="K1272">
        <v>493563394</v>
      </c>
      <c r="L1272">
        <v>531363844</v>
      </c>
      <c r="M1272">
        <v>471247852</v>
      </c>
      <c r="N1272">
        <v>474299812</v>
      </c>
      <c r="O1272">
        <v>456182052</v>
      </c>
      <c r="P1272">
        <v>105</v>
      </c>
      <c r="Q1272" t="s">
        <v>2815</v>
      </c>
    </row>
    <row r="1273" spans="1:17" x14ac:dyDescent="0.3">
      <c r="A1273" t="s">
        <v>17</v>
      </c>
      <c r="B1273" t="str">
        <f>"603385"</f>
        <v>603385</v>
      </c>
      <c r="C1273" t="s">
        <v>2816</v>
      </c>
      <c r="D1273" t="s">
        <v>2817</v>
      </c>
      <c r="E1273">
        <v>907347349</v>
      </c>
      <c r="F1273">
        <v>689627371</v>
      </c>
      <c r="G1273">
        <v>601044897</v>
      </c>
      <c r="H1273">
        <v>555698147</v>
      </c>
      <c r="I1273">
        <v>457135609</v>
      </c>
      <c r="J1273">
        <v>386185705</v>
      </c>
      <c r="P1273">
        <v>192</v>
      </c>
      <c r="Q1273" t="s">
        <v>2818</v>
      </c>
    </row>
    <row r="1274" spans="1:17" x14ac:dyDescent="0.3">
      <c r="A1274" t="s">
        <v>73</v>
      </c>
      <c r="B1274" t="str">
        <f>"002733"</f>
        <v>002733</v>
      </c>
      <c r="C1274" t="s">
        <v>2819</v>
      </c>
      <c r="D1274" t="s">
        <v>1711</v>
      </c>
      <c r="E1274">
        <v>907194436</v>
      </c>
      <c r="F1274">
        <v>908131832</v>
      </c>
      <c r="G1274">
        <v>922415317</v>
      </c>
      <c r="H1274">
        <v>706348823</v>
      </c>
      <c r="I1274">
        <v>952681200</v>
      </c>
      <c r="J1274">
        <v>770727490</v>
      </c>
      <c r="K1274">
        <v>645420193</v>
      </c>
      <c r="L1274">
        <v>419581636</v>
      </c>
      <c r="M1274">
        <v>0</v>
      </c>
      <c r="P1274">
        <v>236</v>
      </c>
      <c r="Q1274" t="s">
        <v>2820</v>
      </c>
    </row>
    <row r="1275" spans="1:17" x14ac:dyDescent="0.3">
      <c r="A1275" t="s">
        <v>73</v>
      </c>
      <c r="B1275" t="str">
        <f>"002624"</f>
        <v>002624</v>
      </c>
      <c r="C1275" t="s">
        <v>2821</v>
      </c>
      <c r="D1275" t="s">
        <v>899</v>
      </c>
      <c r="E1275">
        <v>906777851</v>
      </c>
      <c r="F1275">
        <v>1451716168</v>
      </c>
      <c r="G1275">
        <v>2736943686</v>
      </c>
      <c r="H1275">
        <v>2525353389</v>
      </c>
      <c r="I1275">
        <v>1306321608</v>
      </c>
      <c r="J1275">
        <v>1732091422</v>
      </c>
      <c r="K1275">
        <v>661517128</v>
      </c>
      <c r="L1275">
        <v>600974980</v>
      </c>
      <c r="M1275">
        <v>188169222</v>
      </c>
      <c r="N1275">
        <v>162807499</v>
      </c>
      <c r="O1275">
        <v>125190979</v>
      </c>
      <c r="P1275">
        <v>2399</v>
      </c>
      <c r="Q1275" t="s">
        <v>2822</v>
      </c>
    </row>
    <row r="1276" spans="1:17" x14ac:dyDescent="0.3">
      <c r="A1276" t="s">
        <v>73</v>
      </c>
      <c r="B1276" t="str">
        <f>"002669"</f>
        <v>002669</v>
      </c>
      <c r="C1276" t="s">
        <v>2823</v>
      </c>
      <c r="D1276" t="s">
        <v>2824</v>
      </c>
      <c r="E1276">
        <v>906106759</v>
      </c>
      <c r="F1276">
        <v>833130121</v>
      </c>
      <c r="G1276">
        <v>563184120</v>
      </c>
      <c r="H1276">
        <v>575521214</v>
      </c>
      <c r="I1276">
        <v>304396061</v>
      </c>
      <c r="J1276">
        <v>249968672</v>
      </c>
      <c r="K1276">
        <v>283481942</v>
      </c>
      <c r="L1276">
        <v>245260723</v>
      </c>
      <c r="M1276">
        <v>154188489</v>
      </c>
      <c r="N1276">
        <v>132678324</v>
      </c>
      <c r="O1276">
        <v>96655150</v>
      </c>
      <c r="P1276">
        <v>138</v>
      </c>
      <c r="Q1276" t="s">
        <v>2825</v>
      </c>
    </row>
    <row r="1277" spans="1:17" x14ac:dyDescent="0.3">
      <c r="A1277" t="s">
        <v>73</v>
      </c>
      <c r="B1277" t="str">
        <f>"300114"</f>
        <v>300114</v>
      </c>
      <c r="C1277" t="s">
        <v>2826</v>
      </c>
      <c r="D1277" t="s">
        <v>502</v>
      </c>
      <c r="E1277">
        <v>905572718</v>
      </c>
      <c r="F1277">
        <v>659630814</v>
      </c>
      <c r="G1277">
        <v>586908023</v>
      </c>
      <c r="H1277">
        <v>555831610</v>
      </c>
      <c r="I1277">
        <v>431039941</v>
      </c>
      <c r="J1277">
        <v>338050067</v>
      </c>
      <c r="K1277">
        <v>348792781</v>
      </c>
      <c r="L1277">
        <v>315985196</v>
      </c>
      <c r="M1277">
        <v>219809342</v>
      </c>
      <c r="N1277">
        <v>176747734</v>
      </c>
      <c r="O1277">
        <v>120425668</v>
      </c>
      <c r="P1277">
        <v>258</v>
      </c>
      <c r="Q1277" t="s">
        <v>2827</v>
      </c>
    </row>
    <row r="1278" spans="1:17" x14ac:dyDescent="0.3">
      <c r="A1278" t="s">
        <v>73</v>
      </c>
      <c r="B1278" t="str">
        <f>"300621"</f>
        <v>300621</v>
      </c>
      <c r="C1278" t="s">
        <v>2828</v>
      </c>
      <c r="D1278" t="s">
        <v>258</v>
      </c>
      <c r="E1278">
        <v>903681937</v>
      </c>
      <c r="F1278">
        <v>530144064</v>
      </c>
      <c r="G1278">
        <v>1470910280</v>
      </c>
      <c r="H1278">
        <v>1248692566</v>
      </c>
      <c r="I1278">
        <v>1043069074</v>
      </c>
      <c r="J1278">
        <v>1049739199</v>
      </c>
      <c r="K1278">
        <v>0</v>
      </c>
      <c r="P1278">
        <v>56</v>
      </c>
      <c r="Q1278" t="s">
        <v>2829</v>
      </c>
    </row>
    <row r="1279" spans="1:17" x14ac:dyDescent="0.3">
      <c r="A1279" t="s">
        <v>17</v>
      </c>
      <c r="B1279" t="str">
        <f>"600570"</f>
        <v>600570</v>
      </c>
      <c r="C1279" t="s">
        <v>2830</v>
      </c>
      <c r="D1279" t="s">
        <v>795</v>
      </c>
      <c r="E1279">
        <v>902443870</v>
      </c>
      <c r="F1279">
        <v>605478777</v>
      </c>
      <c r="G1279">
        <v>295427251</v>
      </c>
      <c r="H1279">
        <v>194978886</v>
      </c>
      <c r="I1279">
        <v>239917584</v>
      </c>
      <c r="J1279">
        <v>275288865</v>
      </c>
      <c r="K1279">
        <v>242292305</v>
      </c>
      <c r="L1279">
        <v>206238155</v>
      </c>
      <c r="M1279">
        <v>205334979</v>
      </c>
      <c r="N1279">
        <v>141460310</v>
      </c>
      <c r="O1279">
        <v>191621676</v>
      </c>
      <c r="P1279">
        <v>2779</v>
      </c>
      <c r="Q1279" t="s">
        <v>2831</v>
      </c>
    </row>
    <row r="1280" spans="1:17" x14ac:dyDescent="0.3">
      <c r="A1280" t="s">
        <v>17</v>
      </c>
      <c r="B1280" t="str">
        <f>"600179"</f>
        <v>600179</v>
      </c>
      <c r="C1280" t="s">
        <v>2832</v>
      </c>
      <c r="D1280" t="s">
        <v>246</v>
      </c>
      <c r="E1280">
        <v>901354973</v>
      </c>
      <c r="F1280">
        <v>320115965</v>
      </c>
      <c r="G1280">
        <v>695029737</v>
      </c>
      <c r="H1280">
        <v>1540474707</v>
      </c>
      <c r="I1280">
        <v>896781913</v>
      </c>
      <c r="J1280">
        <v>493952546</v>
      </c>
      <c r="K1280">
        <v>144213491</v>
      </c>
      <c r="L1280">
        <v>192660612</v>
      </c>
      <c r="M1280">
        <v>260463344</v>
      </c>
      <c r="N1280">
        <v>330943433</v>
      </c>
      <c r="O1280">
        <v>193882742</v>
      </c>
      <c r="P1280">
        <v>128</v>
      </c>
      <c r="Q1280" t="s">
        <v>2833</v>
      </c>
    </row>
    <row r="1281" spans="1:17" x14ac:dyDescent="0.3">
      <c r="A1281" t="s">
        <v>73</v>
      </c>
      <c r="B1281" t="str">
        <f>"002511"</f>
        <v>002511</v>
      </c>
      <c r="C1281" t="s">
        <v>2834</v>
      </c>
      <c r="D1281" t="s">
        <v>2759</v>
      </c>
      <c r="E1281">
        <v>901200028</v>
      </c>
      <c r="F1281">
        <v>861090570</v>
      </c>
      <c r="G1281">
        <v>770641385</v>
      </c>
      <c r="H1281">
        <v>697611283</v>
      </c>
      <c r="I1281">
        <v>568646723</v>
      </c>
      <c r="J1281">
        <v>525468197</v>
      </c>
      <c r="K1281">
        <v>452424199</v>
      </c>
      <c r="L1281">
        <v>324062031</v>
      </c>
      <c r="M1281">
        <v>258712593</v>
      </c>
      <c r="N1281">
        <v>257947415</v>
      </c>
      <c r="O1281">
        <v>193328053</v>
      </c>
      <c r="P1281">
        <v>2513</v>
      </c>
      <c r="Q1281" t="s">
        <v>2835</v>
      </c>
    </row>
    <row r="1282" spans="1:17" x14ac:dyDescent="0.3">
      <c r="A1282" t="s">
        <v>73</v>
      </c>
      <c r="B1282" t="str">
        <f>"002518"</f>
        <v>002518</v>
      </c>
      <c r="C1282" t="s">
        <v>2836</v>
      </c>
      <c r="D1282" t="s">
        <v>747</v>
      </c>
      <c r="E1282">
        <v>900743780</v>
      </c>
      <c r="F1282">
        <v>838178981</v>
      </c>
      <c r="G1282">
        <v>818334345</v>
      </c>
      <c r="H1282">
        <v>1113195206</v>
      </c>
      <c r="I1282">
        <v>1121115722</v>
      </c>
      <c r="J1282">
        <v>761800539</v>
      </c>
      <c r="K1282">
        <v>706262925</v>
      </c>
      <c r="L1282">
        <v>496665099</v>
      </c>
      <c r="M1282">
        <v>492051535</v>
      </c>
      <c r="N1282">
        <v>302564678</v>
      </c>
      <c r="O1282">
        <v>279152026</v>
      </c>
      <c r="P1282">
        <v>401</v>
      </c>
      <c r="Q1282" t="s">
        <v>2837</v>
      </c>
    </row>
    <row r="1283" spans="1:17" x14ac:dyDescent="0.3">
      <c r="A1283" t="s">
        <v>73</v>
      </c>
      <c r="B1283" t="str">
        <f>"300145"</f>
        <v>300145</v>
      </c>
      <c r="C1283" t="s">
        <v>2838</v>
      </c>
      <c r="D1283" t="s">
        <v>873</v>
      </c>
      <c r="E1283">
        <v>900541765</v>
      </c>
      <c r="F1283">
        <v>1221449631</v>
      </c>
      <c r="G1283">
        <v>1197917883</v>
      </c>
      <c r="H1283">
        <v>1244293816</v>
      </c>
      <c r="I1283">
        <v>1041882674</v>
      </c>
      <c r="J1283">
        <v>986784322</v>
      </c>
      <c r="K1283">
        <v>533435127</v>
      </c>
      <c r="L1283">
        <v>175516963</v>
      </c>
      <c r="M1283">
        <v>113450707</v>
      </c>
      <c r="N1283">
        <v>92392813</v>
      </c>
      <c r="O1283">
        <v>87761115</v>
      </c>
      <c r="P1283">
        <v>281</v>
      </c>
      <c r="Q1283" t="s">
        <v>2839</v>
      </c>
    </row>
    <row r="1284" spans="1:17" x14ac:dyDescent="0.3">
      <c r="A1284" t="s">
        <v>73</v>
      </c>
      <c r="B1284" t="str">
        <f>"003038"</f>
        <v>003038</v>
      </c>
      <c r="C1284" t="s">
        <v>2840</v>
      </c>
      <c r="D1284" t="s">
        <v>616</v>
      </c>
      <c r="E1284">
        <v>900174357</v>
      </c>
      <c r="F1284">
        <v>402904655</v>
      </c>
      <c r="P1284">
        <v>74</v>
      </c>
      <c r="Q1284" t="s">
        <v>2841</v>
      </c>
    </row>
    <row r="1285" spans="1:17" x14ac:dyDescent="0.3">
      <c r="A1285" t="s">
        <v>73</v>
      </c>
      <c r="B1285" t="str">
        <f>"300660"</f>
        <v>300660</v>
      </c>
      <c r="C1285" t="s">
        <v>2842</v>
      </c>
      <c r="D1285" t="s">
        <v>689</v>
      </c>
      <c r="E1285">
        <v>898200986</v>
      </c>
      <c r="F1285">
        <v>916850121</v>
      </c>
      <c r="G1285">
        <v>637315413</v>
      </c>
      <c r="H1285">
        <v>711192824</v>
      </c>
      <c r="I1285">
        <v>578907627</v>
      </c>
      <c r="J1285">
        <v>508141841</v>
      </c>
      <c r="K1285">
        <v>0</v>
      </c>
      <c r="P1285">
        <v>108</v>
      </c>
      <c r="Q1285" t="s">
        <v>2843</v>
      </c>
    </row>
    <row r="1286" spans="1:17" x14ac:dyDescent="0.3">
      <c r="A1286" t="s">
        <v>73</v>
      </c>
      <c r="B1286" t="str">
        <f>"002367"</f>
        <v>002367</v>
      </c>
      <c r="C1286" t="s">
        <v>2844</v>
      </c>
      <c r="D1286" t="s">
        <v>744</v>
      </c>
      <c r="E1286">
        <v>898007902</v>
      </c>
      <c r="F1286">
        <v>629558696</v>
      </c>
      <c r="G1286">
        <v>734622070</v>
      </c>
      <c r="H1286">
        <v>786622298</v>
      </c>
      <c r="I1286">
        <v>821278992</v>
      </c>
      <c r="J1286">
        <v>742084191</v>
      </c>
      <c r="K1286">
        <v>543927366</v>
      </c>
      <c r="L1286">
        <v>312407661</v>
      </c>
      <c r="M1286">
        <v>261028270</v>
      </c>
      <c r="N1286">
        <v>221334823</v>
      </c>
      <c r="O1286">
        <v>143582616</v>
      </c>
      <c r="P1286">
        <v>388</v>
      </c>
      <c r="Q1286" t="s">
        <v>2845</v>
      </c>
    </row>
    <row r="1287" spans="1:17" x14ac:dyDescent="0.3">
      <c r="A1287" t="s">
        <v>73</v>
      </c>
      <c r="B1287" t="str">
        <f>"002665"</f>
        <v>002665</v>
      </c>
      <c r="C1287" t="s">
        <v>2846</v>
      </c>
      <c r="D1287" t="s">
        <v>747</v>
      </c>
      <c r="E1287">
        <v>897774090</v>
      </c>
      <c r="F1287">
        <v>915152098</v>
      </c>
      <c r="G1287">
        <v>596123412</v>
      </c>
      <c r="H1287">
        <v>752198297</v>
      </c>
      <c r="I1287">
        <v>975201963</v>
      </c>
      <c r="J1287">
        <v>1022651531</v>
      </c>
      <c r="K1287">
        <v>1167295177</v>
      </c>
      <c r="L1287">
        <v>1292141170</v>
      </c>
      <c r="M1287">
        <v>1072164474</v>
      </c>
      <c r="N1287">
        <v>641785776</v>
      </c>
      <c r="O1287">
        <v>266911446</v>
      </c>
      <c r="P1287">
        <v>208</v>
      </c>
      <c r="Q1287" t="s">
        <v>2847</v>
      </c>
    </row>
    <row r="1288" spans="1:17" x14ac:dyDescent="0.3">
      <c r="A1288" t="s">
        <v>17</v>
      </c>
      <c r="B1288" t="str">
        <f>"600195"</f>
        <v>600195</v>
      </c>
      <c r="C1288" t="s">
        <v>2848</v>
      </c>
      <c r="D1288" t="s">
        <v>2849</v>
      </c>
      <c r="E1288">
        <v>897551900</v>
      </c>
      <c r="F1288">
        <v>809793343</v>
      </c>
      <c r="G1288">
        <v>682843487</v>
      </c>
      <c r="H1288">
        <v>541825558</v>
      </c>
      <c r="I1288">
        <v>453685046</v>
      </c>
      <c r="J1288">
        <v>485616604</v>
      </c>
      <c r="K1288">
        <v>586191196</v>
      </c>
      <c r="L1288">
        <v>600543525</v>
      </c>
      <c r="M1288">
        <v>738467842</v>
      </c>
      <c r="N1288">
        <v>644425596</v>
      </c>
      <c r="O1288">
        <v>488583442</v>
      </c>
      <c r="P1288">
        <v>371</v>
      </c>
      <c r="Q1288" t="s">
        <v>2850</v>
      </c>
    </row>
    <row r="1289" spans="1:17" x14ac:dyDescent="0.3">
      <c r="A1289" t="s">
        <v>73</v>
      </c>
      <c r="B1289" t="str">
        <f>"002214"</f>
        <v>002214</v>
      </c>
      <c r="C1289" t="s">
        <v>2851</v>
      </c>
      <c r="D1289" t="s">
        <v>502</v>
      </c>
      <c r="E1289">
        <v>897068285</v>
      </c>
      <c r="F1289">
        <v>747480636</v>
      </c>
      <c r="G1289">
        <v>416725311</v>
      </c>
      <c r="H1289">
        <v>399763749</v>
      </c>
      <c r="I1289">
        <v>380579201</v>
      </c>
      <c r="J1289">
        <v>361248117</v>
      </c>
      <c r="K1289">
        <v>409813840</v>
      </c>
      <c r="L1289">
        <v>351674680</v>
      </c>
      <c r="M1289">
        <v>211333996</v>
      </c>
      <c r="N1289">
        <v>207651411</v>
      </c>
      <c r="O1289">
        <v>165186297</v>
      </c>
      <c r="P1289">
        <v>511</v>
      </c>
      <c r="Q1289" t="s">
        <v>2852</v>
      </c>
    </row>
    <row r="1290" spans="1:17" x14ac:dyDescent="0.3">
      <c r="A1290" t="s">
        <v>73</v>
      </c>
      <c r="B1290" t="str">
        <f>"002206"</f>
        <v>002206</v>
      </c>
      <c r="C1290" t="s">
        <v>2853</v>
      </c>
      <c r="D1290" t="s">
        <v>2854</v>
      </c>
      <c r="E1290">
        <v>896105261</v>
      </c>
      <c r="F1290">
        <v>626373188</v>
      </c>
      <c r="G1290">
        <v>524412132</v>
      </c>
      <c r="H1290">
        <v>527666816</v>
      </c>
      <c r="I1290">
        <v>533038394</v>
      </c>
      <c r="J1290">
        <v>461267037</v>
      </c>
      <c r="K1290">
        <v>383320584</v>
      </c>
      <c r="L1290">
        <v>318164597</v>
      </c>
      <c r="M1290">
        <v>338092974</v>
      </c>
      <c r="N1290">
        <v>271413542</v>
      </c>
      <c r="O1290">
        <v>234916956</v>
      </c>
      <c r="P1290">
        <v>369</v>
      </c>
      <c r="Q1290" t="s">
        <v>2855</v>
      </c>
    </row>
    <row r="1291" spans="1:17" x14ac:dyDescent="0.3">
      <c r="A1291" t="s">
        <v>17</v>
      </c>
      <c r="B1291" t="str">
        <f>"600446"</f>
        <v>600446</v>
      </c>
      <c r="C1291" t="s">
        <v>2856</v>
      </c>
      <c r="D1291" t="s">
        <v>302</v>
      </c>
      <c r="E1291">
        <v>895268453</v>
      </c>
      <c r="F1291">
        <v>557746917</v>
      </c>
      <c r="G1291">
        <v>709630478</v>
      </c>
      <c r="H1291">
        <v>1018719506</v>
      </c>
      <c r="I1291">
        <v>816345641</v>
      </c>
      <c r="J1291">
        <v>596993720</v>
      </c>
      <c r="K1291">
        <v>450267295</v>
      </c>
      <c r="L1291">
        <v>268199416</v>
      </c>
      <c r="M1291">
        <v>318687488</v>
      </c>
      <c r="N1291">
        <v>288626154</v>
      </c>
      <c r="O1291">
        <v>271216400</v>
      </c>
      <c r="P1291">
        <v>334</v>
      </c>
      <c r="Q1291" t="s">
        <v>2857</v>
      </c>
    </row>
    <row r="1292" spans="1:17" x14ac:dyDescent="0.3">
      <c r="A1292" t="s">
        <v>73</v>
      </c>
      <c r="B1292" t="str">
        <f>"002243"</f>
        <v>002243</v>
      </c>
      <c r="C1292" t="s">
        <v>2858</v>
      </c>
      <c r="D1292" t="s">
        <v>2859</v>
      </c>
      <c r="E1292">
        <v>894620035</v>
      </c>
      <c r="F1292">
        <v>612083176</v>
      </c>
      <c r="G1292">
        <v>487935778</v>
      </c>
      <c r="H1292">
        <v>462379660</v>
      </c>
      <c r="I1292">
        <v>424305615</v>
      </c>
      <c r="J1292">
        <v>292064105</v>
      </c>
      <c r="K1292">
        <v>308803391</v>
      </c>
      <c r="L1292">
        <v>297598084</v>
      </c>
      <c r="M1292">
        <v>306490477</v>
      </c>
      <c r="N1292">
        <v>295276932</v>
      </c>
      <c r="O1292">
        <v>274749465</v>
      </c>
      <c r="P1292">
        <v>155</v>
      </c>
      <c r="Q1292" t="s">
        <v>2860</v>
      </c>
    </row>
    <row r="1293" spans="1:17" x14ac:dyDescent="0.3">
      <c r="A1293" t="s">
        <v>73</v>
      </c>
      <c r="B1293" t="str">
        <f>"000546"</f>
        <v>000546</v>
      </c>
      <c r="C1293" t="s">
        <v>2861</v>
      </c>
      <c r="D1293" t="s">
        <v>90</v>
      </c>
      <c r="E1293">
        <v>893507361</v>
      </c>
      <c r="F1293">
        <v>836891740</v>
      </c>
      <c r="G1293">
        <v>877680322</v>
      </c>
      <c r="H1293">
        <v>886363877</v>
      </c>
      <c r="I1293">
        <v>893570312</v>
      </c>
      <c r="J1293">
        <v>887647773</v>
      </c>
      <c r="K1293">
        <v>548435660</v>
      </c>
      <c r="L1293">
        <v>20047258</v>
      </c>
      <c r="M1293">
        <v>9128</v>
      </c>
      <c r="N1293">
        <v>2913728</v>
      </c>
      <c r="O1293">
        <v>9531730</v>
      </c>
      <c r="P1293">
        <v>181</v>
      </c>
      <c r="Q1293" t="s">
        <v>2862</v>
      </c>
    </row>
    <row r="1294" spans="1:17" x14ac:dyDescent="0.3">
      <c r="A1294" t="s">
        <v>73</v>
      </c>
      <c r="B1294" t="str">
        <f>"002255"</f>
        <v>002255</v>
      </c>
      <c r="C1294" t="s">
        <v>2863</v>
      </c>
      <c r="D1294" t="s">
        <v>2087</v>
      </c>
      <c r="E1294">
        <v>892851557</v>
      </c>
      <c r="F1294">
        <v>729593127</v>
      </c>
      <c r="G1294">
        <v>746743856</v>
      </c>
      <c r="H1294">
        <v>1911478113</v>
      </c>
      <c r="I1294">
        <v>1779255876</v>
      </c>
      <c r="J1294">
        <v>584936685</v>
      </c>
      <c r="K1294">
        <v>753892420</v>
      </c>
      <c r="L1294">
        <v>731538747</v>
      </c>
      <c r="M1294">
        <v>664657445</v>
      </c>
      <c r="N1294">
        <v>573988380</v>
      </c>
      <c r="O1294">
        <v>463808408</v>
      </c>
      <c r="P1294">
        <v>107</v>
      </c>
      <c r="Q1294" t="s">
        <v>2864</v>
      </c>
    </row>
    <row r="1295" spans="1:17" x14ac:dyDescent="0.3">
      <c r="A1295" t="s">
        <v>73</v>
      </c>
      <c r="B1295" t="str">
        <f>"300603"</f>
        <v>300603</v>
      </c>
      <c r="C1295" t="s">
        <v>2865</v>
      </c>
      <c r="D1295" t="s">
        <v>1004</v>
      </c>
      <c r="E1295">
        <v>892454783</v>
      </c>
      <c r="F1295">
        <v>909428309</v>
      </c>
      <c r="G1295">
        <v>1176396272</v>
      </c>
      <c r="H1295">
        <v>947902130</v>
      </c>
      <c r="I1295">
        <v>539337148</v>
      </c>
      <c r="J1295">
        <v>320702023</v>
      </c>
      <c r="K1295">
        <v>0</v>
      </c>
      <c r="P1295">
        <v>196</v>
      </c>
      <c r="Q1295" t="s">
        <v>2866</v>
      </c>
    </row>
    <row r="1296" spans="1:17" x14ac:dyDescent="0.3">
      <c r="A1296" t="s">
        <v>17</v>
      </c>
      <c r="B1296" t="str">
        <f>"600529"</f>
        <v>600529</v>
      </c>
      <c r="C1296" t="s">
        <v>2867</v>
      </c>
      <c r="D1296" t="s">
        <v>1523</v>
      </c>
      <c r="E1296">
        <v>892398844</v>
      </c>
      <c r="F1296">
        <v>769435561</v>
      </c>
      <c r="G1296">
        <v>488286352</v>
      </c>
      <c r="H1296">
        <v>463915370</v>
      </c>
      <c r="I1296">
        <v>454921823</v>
      </c>
      <c r="J1296">
        <v>470879311</v>
      </c>
      <c r="K1296">
        <v>434729892</v>
      </c>
      <c r="L1296">
        <v>458825049</v>
      </c>
      <c r="M1296">
        <v>437317505</v>
      </c>
      <c r="N1296">
        <v>388648987</v>
      </c>
      <c r="O1296">
        <v>360478100</v>
      </c>
      <c r="P1296">
        <v>1046</v>
      </c>
      <c r="Q1296" t="s">
        <v>2868</v>
      </c>
    </row>
    <row r="1297" spans="1:17" x14ac:dyDescent="0.3">
      <c r="A1297" t="s">
        <v>73</v>
      </c>
      <c r="B1297" t="str">
        <f>"300091"</f>
        <v>300091</v>
      </c>
      <c r="C1297" t="s">
        <v>2869</v>
      </c>
      <c r="D1297" t="s">
        <v>873</v>
      </c>
      <c r="E1297">
        <v>891720148</v>
      </c>
      <c r="F1297">
        <v>973733728</v>
      </c>
      <c r="G1297">
        <v>986562821</v>
      </c>
      <c r="H1297">
        <v>839616159</v>
      </c>
      <c r="I1297">
        <v>832410849</v>
      </c>
      <c r="J1297">
        <v>736240251</v>
      </c>
      <c r="K1297">
        <v>823094958</v>
      </c>
      <c r="L1297">
        <v>689460994</v>
      </c>
      <c r="M1297">
        <v>484950612</v>
      </c>
      <c r="N1297">
        <v>390377444</v>
      </c>
      <c r="O1297">
        <v>452023063</v>
      </c>
      <c r="P1297">
        <v>101</v>
      </c>
      <c r="Q1297" t="s">
        <v>2870</v>
      </c>
    </row>
    <row r="1298" spans="1:17" x14ac:dyDescent="0.3">
      <c r="A1298" t="s">
        <v>73</v>
      </c>
      <c r="B1298" t="str">
        <f>"300773"</f>
        <v>300773</v>
      </c>
      <c r="C1298" t="s">
        <v>2871</v>
      </c>
      <c r="D1298" t="s">
        <v>2872</v>
      </c>
      <c r="E1298">
        <v>891511295</v>
      </c>
      <c r="F1298">
        <v>637706253</v>
      </c>
      <c r="G1298">
        <v>330462724</v>
      </c>
      <c r="H1298">
        <v>0</v>
      </c>
      <c r="I1298">
        <v>0</v>
      </c>
      <c r="P1298">
        <v>472</v>
      </c>
      <c r="Q1298" t="s">
        <v>2873</v>
      </c>
    </row>
    <row r="1299" spans="1:17" x14ac:dyDescent="0.3">
      <c r="A1299" t="s">
        <v>17</v>
      </c>
      <c r="B1299" t="str">
        <f>"605268"</f>
        <v>605268</v>
      </c>
      <c r="C1299" t="s">
        <v>2874</v>
      </c>
      <c r="D1299" t="s">
        <v>2533</v>
      </c>
      <c r="E1299">
        <v>890774690</v>
      </c>
      <c r="F1299">
        <v>610304696</v>
      </c>
      <c r="P1299">
        <v>60</v>
      </c>
      <c r="Q1299" t="s">
        <v>2875</v>
      </c>
    </row>
    <row r="1300" spans="1:17" x14ac:dyDescent="0.3">
      <c r="A1300" t="s">
        <v>73</v>
      </c>
      <c r="B1300" t="str">
        <f>"002169"</f>
        <v>002169</v>
      </c>
      <c r="C1300" t="s">
        <v>2876</v>
      </c>
      <c r="D1300" t="s">
        <v>161</v>
      </c>
      <c r="E1300">
        <v>890091525</v>
      </c>
      <c r="F1300">
        <v>917506393</v>
      </c>
      <c r="G1300">
        <v>1326770069</v>
      </c>
      <c r="H1300">
        <v>1676648885</v>
      </c>
      <c r="I1300">
        <v>1448432252</v>
      </c>
      <c r="J1300">
        <v>1195133416</v>
      </c>
      <c r="K1300">
        <v>1056662241</v>
      </c>
      <c r="L1300">
        <v>519172621</v>
      </c>
      <c r="M1300">
        <v>528994879</v>
      </c>
      <c r="N1300">
        <v>440524100</v>
      </c>
      <c r="O1300">
        <v>494781383</v>
      </c>
      <c r="P1300">
        <v>219</v>
      </c>
      <c r="Q1300" t="s">
        <v>2877</v>
      </c>
    </row>
    <row r="1301" spans="1:17" x14ac:dyDescent="0.3">
      <c r="A1301" t="s">
        <v>73</v>
      </c>
      <c r="B1301" t="str">
        <f>"300751"</f>
        <v>300751</v>
      </c>
      <c r="C1301" t="s">
        <v>2878</v>
      </c>
      <c r="D1301" t="s">
        <v>1484</v>
      </c>
      <c r="E1301">
        <v>889584683</v>
      </c>
      <c r="F1301">
        <v>592784228</v>
      </c>
      <c r="G1301">
        <v>380003034</v>
      </c>
      <c r="H1301">
        <v>170930314</v>
      </c>
      <c r="I1301">
        <v>0</v>
      </c>
      <c r="P1301">
        <v>627</v>
      </c>
      <c r="Q1301" t="s">
        <v>2879</v>
      </c>
    </row>
    <row r="1302" spans="1:17" x14ac:dyDescent="0.3">
      <c r="A1302" t="s">
        <v>73</v>
      </c>
      <c r="B1302" t="str">
        <f>"300568"</f>
        <v>300568</v>
      </c>
      <c r="C1302" t="s">
        <v>2880</v>
      </c>
      <c r="D1302" t="s">
        <v>561</v>
      </c>
      <c r="E1302">
        <v>888262596</v>
      </c>
      <c r="F1302">
        <v>699492951</v>
      </c>
      <c r="G1302">
        <v>388027258</v>
      </c>
      <c r="H1302">
        <v>376793323</v>
      </c>
      <c r="I1302">
        <v>285420558</v>
      </c>
      <c r="J1302">
        <v>175243619</v>
      </c>
      <c r="K1302">
        <v>0</v>
      </c>
      <c r="P1302">
        <v>474</v>
      </c>
      <c r="Q1302" t="s">
        <v>2881</v>
      </c>
    </row>
    <row r="1303" spans="1:17" x14ac:dyDescent="0.3">
      <c r="A1303" t="s">
        <v>73</v>
      </c>
      <c r="B1303" t="str">
        <f>"300240"</f>
        <v>300240</v>
      </c>
      <c r="C1303" t="s">
        <v>2882</v>
      </c>
      <c r="D1303" t="s">
        <v>233</v>
      </c>
      <c r="E1303">
        <v>887833902</v>
      </c>
      <c r="F1303">
        <v>755954094</v>
      </c>
      <c r="G1303">
        <v>537920857</v>
      </c>
      <c r="H1303">
        <v>511797462</v>
      </c>
      <c r="I1303">
        <v>473737770</v>
      </c>
      <c r="J1303">
        <v>445219725</v>
      </c>
      <c r="K1303">
        <v>317858128</v>
      </c>
      <c r="L1303">
        <v>354090590</v>
      </c>
      <c r="M1303">
        <v>395697190</v>
      </c>
      <c r="N1303">
        <v>327562722</v>
      </c>
      <c r="O1303">
        <v>201825435</v>
      </c>
      <c r="P1303">
        <v>67</v>
      </c>
      <c r="Q1303" t="s">
        <v>2883</v>
      </c>
    </row>
    <row r="1304" spans="1:17" x14ac:dyDescent="0.3">
      <c r="A1304" t="s">
        <v>73</v>
      </c>
      <c r="B1304" t="str">
        <f>"300188"</f>
        <v>300188</v>
      </c>
      <c r="C1304" t="s">
        <v>2884</v>
      </c>
      <c r="D1304" t="s">
        <v>795</v>
      </c>
      <c r="E1304">
        <v>887519805</v>
      </c>
      <c r="F1304">
        <v>738188685</v>
      </c>
      <c r="G1304">
        <v>536248956</v>
      </c>
      <c r="H1304">
        <v>604007411</v>
      </c>
      <c r="I1304">
        <v>361859812</v>
      </c>
      <c r="J1304">
        <v>253965763</v>
      </c>
      <c r="K1304">
        <v>265140542</v>
      </c>
      <c r="L1304">
        <v>154875317</v>
      </c>
      <c r="M1304">
        <v>111391392</v>
      </c>
      <c r="N1304">
        <v>129838500</v>
      </c>
      <c r="O1304">
        <v>72725793</v>
      </c>
      <c r="P1304">
        <v>557</v>
      </c>
      <c r="Q1304" t="s">
        <v>2885</v>
      </c>
    </row>
    <row r="1305" spans="1:17" x14ac:dyDescent="0.3">
      <c r="A1305" t="s">
        <v>73</v>
      </c>
      <c r="B1305" t="str">
        <f>"002973"</f>
        <v>002973</v>
      </c>
      <c r="C1305" t="s">
        <v>2886</v>
      </c>
      <c r="D1305" t="s">
        <v>623</v>
      </c>
      <c r="E1305">
        <v>885953963</v>
      </c>
      <c r="F1305">
        <v>508861789</v>
      </c>
      <c r="G1305">
        <v>887747121</v>
      </c>
      <c r="P1305">
        <v>212</v>
      </c>
      <c r="Q1305" t="s">
        <v>2887</v>
      </c>
    </row>
    <row r="1306" spans="1:17" x14ac:dyDescent="0.3">
      <c r="A1306" t="s">
        <v>17</v>
      </c>
      <c r="B1306" t="str">
        <f>"601456"</f>
        <v>601456</v>
      </c>
      <c r="C1306" t="s">
        <v>2888</v>
      </c>
      <c r="D1306" t="s">
        <v>53</v>
      </c>
      <c r="E1306">
        <v>884805800</v>
      </c>
      <c r="F1306">
        <v>92595915</v>
      </c>
      <c r="G1306">
        <v>0</v>
      </c>
      <c r="H1306">
        <v>0</v>
      </c>
      <c r="J1306">
        <v>0</v>
      </c>
      <c r="P1306">
        <v>310</v>
      </c>
      <c r="Q1306" t="s">
        <v>2889</v>
      </c>
    </row>
    <row r="1307" spans="1:17" x14ac:dyDescent="0.3">
      <c r="A1307" t="s">
        <v>17</v>
      </c>
      <c r="B1307" t="str">
        <f>"600548"</f>
        <v>600548</v>
      </c>
      <c r="C1307" t="s">
        <v>2890</v>
      </c>
      <c r="D1307" t="s">
        <v>1592</v>
      </c>
      <c r="E1307">
        <v>883783013</v>
      </c>
      <c r="F1307">
        <v>650606327</v>
      </c>
      <c r="G1307">
        <v>705691595</v>
      </c>
      <c r="H1307">
        <v>197882232</v>
      </c>
      <c r="I1307">
        <v>256463246</v>
      </c>
      <c r="J1307">
        <v>466323223</v>
      </c>
      <c r="K1307">
        <v>642802243</v>
      </c>
      <c r="L1307">
        <v>687495759</v>
      </c>
      <c r="M1307">
        <v>493780098</v>
      </c>
      <c r="N1307">
        <v>341304017</v>
      </c>
      <c r="O1307">
        <v>272346499</v>
      </c>
      <c r="P1307">
        <v>794</v>
      </c>
      <c r="Q1307" t="s">
        <v>2891</v>
      </c>
    </row>
    <row r="1308" spans="1:17" x14ac:dyDescent="0.3">
      <c r="A1308" t="s">
        <v>73</v>
      </c>
      <c r="B1308" t="str">
        <f>"002953"</f>
        <v>002953</v>
      </c>
      <c r="C1308" t="s">
        <v>2892</v>
      </c>
      <c r="D1308" t="s">
        <v>515</v>
      </c>
      <c r="E1308">
        <v>883590444</v>
      </c>
      <c r="F1308">
        <v>825764804</v>
      </c>
      <c r="G1308">
        <v>376471264</v>
      </c>
      <c r="H1308">
        <v>351123141</v>
      </c>
      <c r="P1308">
        <v>99</v>
      </c>
      <c r="Q1308" t="s">
        <v>2893</v>
      </c>
    </row>
    <row r="1309" spans="1:17" x14ac:dyDescent="0.3">
      <c r="A1309" t="s">
        <v>17</v>
      </c>
      <c r="B1309" t="str">
        <f>"600198"</f>
        <v>600198</v>
      </c>
      <c r="C1309" t="s">
        <v>2894</v>
      </c>
      <c r="D1309" t="s">
        <v>890</v>
      </c>
      <c r="E1309">
        <v>883525755</v>
      </c>
      <c r="F1309">
        <v>449587207</v>
      </c>
      <c r="G1309">
        <v>926782367</v>
      </c>
      <c r="H1309">
        <v>1253720129</v>
      </c>
      <c r="I1309">
        <v>1544688884</v>
      </c>
      <c r="J1309">
        <v>2333700330</v>
      </c>
      <c r="K1309">
        <v>3227831630</v>
      </c>
      <c r="L1309">
        <v>3367501532</v>
      </c>
      <c r="M1309">
        <v>4286572545</v>
      </c>
      <c r="N1309">
        <v>2660482532</v>
      </c>
      <c r="O1309">
        <v>1873842284</v>
      </c>
      <c r="P1309">
        <v>286</v>
      </c>
      <c r="Q1309" t="s">
        <v>2895</v>
      </c>
    </row>
    <row r="1310" spans="1:17" x14ac:dyDescent="0.3">
      <c r="A1310" t="s">
        <v>73</v>
      </c>
      <c r="B1310" t="str">
        <f>"301098"</f>
        <v>301098</v>
      </c>
      <c r="C1310" t="s">
        <v>2896</v>
      </c>
      <c r="D1310" t="s">
        <v>445</v>
      </c>
      <c r="E1310">
        <v>879452811</v>
      </c>
      <c r="P1310">
        <v>13</v>
      </c>
      <c r="Q1310" t="s">
        <v>2897</v>
      </c>
    </row>
    <row r="1311" spans="1:17" x14ac:dyDescent="0.3">
      <c r="A1311" t="s">
        <v>73</v>
      </c>
      <c r="B1311" t="str">
        <f>"300506"</f>
        <v>300506</v>
      </c>
      <c r="C1311" t="s">
        <v>2898</v>
      </c>
      <c r="D1311" t="s">
        <v>258</v>
      </c>
      <c r="E1311">
        <v>879406301</v>
      </c>
      <c r="F1311">
        <v>1146965318</v>
      </c>
      <c r="G1311">
        <v>1253022952</v>
      </c>
      <c r="H1311">
        <v>784073869</v>
      </c>
      <c r="I1311">
        <v>393857066</v>
      </c>
      <c r="J1311">
        <v>261497930</v>
      </c>
      <c r="K1311">
        <v>176991749</v>
      </c>
      <c r="L1311">
        <v>0</v>
      </c>
      <c r="P1311">
        <v>294</v>
      </c>
      <c r="Q1311" t="s">
        <v>2899</v>
      </c>
    </row>
    <row r="1312" spans="1:17" x14ac:dyDescent="0.3">
      <c r="A1312" t="s">
        <v>17</v>
      </c>
      <c r="B1312" t="str">
        <f>"600273"</f>
        <v>600273</v>
      </c>
      <c r="C1312" t="s">
        <v>2900</v>
      </c>
      <c r="D1312" t="s">
        <v>588</v>
      </c>
      <c r="E1312">
        <v>879101993</v>
      </c>
      <c r="F1312">
        <v>558404496</v>
      </c>
      <c r="G1312">
        <v>468875100</v>
      </c>
      <c r="H1312">
        <v>588273511</v>
      </c>
      <c r="I1312">
        <v>540325329</v>
      </c>
      <c r="J1312">
        <v>526037265</v>
      </c>
      <c r="K1312">
        <v>663518034</v>
      </c>
      <c r="L1312">
        <v>325533825</v>
      </c>
      <c r="M1312">
        <v>10881033</v>
      </c>
      <c r="N1312">
        <v>10375867</v>
      </c>
      <c r="O1312">
        <v>7538490</v>
      </c>
      <c r="P1312">
        <v>3517</v>
      </c>
      <c r="Q1312" t="s">
        <v>2901</v>
      </c>
    </row>
    <row r="1313" spans="1:17" x14ac:dyDescent="0.3">
      <c r="A1313" t="s">
        <v>17</v>
      </c>
      <c r="B1313" t="str">
        <f>"600797"</f>
        <v>600797</v>
      </c>
      <c r="C1313" t="s">
        <v>2902</v>
      </c>
      <c r="D1313" t="s">
        <v>302</v>
      </c>
      <c r="E1313">
        <v>877582523</v>
      </c>
      <c r="F1313">
        <v>893133675</v>
      </c>
      <c r="G1313">
        <v>1005587358</v>
      </c>
      <c r="H1313">
        <v>1109726579</v>
      </c>
      <c r="I1313">
        <v>1094259957</v>
      </c>
      <c r="J1313">
        <v>674331804</v>
      </c>
      <c r="K1313">
        <v>693123151</v>
      </c>
      <c r="L1313">
        <v>917068735</v>
      </c>
      <c r="M1313">
        <v>942556683</v>
      </c>
      <c r="N1313">
        <v>932756596</v>
      </c>
      <c r="O1313">
        <v>874454004</v>
      </c>
      <c r="P1313">
        <v>221</v>
      </c>
      <c r="Q1313" t="s">
        <v>2903</v>
      </c>
    </row>
    <row r="1314" spans="1:17" x14ac:dyDescent="0.3">
      <c r="A1314" t="s">
        <v>73</v>
      </c>
      <c r="B1314" t="str">
        <f>"300095"</f>
        <v>300095</v>
      </c>
      <c r="C1314" t="s">
        <v>2904</v>
      </c>
      <c r="D1314" t="s">
        <v>146</v>
      </c>
      <c r="E1314">
        <v>877303691</v>
      </c>
      <c r="F1314">
        <v>816325255</v>
      </c>
      <c r="G1314">
        <v>648302678</v>
      </c>
      <c r="H1314">
        <v>602299626</v>
      </c>
      <c r="I1314">
        <v>434416122</v>
      </c>
      <c r="J1314">
        <v>346775971</v>
      </c>
      <c r="K1314">
        <v>292403939</v>
      </c>
      <c r="L1314">
        <v>295290808</v>
      </c>
      <c r="M1314">
        <v>244343523</v>
      </c>
      <c r="N1314">
        <v>166711263</v>
      </c>
      <c r="O1314">
        <v>142156272</v>
      </c>
      <c r="P1314">
        <v>128</v>
      </c>
      <c r="Q1314" t="s">
        <v>2905</v>
      </c>
    </row>
    <row r="1315" spans="1:17" x14ac:dyDescent="0.3">
      <c r="A1315" t="s">
        <v>73</v>
      </c>
      <c r="B1315" t="str">
        <f>"300219"</f>
        <v>300219</v>
      </c>
      <c r="C1315" t="s">
        <v>2906</v>
      </c>
      <c r="D1315" t="s">
        <v>737</v>
      </c>
      <c r="E1315">
        <v>876580318</v>
      </c>
      <c r="F1315">
        <v>986098705</v>
      </c>
      <c r="G1315">
        <v>782925777</v>
      </c>
      <c r="H1315">
        <v>1144132040</v>
      </c>
      <c r="I1315">
        <v>898228736</v>
      </c>
      <c r="J1315">
        <v>661681627</v>
      </c>
      <c r="K1315">
        <v>402599469</v>
      </c>
      <c r="L1315">
        <v>255078519</v>
      </c>
      <c r="M1315">
        <v>173403633</v>
      </c>
      <c r="N1315">
        <v>124491567</v>
      </c>
      <c r="O1315">
        <v>106696408</v>
      </c>
      <c r="P1315">
        <v>135</v>
      </c>
      <c r="Q1315" t="s">
        <v>2907</v>
      </c>
    </row>
    <row r="1316" spans="1:17" x14ac:dyDescent="0.3">
      <c r="A1316" t="s">
        <v>73</v>
      </c>
      <c r="B1316" t="str">
        <f>"300007"</f>
        <v>300007</v>
      </c>
      <c r="C1316" t="s">
        <v>2908</v>
      </c>
      <c r="D1316" t="s">
        <v>2280</v>
      </c>
      <c r="E1316">
        <v>875094369</v>
      </c>
      <c r="F1316">
        <v>607129561</v>
      </c>
      <c r="G1316">
        <v>567792538</v>
      </c>
      <c r="H1316">
        <v>513282515</v>
      </c>
      <c r="I1316">
        <v>500382198</v>
      </c>
      <c r="J1316">
        <v>421626698</v>
      </c>
      <c r="K1316">
        <v>328999653</v>
      </c>
      <c r="L1316">
        <v>226510376</v>
      </c>
      <c r="M1316">
        <v>133889493</v>
      </c>
      <c r="N1316">
        <v>119689428</v>
      </c>
      <c r="O1316">
        <v>122799450</v>
      </c>
      <c r="P1316">
        <v>314</v>
      </c>
      <c r="Q1316" t="s">
        <v>2909</v>
      </c>
    </row>
    <row r="1317" spans="1:17" x14ac:dyDescent="0.3">
      <c r="A1317" t="s">
        <v>73</v>
      </c>
      <c r="B1317" t="str">
        <f>"300133"</f>
        <v>300133</v>
      </c>
      <c r="C1317" t="s">
        <v>2910</v>
      </c>
      <c r="D1317" t="s">
        <v>1306</v>
      </c>
      <c r="E1317">
        <v>875055128</v>
      </c>
      <c r="F1317">
        <v>1357261153</v>
      </c>
      <c r="G1317">
        <v>2039185808</v>
      </c>
      <c r="H1317">
        <v>3960599795</v>
      </c>
      <c r="I1317">
        <v>4108809193</v>
      </c>
      <c r="J1317">
        <v>3041433492</v>
      </c>
      <c r="K1317">
        <v>1958598046</v>
      </c>
      <c r="L1317">
        <v>1126039018</v>
      </c>
      <c r="M1317">
        <v>802270218</v>
      </c>
      <c r="N1317">
        <v>370642086</v>
      </c>
      <c r="O1317">
        <v>176391750</v>
      </c>
      <c r="P1317">
        <v>349</v>
      </c>
      <c r="Q1317" t="s">
        <v>2911</v>
      </c>
    </row>
    <row r="1318" spans="1:17" x14ac:dyDescent="0.3">
      <c r="A1318" t="s">
        <v>17</v>
      </c>
      <c r="B1318" t="str">
        <f>"600967"</f>
        <v>600967</v>
      </c>
      <c r="C1318" t="s">
        <v>2912</v>
      </c>
      <c r="D1318" t="s">
        <v>1743</v>
      </c>
      <c r="E1318">
        <v>874423772</v>
      </c>
      <c r="F1318">
        <v>567963867</v>
      </c>
      <c r="G1318">
        <v>640866768</v>
      </c>
      <c r="H1318">
        <v>807761870</v>
      </c>
      <c r="I1318">
        <v>1250002926</v>
      </c>
      <c r="J1318">
        <v>1689650430</v>
      </c>
      <c r="K1318">
        <v>454127191</v>
      </c>
      <c r="L1318">
        <v>504020713</v>
      </c>
      <c r="M1318">
        <v>874768240</v>
      </c>
      <c r="N1318">
        <v>409202103</v>
      </c>
      <c r="O1318">
        <v>442124452</v>
      </c>
      <c r="P1318">
        <v>286</v>
      </c>
      <c r="Q1318" t="s">
        <v>2913</v>
      </c>
    </row>
    <row r="1319" spans="1:17" x14ac:dyDescent="0.3">
      <c r="A1319" t="s">
        <v>73</v>
      </c>
      <c r="B1319" t="str">
        <f>"002376"</f>
        <v>002376</v>
      </c>
      <c r="C1319" t="s">
        <v>2914</v>
      </c>
      <c r="D1319" t="s">
        <v>158</v>
      </c>
      <c r="E1319">
        <v>874055609</v>
      </c>
      <c r="F1319">
        <v>832451093</v>
      </c>
      <c r="G1319">
        <v>633182298</v>
      </c>
      <c r="H1319">
        <v>789829771</v>
      </c>
      <c r="I1319">
        <v>537138851</v>
      </c>
      <c r="J1319">
        <v>455315523</v>
      </c>
      <c r="K1319">
        <v>455365201</v>
      </c>
      <c r="L1319">
        <v>418803422</v>
      </c>
      <c r="M1319">
        <v>504425404</v>
      </c>
      <c r="N1319">
        <v>297513316</v>
      </c>
      <c r="O1319">
        <v>203064067</v>
      </c>
      <c r="P1319">
        <v>298</v>
      </c>
      <c r="Q1319" t="s">
        <v>2915</v>
      </c>
    </row>
    <row r="1320" spans="1:17" x14ac:dyDescent="0.3">
      <c r="A1320" t="s">
        <v>73</v>
      </c>
      <c r="B1320" t="str">
        <f>"000059"</f>
        <v>000059</v>
      </c>
      <c r="C1320" t="s">
        <v>2916</v>
      </c>
      <c r="D1320" t="s">
        <v>36</v>
      </c>
      <c r="E1320">
        <v>873017098</v>
      </c>
      <c r="F1320">
        <v>603446384</v>
      </c>
      <c r="G1320">
        <v>270562666</v>
      </c>
      <c r="H1320">
        <v>335036359</v>
      </c>
      <c r="I1320">
        <v>821982336</v>
      </c>
      <c r="J1320">
        <v>618806594</v>
      </c>
      <c r="K1320">
        <v>493282355</v>
      </c>
      <c r="L1320">
        <v>451145685</v>
      </c>
      <c r="M1320">
        <v>214605237</v>
      </c>
      <c r="N1320">
        <v>173672540</v>
      </c>
      <c r="O1320">
        <v>31755624</v>
      </c>
      <c r="P1320">
        <v>387</v>
      </c>
      <c r="Q1320" t="s">
        <v>2917</v>
      </c>
    </row>
    <row r="1321" spans="1:17" x14ac:dyDescent="0.3">
      <c r="A1321" t="s">
        <v>73</v>
      </c>
      <c r="B1321" t="str">
        <f>"002403"</f>
        <v>002403</v>
      </c>
      <c r="C1321" t="s">
        <v>2918</v>
      </c>
      <c r="D1321" t="s">
        <v>1186</v>
      </c>
      <c r="E1321">
        <v>871051675</v>
      </c>
      <c r="F1321">
        <v>783728680</v>
      </c>
      <c r="G1321">
        <v>657131067</v>
      </c>
      <c r="H1321">
        <v>843350250</v>
      </c>
      <c r="I1321">
        <v>646467579</v>
      </c>
      <c r="J1321">
        <v>486115153</v>
      </c>
      <c r="K1321">
        <v>472586365</v>
      </c>
      <c r="L1321">
        <v>399381204</v>
      </c>
      <c r="M1321">
        <v>385597711</v>
      </c>
      <c r="N1321">
        <v>392703475</v>
      </c>
      <c r="O1321">
        <v>351366433</v>
      </c>
      <c r="P1321">
        <v>151</v>
      </c>
      <c r="Q1321" t="s">
        <v>2919</v>
      </c>
    </row>
    <row r="1322" spans="1:17" x14ac:dyDescent="0.3">
      <c r="A1322" t="s">
        <v>17</v>
      </c>
      <c r="B1322" t="str">
        <f>"688289"</f>
        <v>688289</v>
      </c>
      <c r="C1322" t="s">
        <v>2920</v>
      </c>
      <c r="D1322" t="s">
        <v>773</v>
      </c>
      <c r="E1322">
        <v>871038271</v>
      </c>
      <c r="F1322">
        <v>654182237</v>
      </c>
      <c r="G1322">
        <v>335445478</v>
      </c>
      <c r="P1322">
        <v>209</v>
      </c>
      <c r="Q1322" t="s">
        <v>2921</v>
      </c>
    </row>
    <row r="1323" spans="1:17" x14ac:dyDescent="0.3">
      <c r="A1323" t="s">
        <v>73</v>
      </c>
      <c r="B1323" t="str">
        <f>"300630"</f>
        <v>300630</v>
      </c>
      <c r="C1323" t="s">
        <v>2922</v>
      </c>
      <c r="D1323" t="s">
        <v>348</v>
      </c>
      <c r="E1323">
        <v>870207242</v>
      </c>
      <c r="F1323">
        <v>592259580</v>
      </c>
      <c r="G1323">
        <v>336231331</v>
      </c>
      <c r="H1323">
        <v>127591443</v>
      </c>
      <c r="I1323">
        <v>53605091</v>
      </c>
      <c r="J1323">
        <v>25780706</v>
      </c>
      <c r="K1323">
        <v>0</v>
      </c>
      <c r="P1323">
        <v>1261</v>
      </c>
      <c r="Q1323" t="s">
        <v>2923</v>
      </c>
    </row>
    <row r="1324" spans="1:17" x14ac:dyDescent="0.3">
      <c r="A1324" t="s">
        <v>73</v>
      </c>
      <c r="B1324" t="str">
        <f>"301216"</f>
        <v>301216</v>
      </c>
      <c r="C1324" t="s">
        <v>2924</v>
      </c>
      <c r="E1324">
        <v>868670363</v>
      </c>
      <c r="P1324">
        <v>6</v>
      </c>
      <c r="Q1324" t="s">
        <v>2925</v>
      </c>
    </row>
    <row r="1325" spans="1:17" x14ac:dyDescent="0.3">
      <c r="A1325" t="s">
        <v>73</v>
      </c>
      <c r="B1325" t="str">
        <f>"002314"</f>
        <v>002314</v>
      </c>
      <c r="C1325" t="s">
        <v>2926</v>
      </c>
      <c r="D1325" t="s">
        <v>27</v>
      </c>
      <c r="E1325">
        <v>868361323</v>
      </c>
      <c r="F1325">
        <v>1210669394</v>
      </c>
      <c r="G1325">
        <v>985273724</v>
      </c>
      <c r="H1325">
        <v>805462401</v>
      </c>
      <c r="I1325">
        <v>437652311</v>
      </c>
      <c r="J1325">
        <v>476341307</v>
      </c>
      <c r="K1325">
        <v>487132772</v>
      </c>
      <c r="L1325">
        <v>514004916</v>
      </c>
      <c r="M1325">
        <v>682077556</v>
      </c>
      <c r="N1325">
        <v>666496008</v>
      </c>
      <c r="O1325">
        <v>652448823</v>
      </c>
      <c r="P1325">
        <v>206</v>
      </c>
      <c r="Q1325" t="s">
        <v>2927</v>
      </c>
    </row>
    <row r="1326" spans="1:17" x14ac:dyDescent="0.3">
      <c r="A1326" t="s">
        <v>17</v>
      </c>
      <c r="B1326" t="str">
        <f>"688669"</f>
        <v>688669</v>
      </c>
      <c r="C1326" t="s">
        <v>2928</v>
      </c>
      <c r="D1326" t="s">
        <v>570</v>
      </c>
      <c r="E1326">
        <v>867954758</v>
      </c>
      <c r="F1326">
        <v>616629984</v>
      </c>
      <c r="J1326">
        <v>149012775</v>
      </c>
      <c r="P1326">
        <v>36</v>
      </c>
      <c r="Q1326" t="s">
        <v>2929</v>
      </c>
    </row>
    <row r="1327" spans="1:17" x14ac:dyDescent="0.3">
      <c r="A1327" t="s">
        <v>17</v>
      </c>
      <c r="B1327" t="str">
        <f>"688057"</f>
        <v>688057</v>
      </c>
      <c r="C1327" t="s">
        <v>2930</v>
      </c>
      <c r="D1327" t="s">
        <v>308</v>
      </c>
      <c r="E1327">
        <v>866256614</v>
      </c>
      <c r="F1327">
        <v>655838090</v>
      </c>
      <c r="H1327">
        <v>608180315</v>
      </c>
      <c r="I1327">
        <v>459338292</v>
      </c>
      <c r="P1327">
        <v>116</v>
      </c>
      <c r="Q1327" t="s">
        <v>2931</v>
      </c>
    </row>
    <row r="1328" spans="1:17" x14ac:dyDescent="0.3">
      <c r="A1328" t="s">
        <v>73</v>
      </c>
      <c r="B1328" t="str">
        <f>"002034"</f>
        <v>002034</v>
      </c>
      <c r="C1328" t="s">
        <v>2932</v>
      </c>
      <c r="D1328" t="s">
        <v>623</v>
      </c>
      <c r="E1328">
        <v>864557681</v>
      </c>
      <c r="F1328">
        <v>460972506</v>
      </c>
      <c r="G1328">
        <v>502936787</v>
      </c>
      <c r="H1328">
        <v>240201866</v>
      </c>
      <c r="I1328">
        <v>151626835</v>
      </c>
      <c r="J1328">
        <v>82555350</v>
      </c>
      <c r="K1328">
        <v>99877977</v>
      </c>
      <c r="L1328">
        <v>70466382</v>
      </c>
      <c r="M1328">
        <v>111032795</v>
      </c>
      <c r="N1328">
        <v>128511185</v>
      </c>
      <c r="O1328">
        <v>113826275</v>
      </c>
      <c r="P1328">
        <v>244</v>
      </c>
      <c r="Q1328" t="s">
        <v>2933</v>
      </c>
    </row>
    <row r="1329" spans="1:17" x14ac:dyDescent="0.3">
      <c r="A1329" t="s">
        <v>17</v>
      </c>
      <c r="B1329" t="str">
        <f>"600310"</f>
        <v>600310</v>
      </c>
      <c r="C1329" t="s">
        <v>2934</v>
      </c>
      <c r="D1329" t="s">
        <v>314</v>
      </c>
      <c r="E1329">
        <v>862504948</v>
      </c>
      <c r="F1329">
        <v>743163703</v>
      </c>
      <c r="G1329">
        <v>925290751</v>
      </c>
      <c r="H1329">
        <v>607283542</v>
      </c>
      <c r="I1329">
        <v>825621824</v>
      </c>
      <c r="J1329">
        <v>209382991</v>
      </c>
      <c r="K1329">
        <v>336665662</v>
      </c>
      <c r="L1329">
        <v>356019360</v>
      </c>
      <c r="M1329">
        <v>459987022</v>
      </c>
      <c r="N1329">
        <v>544092184</v>
      </c>
      <c r="O1329">
        <v>277755260</v>
      </c>
      <c r="P1329">
        <v>115</v>
      </c>
      <c r="Q1329" t="s">
        <v>2935</v>
      </c>
    </row>
    <row r="1330" spans="1:17" x14ac:dyDescent="0.3">
      <c r="A1330" t="s">
        <v>73</v>
      </c>
      <c r="B1330" t="str">
        <f>"002625"</f>
        <v>002625</v>
      </c>
      <c r="C1330" t="s">
        <v>2936</v>
      </c>
      <c r="D1330" t="s">
        <v>130</v>
      </c>
      <c r="E1330">
        <v>862235198</v>
      </c>
      <c r="F1330">
        <v>499054225</v>
      </c>
      <c r="G1330">
        <v>346058982</v>
      </c>
      <c r="H1330">
        <v>274882025</v>
      </c>
      <c r="I1330">
        <v>262566095</v>
      </c>
      <c r="J1330">
        <v>126723384</v>
      </c>
      <c r="K1330">
        <v>129813320</v>
      </c>
      <c r="L1330">
        <v>143244972</v>
      </c>
      <c r="M1330">
        <v>113163389</v>
      </c>
      <c r="N1330">
        <v>108139274</v>
      </c>
      <c r="O1330">
        <v>85142190</v>
      </c>
      <c r="P1330">
        <v>259</v>
      </c>
      <c r="Q1330" t="s">
        <v>2937</v>
      </c>
    </row>
    <row r="1331" spans="1:17" x14ac:dyDescent="0.3">
      <c r="A1331" t="s">
        <v>17</v>
      </c>
      <c r="B1331" t="str">
        <f>"600959"</f>
        <v>600959</v>
      </c>
      <c r="C1331" t="s">
        <v>2938</v>
      </c>
      <c r="D1331" t="s">
        <v>1040</v>
      </c>
      <c r="E1331">
        <v>862196169</v>
      </c>
      <c r="F1331">
        <v>962189061</v>
      </c>
      <c r="G1331">
        <v>863937518</v>
      </c>
      <c r="H1331">
        <v>764257939</v>
      </c>
      <c r="I1331">
        <v>590241393</v>
      </c>
      <c r="J1331">
        <v>699601951</v>
      </c>
      <c r="K1331">
        <v>373043907</v>
      </c>
      <c r="L1331">
        <v>235902086</v>
      </c>
      <c r="M1331">
        <v>0</v>
      </c>
      <c r="P1331">
        <v>150</v>
      </c>
      <c r="Q1331" t="s">
        <v>2939</v>
      </c>
    </row>
    <row r="1332" spans="1:17" x14ac:dyDescent="0.3">
      <c r="A1332" t="s">
        <v>73</v>
      </c>
      <c r="B1332" t="str">
        <f>"002318"</f>
        <v>002318</v>
      </c>
      <c r="C1332" t="s">
        <v>2940</v>
      </c>
      <c r="D1332" t="s">
        <v>928</v>
      </c>
      <c r="E1332">
        <v>861565395</v>
      </c>
      <c r="F1332">
        <v>723477571</v>
      </c>
      <c r="G1332">
        <v>713397739</v>
      </c>
      <c r="H1332">
        <v>585733213</v>
      </c>
      <c r="I1332">
        <v>615597592</v>
      </c>
      <c r="J1332">
        <v>602230274</v>
      </c>
      <c r="K1332">
        <v>634716001</v>
      </c>
      <c r="L1332">
        <v>432837368</v>
      </c>
      <c r="M1332">
        <v>450000735</v>
      </c>
      <c r="N1332">
        <v>398399909</v>
      </c>
      <c r="O1332">
        <v>329921622</v>
      </c>
      <c r="P1332">
        <v>451</v>
      </c>
      <c r="Q1332" t="s">
        <v>2941</v>
      </c>
    </row>
    <row r="1333" spans="1:17" x14ac:dyDescent="0.3">
      <c r="A1333" t="s">
        <v>73</v>
      </c>
      <c r="B1333" t="str">
        <f>"300439"</f>
        <v>300439</v>
      </c>
      <c r="C1333" t="s">
        <v>2942</v>
      </c>
      <c r="D1333" t="s">
        <v>773</v>
      </c>
      <c r="E1333">
        <v>861501850</v>
      </c>
      <c r="F1333">
        <v>978205277</v>
      </c>
      <c r="G1333">
        <v>970657905</v>
      </c>
      <c r="H1333">
        <v>1343875933</v>
      </c>
      <c r="I1333">
        <v>837031212</v>
      </c>
      <c r="J1333">
        <v>472281180</v>
      </c>
      <c r="K1333">
        <v>221355988</v>
      </c>
      <c r="L1333">
        <v>214370185</v>
      </c>
      <c r="M1333">
        <v>0</v>
      </c>
      <c r="P1333">
        <v>209</v>
      </c>
      <c r="Q1333" t="s">
        <v>2943</v>
      </c>
    </row>
    <row r="1334" spans="1:17" x14ac:dyDescent="0.3">
      <c r="A1334" t="s">
        <v>73</v>
      </c>
      <c r="B1334" t="str">
        <f>"300444"</f>
        <v>300444</v>
      </c>
      <c r="C1334" t="s">
        <v>2944</v>
      </c>
      <c r="D1334" t="s">
        <v>224</v>
      </c>
      <c r="E1334">
        <v>860131980</v>
      </c>
      <c r="F1334">
        <v>772960196</v>
      </c>
      <c r="G1334">
        <v>969452510</v>
      </c>
      <c r="H1334">
        <v>1184582488</v>
      </c>
      <c r="I1334">
        <v>1108419262</v>
      </c>
      <c r="J1334">
        <v>670321374</v>
      </c>
      <c r="K1334">
        <v>403894160</v>
      </c>
      <c r="L1334">
        <v>0</v>
      </c>
      <c r="P1334">
        <v>101</v>
      </c>
      <c r="Q1334" t="s">
        <v>2945</v>
      </c>
    </row>
    <row r="1335" spans="1:17" x14ac:dyDescent="0.3">
      <c r="A1335" t="s">
        <v>17</v>
      </c>
      <c r="B1335" t="str">
        <f>"688100"</f>
        <v>688100</v>
      </c>
      <c r="C1335" t="s">
        <v>2946</v>
      </c>
      <c r="D1335" t="s">
        <v>332</v>
      </c>
      <c r="E1335">
        <v>860111920</v>
      </c>
      <c r="F1335">
        <v>705186727</v>
      </c>
      <c r="G1335">
        <v>659256338</v>
      </c>
      <c r="H1335">
        <v>589858476</v>
      </c>
      <c r="P1335">
        <v>103</v>
      </c>
      <c r="Q1335" t="s">
        <v>2947</v>
      </c>
    </row>
    <row r="1336" spans="1:17" x14ac:dyDescent="0.3">
      <c r="A1336" t="s">
        <v>73</v>
      </c>
      <c r="B1336" t="str">
        <f>"300036"</f>
        <v>300036</v>
      </c>
      <c r="C1336" t="s">
        <v>2948</v>
      </c>
      <c r="D1336" t="s">
        <v>404</v>
      </c>
      <c r="E1336">
        <v>858139337</v>
      </c>
      <c r="F1336">
        <v>705134634</v>
      </c>
      <c r="G1336">
        <v>547087973</v>
      </c>
      <c r="H1336">
        <v>545313000</v>
      </c>
      <c r="I1336">
        <v>510699924</v>
      </c>
      <c r="J1336">
        <v>363982920</v>
      </c>
      <c r="K1336">
        <v>202119625</v>
      </c>
      <c r="L1336">
        <v>155914578</v>
      </c>
      <c r="M1336">
        <v>163070390</v>
      </c>
      <c r="N1336">
        <v>129442160</v>
      </c>
      <c r="O1336">
        <v>149074187</v>
      </c>
      <c r="P1336">
        <v>545</v>
      </c>
      <c r="Q1336" t="s">
        <v>2949</v>
      </c>
    </row>
    <row r="1337" spans="1:17" x14ac:dyDescent="0.3">
      <c r="A1337" t="s">
        <v>17</v>
      </c>
      <c r="B1337" t="str">
        <f>"688128"</f>
        <v>688128</v>
      </c>
      <c r="C1337" t="s">
        <v>2950</v>
      </c>
      <c r="D1337" t="s">
        <v>1451</v>
      </c>
      <c r="E1337">
        <v>857875400</v>
      </c>
      <c r="F1337">
        <v>598646600</v>
      </c>
      <c r="G1337">
        <v>470677400</v>
      </c>
      <c r="H1337">
        <v>653007270</v>
      </c>
      <c r="P1337">
        <v>68</v>
      </c>
      <c r="Q1337" t="s">
        <v>2951</v>
      </c>
    </row>
    <row r="1338" spans="1:17" x14ac:dyDescent="0.3">
      <c r="A1338" t="s">
        <v>73</v>
      </c>
      <c r="B1338" t="str">
        <f>"300131"</f>
        <v>300131</v>
      </c>
      <c r="C1338" t="s">
        <v>2952</v>
      </c>
      <c r="D1338" t="s">
        <v>42</v>
      </c>
      <c r="E1338">
        <v>857632861</v>
      </c>
      <c r="F1338">
        <v>1173707525</v>
      </c>
      <c r="G1338">
        <v>1199825209</v>
      </c>
      <c r="H1338">
        <v>1806653332</v>
      </c>
      <c r="I1338">
        <v>1748659773</v>
      </c>
      <c r="J1338">
        <v>1030838748</v>
      </c>
      <c r="K1338">
        <v>475947790</v>
      </c>
      <c r="L1338">
        <v>118742994</v>
      </c>
      <c r="M1338">
        <v>113516459</v>
      </c>
      <c r="N1338">
        <v>119196932</v>
      </c>
      <c r="O1338">
        <v>97863180</v>
      </c>
      <c r="P1338">
        <v>207</v>
      </c>
      <c r="Q1338" t="s">
        <v>2953</v>
      </c>
    </row>
    <row r="1339" spans="1:17" x14ac:dyDescent="0.3">
      <c r="A1339" t="s">
        <v>73</v>
      </c>
      <c r="B1339" t="str">
        <f>"002084"</f>
        <v>002084</v>
      </c>
      <c r="C1339" t="s">
        <v>2954</v>
      </c>
      <c r="D1339" t="s">
        <v>2817</v>
      </c>
      <c r="E1339">
        <v>857431175</v>
      </c>
      <c r="F1339">
        <v>813702432</v>
      </c>
      <c r="G1339">
        <v>504094636</v>
      </c>
      <c r="H1339">
        <v>457015815</v>
      </c>
      <c r="I1339">
        <v>395424892</v>
      </c>
      <c r="J1339">
        <v>314469419</v>
      </c>
      <c r="K1339">
        <v>412156003</v>
      </c>
      <c r="L1339">
        <v>309594908</v>
      </c>
      <c r="M1339">
        <v>395551050</v>
      </c>
      <c r="N1339">
        <v>407153486</v>
      </c>
      <c r="O1339">
        <v>335695377</v>
      </c>
      <c r="P1339">
        <v>148</v>
      </c>
      <c r="Q1339" t="s">
        <v>2955</v>
      </c>
    </row>
    <row r="1340" spans="1:17" x14ac:dyDescent="0.3">
      <c r="A1340" t="s">
        <v>73</v>
      </c>
      <c r="B1340" t="str">
        <f>"002547"</f>
        <v>002547</v>
      </c>
      <c r="C1340" t="s">
        <v>2956</v>
      </c>
      <c r="D1340" t="s">
        <v>42</v>
      </c>
      <c r="E1340">
        <v>856796014</v>
      </c>
      <c r="F1340">
        <v>915945155</v>
      </c>
      <c r="G1340">
        <v>1651605360</v>
      </c>
      <c r="H1340">
        <v>1815730186</v>
      </c>
      <c r="I1340">
        <v>1422634075</v>
      </c>
      <c r="J1340">
        <v>971114627</v>
      </c>
      <c r="K1340">
        <v>660554256</v>
      </c>
      <c r="L1340">
        <v>620825199</v>
      </c>
      <c r="M1340">
        <v>552009429</v>
      </c>
      <c r="N1340">
        <v>439907271</v>
      </c>
      <c r="O1340">
        <v>271009771</v>
      </c>
      <c r="P1340">
        <v>306</v>
      </c>
      <c r="Q1340" t="s">
        <v>2957</v>
      </c>
    </row>
    <row r="1341" spans="1:17" x14ac:dyDescent="0.3">
      <c r="A1341" t="s">
        <v>73</v>
      </c>
      <c r="B1341" t="str">
        <f>"300045"</f>
        <v>300045</v>
      </c>
      <c r="C1341" t="s">
        <v>2958</v>
      </c>
      <c r="D1341" t="s">
        <v>502</v>
      </c>
      <c r="E1341">
        <v>855901939</v>
      </c>
      <c r="F1341">
        <v>811406062</v>
      </c>
      <c r="G1341">
        <v>981304711</v>
      </c>
      <c r="H1341">
        <v>967949147</v>
      </c>
      <c r="I1341">
        <v>684664841</v>
      </c>
      <c r="J1341">
        <v>492267084</v>
      </c>
      <c r="K1341">
        <v>427798841</v>
      </c>
      <c r="L1341">
        <v>292981180</v>
      </c>
      <c r="M1341">
        <v>200236591</v>
      </c>
      <c r="N1341">
        <v>167415112</v>
      </c>
      <c r="O1341">
        <v>124405261</v>
      </c>
      <c r="P1341">
        <v>158</v>
      </c>
      <c r="Q1341" t="s">
        <v>2959</v>
      </c>
    </row>
    <row r="1342" spans="1:17" x14ac:dyDescent="0.3">
      <c r="A1342" t="s">
        <v>73</v>
      </c>
      <c r="B1342" t="str">
        <f>"300034"</f>
        <v>300034</v>
      </c>
      <c r="C1342" t="s">
        <v>2960</v>
      </c>
      <c r="D1342" t="s">
        <v>130</v>
      </c>
      <c r="E1342">
        <v>855546779</v>
      </c>
      <c r="F1342">
        <v>611880651</v>
      </c>
      <c r="G1342">
        <v>567413286</v>
      </c>
      <c r="H1342">
        <v>616118639</v>
      </c>
      <c r="I1342">
        <v>280394915</v>
      </c>
      <c r="J1342">
        <v>327068975</v>
      </c>
      <c r="K1342">
        <v>269518061</v>
      </c>
      <c r="L1342">
        <v>230826586</v>
      </c>
      <c r="M1342">
        <v>139910555</v>
      </c>
      <c r="N1342">
        <v>116420228</v>
      </c>
      <c r="O1342">
        <v>113020274</v>
      </c>
      <c r="P1342">
        <v>282</v>
      </c>
      <c r="Q1342" t="s">
        <v>2961</v>
      </c>
    </row>
    <row r="1343" spans="1:17" x14ac:dyDescent="0.3">
      <c r="A1343" t="s">
        <v>17</v>
      </c>
      <c r="B1343" t="str">
        <f>"603283"</f>
        <v>603283</v>
      </c>
      <c r="C1343" t="s">
        <v>2962</v>
      </c>
      <c r="D1343" t="s">
        <v>626</v>
      </c>
      <c r="E1343">
        <v>854240280</v>
      </c>
      <c r="F1343">
        <v>864725082</v>
      </c>
      <c r="G1343">
        <v>348239919</v>
      </c>
      <c r="H1343">
        <v>215902407</v>
      </c>
      <c r="I1343">
        <v>47859524</v>
      </c>
      <c r="P1343">
        <v>216</v>
      </c>
      <c r="Q1343" t="s">
        <v>2963</v>
      </c>
    </row>
    <row r="1344" spans="1:17" x14ac:dyDescent="0.3">
      <c r="A1344" t="s">
        <v>73</v>
      </c>
      <c r="B1344" t="str">
        <f>"300224"</f>
        <v>300224</v>
      </c>
      <c r="C1344" t="s">
        <v>2964</v>
      </c>
      <c r="D1344" t="s">
        <v>1142</v>
      </c>
      <c r="E1344">
        <v>854141048</v>
      </c>
      <c r="F1344">
        <v>548617730</v>
      </c>
      <c r="G1344">
        <v>433118391</v>
      </c>
      <c r="H1344">
        <v>555932475</v>
      </c>
      <c r="I1344">
        <v>490640523</v>
      </c>
      <c r="J1344">
        <v>478778445</v>
      </c>
      <c r="K1344">
        <v>529046696</v>
      </c>
      <c r="L1344">
        <v>150286573</v>
      </c>
      <c r="M1344">
        <v>158772168</v>
      </c>
      <c r="N1344">
        <v>93743071</v>
      </c>
      <c r="O1344">
        <v>62650532</v>
      </c>
      <c r="P1344">
        <v>198</v>
      </c>
      <c r="Q1344" t="s">
        <v>2965</v>
      </c>
    </row>
    <row r="1345" spans="1:17" x14ac:dyDescent="0.3">
      <c r="A1345" t="s">
        <v>73</v>
      </c>
      <c r="B1345" t="str">
        <f>"002062"</f>
        <v>002062</v>
      </c>
      <c r="C1345" t="s">
        <v>2966</v>
      </c>
      <c r="D1345" t="s">
        <v>22</v>
      </c>
      <c r="E1345">
        <v>854015525</v>
      </c>
      <c r="F1345">
        <v>1063371179</v>
      </c>
      <c r="G1345">
        <v>1049125289</v>
      </c>
      <c r="H1345">
        <v>0</v>
      </c>
      <c r="I1345">
        <v>502224621</v>
      </c>
      <c r="J1345">
        <v>517565438</v>
      </c>
      <c r="K1345">
        <v>680384305</v>
      </c>
      <c r="L1345">
        <v>468820718</v>
      </c>
      <c r="M1345">
        <v>470259705</v>
      </c>
      <c r="N1345">
        <v>472223245</v>
      </c>
      <c r="O1345">
        <v>520769943</v>
      </c>
      <c r="P1345">
        <v>145</v>
      </c>
      <c r="Q1345" t="s">
        <v>2967</v>
      </c>
    </row>
    <row r="1346" spans="1:17" x14ac:dyDescent="0.3">
      <c r="A1346" t="s">
        <v>73</v>
      </c>
      <c r="B1346" t="str">
        <f>"300420"</f>
        <v>300420</v>
      </c>
      <c r="C1346" t="s">
        <v>2968</v>
      </c>
      <c r="D1346" t="s">
        <v>873</v>
      </c>
      <c r="E1346">
        <v>852631194</v>
      </c>
      <c r="F1346">
        <v>914220215</v>
      </c>
      <c r="G1346">
        <v>778173260</v>
      </c>
      <c r="H1346">
        <v>581120329</v>
      </c>
      <c r="I1346">
        <v>518230010</v>
      </c>
      <c r="J1346">
        <v>317123955</v>
      </c>
      <c r="K1346">
        <v>284790930</v>
      </c>
      <c r="L1346">
        <v>88273421</v>
      </c>
      <c r="M1346">
        <v>0</v>
      </c>
      <c r="P1346">
        <v>146</v>
      </c>
      <c r="Q1346" t="s">
        <v>2969</v>
      </c>
    </row>
    <row r="1347" spans="1:17" x14ac:dyDescent="0.3">
      <c r="A1347" t="s">
        <v>73</v>
      </c>
      <c r="B1347" t="str">
        <f>"002483"</f>
        <v>002483</v>
      </c>
      <c r="C1347" t="s">
        <v>2970</v>
      </c>
      <c r="D1347" t="s">
        <v>311</v>
      </c>
      <c r="E1347">
        <v>852189177</v>
      </c>
      <c r="F1347">
        <v>562963657</v>
      </c>
      <c r="G1347">
        <v>449894495</v>
      </c>
      <c r="H1347">
        <v>325817274</v>
      </c>
      <c r="I1347">
        <v>274809788</v>
      </c>
      <c r="J1347">
        <v>232628088</v>
      </c>
      <c r="K1347">
        <v>305528621</v>
      </c>
      <c r="L1347">
        <v>198013891</v>
      </c>
      <c r="M1347">
        <v>226127691</v>
      </c>
      <c r="N1347">
        <v>119008847</v>
      </c>
      <c r="O1347">
        <v>122930321</v>
      </c>
      <c r="P1347">
        <v>93</v>
      </c>
      <c r="Q1347" t="s">
        <v>2971</v>
      </c>
    </row>
    <row r="1348" spans="1:17" x14ac:dyDescent="0.3">
      <c r="A1348" t="s">
        <v>17</v>
      </c>
      <c r="B1348" t="str">
        <f>"603035"</f>
        <v>603035</v>
      </c>
      <c r="C1348" t="s">
        <v>2972</v>
      </c>
      <c r="D1348" t="s">
        <v>106</v>
      </c>
      <c r="E1348">
        <v>850961663</v>
      </c>
      <c r="F1348">
        <v>657006190</v>
      </c>
      <c r="G1348">
        <v>608007091</v>
      </c>
      <c r="H1348">
        <v>348326350</v>
      </c>
      <c r="I1348">
        <v>460844396</v>
      </c>
      <c r="J1348">
        <v>409019351</v>
      </c>
      <c r="P1348">
        <v>244</v>
      </c>
      <c r="Q1348" t="s">
        <v>2973</v>
      </c>
    </row>
    <row r="1349" spans="1:17" x14ac:dyDescent="0.3">
      <c r="A1349" t="s">
        <v>73</v>
      </c>
      <c r="B1349" t="str">
        <f>"300775"</f>
        <v>300775</v>
      </c>
      <c r="C1349" t="s">
        <v>2974</v>
      </c>
      <c r="D1349" t="s">
        <v>130</v>
      </c>
      <c r="E1349">
        <v>850819648</v>
      </c>
      <c r="F1349">
        <v>468731288</v>
      </c>
      <c r="G1349">
        <v>556682998</v>
      </c>
      <c r="H1349">
        <v>0</v>
      </c>
      <c r="I1349">
        <v>0</v>
      </c>
      <c r="P1349">
        <v>186</v>
      </c>
      <c r="Q1349" t="s">
        <v>2975</v>
      </c>
    </row>
    <row r="1350" spans="1:17" x14ac:dyDescent="0.3">
      <c r="A1350" t="s">
        <v>73</v>
      </c>
      <c r="B1350" t="str">
        <f>"002636"</f>
        <v>002636</v>
      </c>
      <c r="C1350" t="s">
        <v>2976</v>
      </c>
      <c r="D1350" t="s">
        <v>418</v>
      </c>
      <c r="E1350">
        <v>850576592</v>
      </c>
      <c r="F1350">
        <v>945730323</v>
      </c>
      <c r="G1350">
        <v>642568456</v>
      </c>
      <c r="H1350">
        <v>602980954</v>
      </c>
      <c r="I1350">
        <v>840322789</v>
      </c>
      <c r="J1350">
        <v>689098497</v>
      </c>
      <c r="K1350">
        <v>578185969</v>
      </c>
      <c r="L1350">
        <v>563607386</v>
      </c>
      <c r="M1350">
        <v>548922738</v>
      </c>
      <c r="N1350">
        <v>705069059</v>
      </c>
      <c r="O1350">
        <v>682193619</v>
      </c>
      <c r="P1350">
        <v>306</v>
      </c>
      <c r="Q1350" t="s">
        <v>2977</v>
      </c>
    </row>
    <row r="1351" spans="1:17" x14ac:dyDescent="0.3">
      <c r="A1351" t="s">
        <v>73</v>
      </c>
      <c r="B1351" t="str">
        <f>"300664"</f>
        <v>300664</v>
      </c>
      <c r="C1351" t="s">
        <v>2978</v>
      </c>
      <c r="D1351" t="s">
        <v>308</v>
      </c>
      <c r="E1351">
        <v>849196352</v>
      </c>
      <c r="F1351">
        <v>737687567</v>
      </c>
      <c r="G1351">
        <v>803602756</v>
      </c>
      <c r="H1351">
        <v>751951705</v>
      </c>
      <c r="I1351">
        <v>285607489</v>
      </c>
      <c r="J1351">
        <v>0</v>
      </c>
      <c r="P1351">
        <v>118</v>
      </c>
      <c r="Q1351" t="s">
        <v>2979</v>
      </c>
    </row>
    <row r="1352" spans="1:17" x14ac:dyDescent="0.3">
      <c r="A1352" t="s">
        <v>17</v>
      </c>
      <c r="B1352" t="str">
        <f>"601216"</f>
        <v>601216</v>
      </c>
      <c r="C1352" t="s">
        <v>2980</v>
      </c>
      <c r="D1352" t="s">
        <v>641</v>
      </c>
      <c r="E1352">
        <v>848941703</v>
      </c>
      <c r="F1352">
        <v>645795333</v>
      </c>
      <c r="G1352">
        <v>750336024</v>
      </c>
      <c r="H1352">
        <v>106719847</v>
      </c>
      <c r="I1352">
        <v>119954872</v>
      </c>
      <c r="J1352">
        <v>147133350</v>
      </c>
      <c r="K1352">
        <v>112510869</v>
      </c>
      <c r="L1352">
        <v>93898275</v>
      </c>
      <c r="M1352">
        <v>106649059</v>
      </c>
      <c r="N1352">
        <v>64959762</v>
      </c>
      <c r="O1352">
        <v>56219162</v>
      </c>
      <c r="P1352">
        <v>958</v>
      </c>
      <c r="Q1352" t="s">
        <v>2981</v>
      </c>
    </row>
    <row r="1353" spans="1:17" x14ac:dyDescent="0.3">
      <c r="A1353" t="s">
        <v>73</v>
      </c>
      <c r="B1353" t="str">
        <f>"300140"</f>
        <v>300140</v>
      </c>
      <c r="C1353" t="s">
        <v>2982</v>
      </c>
      <c r="D1353" t="s">
        <v>540</v>
      </c>
      <c r="E1353">
        <v>848423453</v>
      </c>
      <c r="F1353">
        <v>1276275460</v>
      </c>
      <c r="G1353">
        <v>2383616449</v>
      </c>
      <c r="H1353">
        <v>1992813273</v>
      </c>
      <c r="I1353">
        <v>1154262571</v>
      </c>
      <c r="J1353">
        <v>931144627</v>
      </c>
      <c r="K1353">
        <v>176649432</v>
      </c>
      <c r="L1353">
        <v>152901858</v>
      </c>
      <c r="M1353">
        <v>121815051</v>
      </c>
      <c r="N1353">
        <v>85633616</v>
      </c>
      <c r="O1353">
        <v>99794728</v>
      </c>
      <c r="P1353">
        <v>103</v>
      </c>
      <c r="Q1353" t="s">
        <v>2983</v>
      </c>
    </row>
    <row r="1354" spans="1:17" x14ac:dyDescent="0.3">
      <c r="A1354" t="s">
        <v>73</v>
      </c>
      <c r="B1354" t="str">
        <f>"002240"</f>
        <v>002240</v>
      </c>
      <c r="C1354" t="s">
        <v>2984</v>
      </c>
      <c r="D1354" t="s">
        <v>841</v>
      </c>
      <c r="E1354">
        <v>848218584</v>
      </c>
      <c r="F1354">
        <v>200435907</v>
      </c>
      <c r="G1354">
        <v>193558001</v>
      </c>
      <c r="H1354">
        <v>198734812</v>
      </c>
      <c r="I1354">
        <v>75275540</v>
      </c>
      <c r="J1354">
        <v>153215200</v>
      </c>
      <c r="K1354">
        <v>139204396</v>
      </c>
      <c r="L1354">
        <v>137602804</v>
      </c>
      <c r="M1354">
        <v>137772038</v>
      </c>
      <c r="N1354">
        <v>166599807</v>
      </c>
      <c r="O1354">
        <v>188559933</v>
      </c>
      <c r="P1354">
        <v>389</v>
      </c>
      <c r="Q1354" t="s">
        <v>2985</v>
      </c>
    </row>
    <row r="1355" spans="1:17" x14ac:dyDescent="0.3">
      <c r="A1355" t="s">
        <v>73</v>
      </c>
      <c r="B1355" t="str">
        <f>"300158"</f>
        <v>300158</v>
      </c>
      <c r="C1355" t="s">
        <v>2986</v>
      </c>
      <c r="D1355" t="s">
        <v>348</v>
      </c>
      <c r="E1355">
        <v>845826644</v>
      </c>
      <c r="F1355">
        <v>1307910704</v>
      </c>
      <c r="G1355">
        <v>1287570562</v>
      </c>
      <c r="H1355">
        <v>1196974432</v>
      </c>
      <c r="I1355">
        <v>1636117152</v>
      </c>
      <c r="J1355">
        <v>1319340829</v>
      </c>
      <c r="K1355">
        <v>888760705</v>
      </c>
      <c r="L1355">
        <v>547499499</v>
      </c>
      <c r="M1355">
        <v>489413271</v>
      </c>
      <c r="N1355">
        <v>448215240</v>
      </c>
      <c r="O1355">
        <v>357459183</v>
      </c>
      <c r="P1355">
        <v>176</v>
      </c>
      <c r="Q1355" t="s">
        <v>2987</v>
      </c>
    </row>
    <row r="1356" spans="1:17" x14ac:dyDescent="0.3">
      <c r="A1356" t="s">
        <v>73</v>
      </c>
      <c r="B1356" t="str">
        <f>"002438"</f>
        <v>002438</v>
      </c>
      <c r="C1356" t="s">
        <v>2988</v>
      </c>
      <c r="D1356" t="s">
        <v>146</v>
      </c>
      <c r="E1356">
        <v>844519594</v>
      </c>
      <c r="F1356">
        <v>680303879</v>
      </c>
      <c r="G1356">
        <v>702154715</v>
      </c>
      <c r="H1356">
        <v>624341423</v>
      </c>
      <c r="I1356">
        <v>542290896</v>
      </c>
      <c r="J1356">
        <v>545973425</v>
      </c>
      <c r="K1356">
        <v>537018180</v>
      </c>
      <c r="L1356">
        <v>365363648</v>
      </c>
      <c r="M1356">
        <v>367406842</v>
      </c>
      <c r="N1356">
        <v>280512847</v>
      </c>
      <c r="O1356">
        <v>229626859</v>
      </c>
      <c r="P1356">
        <v>185</v>
      </c>
      <c r="Q1356" t="s">
        <v>2989</v>
      </c>
    </row>
    <row r="1357" spans="1:17" x14ac:dyDescent="0.3">
      <c r="A1357" t="s">
        <v>17</v>
      </c>
      <c r="B1357" t="str">
        <f>"601700"</f>
        <v>601700</v>
      </c>
      <c r="C1357" t="s">
        <v>2990</v>
      </c>
      <c r="D1357" t="s">
        <v>515</v>
      </c>
      <c r="E1357">
        <v>844446552</v>
      </c>
      <c r="F1357">
        <v>845635600</v>
      </c>
      <c r="G1357">
        <v>933976533</v>
      </c>
      <c r="H1357">
        <v>916557176</v>
      </c>
      <c r="I1357">
        <v>1179610830</v>
      </c>
      <c r="J1357">
        <v>1074784476</v>
      </c>
      <c r="K1357">
        <v>911936546</v>
      </c>
      <c r="L1357">
        <v>763271793</v>
      </c>
      <c r="M1357">
        <v>637099944</v>
      </c>
      <c r="N1357">
        <v>421614197</v>
      </c>
      <c r="O1357">
        <v>409620862</v>
      </c>
      <c r="P1357">
        <v>126</v>
      </c>
      <c r="Q1357" t="s">
        <v>2991</v>
      </c>
    </row>
    <row r="1358" spans="1:17" x14ac:dyDescent="0.3">
      <c r="A1358" t="s">
        <v>73</v>
      </c>
      <c r="B1358" t="str">
        <f>"002526"</f>
        <v>002526</v>
      </c>
      <c r="C1358" t="s">
        <v>2992</v>
      </c>
      <c r="D1358" t="s">
        <v>311</v>
      </c>
      <c r="E1358">
        <v>843689903</v>
      </c>
      <c r="F1358">
        <v>626499799</v>
      </c>
      <c r="G1358">
        <v>708331158</v>
      </c>
      <c r="H1358">
        <v>625550171</v>
      </c>
      <c r="I1358">
        <v>725955932</v>
      </c>
      <c r="J1358">
        <v>682025962</v>
      </c>
      <c r="K1358">
        <v>902872790</v>
      </c>
      <c r="L1358">
        <v>1015104949</v>
      </c>
      <c r="M1358">
        <v>907830183</v>
      </c>
      <c r="N1358">
        <v>841526439</v>
      </c>
      <c r="O1358">
        <v>648082497</v>
      </c>
      <c r="P1358">
        <v>103</v>
      </c>
      <c r="Q1358" t="s">
        <v>2993</v>
      </c>
    </row>
    <row r="1359" spans="1:17" x14ac:dyDescent="0.3">
      <c r="A1359" t="s">
        <v>17</v>
      </c>
      <c r="B1359" t="str">
        <f>"603408"</f>
        <v>603408</v>
      </c>
      <c r="C1359" t="s">
        <v>2994</v>
      </c>
      <c r="D1359" t="s">
        <v>2817</v>
      </c>
      <c r="E1359">
        <v>843020404</v>
      </c>
      <c r="F1359">
        <v>795785919</v>
      </c>
      <c r="G1359">
        <v>488028746</v>
      </c>
      <c r="P1359">
        <v>98</v>
      </c>
      <c r="Q1359" t="s">
        <v>2995</v>
      </c>
    </row>
    <row r="1360" spans="1:17" x14ac:dyDescent="0.3">
      <c r="A1360" t="s">
        <v>17</v>
      </c>
      <c r="B1360" t="str">
        <f>"600792"</f>
        <v>600792</v>
      </c>
      <c r="C1360" t="s">
        <v>2996</v>
      </c>
      <c r="D1360" t="s">
        <v>1651</v>
      </c>
      <c r="E1360">
        <v>842161677</v>
      </c>
      <c r="F1360">
        <v>833201309</v>
      </c>
      <c r="G1360">
        <v>859530565</v>
      </c>
      <c r="H1360">
        <v>965270767</v>
      </c>
      <c r="I1360">
        <v>661659444</v>
      </c>
      <c r="J1360">
        <v>769533405</v>
      </c>
      <c r="K1360">
        <v>283423708</v>
      </c>
      <c r="L1360">
        <v>184870918</v>
      </c>
      <c r="M1360">
        <v>222136853</v>
      </c>
      <c r="N1360">
        <v>169587356</v>
      </c>
      <c r="O1360">
        <v>129906507</v>
      </c>
      <c r="P1360">
        <v>97</v>
      </c>
      <c r="Q1360" t="s">
        <v>2997</v>
      </c>
    </row>
    <row r="1361" spans="1:17" x14ac:dyDescent="0.3">
      <c r="A1361" t="s">
        <v>73</v>
      </c>
      <c r="B1361" t="str">
        <f>"002391"</f>
        <v>002391</v>
      </c>
      <c r="C1361" t="s">
        <v>2998</v>
      </c>
      <c r="D1361" t="s">
        <v>272</v>
      </c>
      <c r="E1361">
        <v>841033383</v>
      </c>
      <c r="F1361">
        <v>623974117</v>
      </c>
      <c r="G1361">
        <v>595213607</v>
      </c>
      <c r="H1361">
        <v>491969095</v>
      </c>
      <c r="I1361">
        <v>463249236</v>
      </c>
      <c r="J1361">
        <v>466481913</v>
      </c>
      <c r="K1361">
        <v>495409280</v>
      </c>
      <c r="L1361">
        <v>320485603</v>
      </c>
      <c r="M1361">
        <v>304211751</v>
      </c>
      <c r="N1361">
        <v>233367754</v>
      </c>
      <c r="O1361">
        <v>213035370</v>
      </c>
      <c r="P1361">
        <v>192</v>
      </c>
      <c r="Q1361" t="s">
        <v>2999</v>
      </c>
    </row>
    <row r="1362" spans="1:17" x14ac:dyDescent="0.3">
      <c r="A1362" t="s">
        <v>73</v>
      </c>
      <c r="B1362" t="str">
        <f>"300495"</f>
        <v>300495</v>
      </c>
      <c r="C1362" t="s">
        <v>3000</v>
      </c>
      <c r="D1362" t="s">
        <v>445</v>
      </c>
      <c r="E1362">
        <v>840984804</v>
      </c>
      <c r="F1362">
        <v>1441978129</v>
      </c>
      <c r="G1362">
        <v>1737997560</v>
      </c>
      <c r="H1362">
        <v>1637880870</v>
      </c>
      <c r="I1362">
        <v>1731817184</v>
      </c>
      <c r="J1362">
        <v>1067971786</v>
      </c>
      <c r="K1362">
        <v>195318017</v>
      </c>
      <c r="L1362">
        <v>0</v>
      </c>
      <c r="M1362">
        <v>0</v>
      </c>
      <c r="P1362">
        <v>103</v>
      </c>
      <c r="Q1362" t="s">
        <v>3001</v>
      </c>
    </row>
    <row r="1363" spans="1:17" x14ac:dyDescent="0.3">
      <c r="A1363" t="s">
        <v>17</v>
      </c>
      <c r="B1363" t="str">
        <f>"601928"</f>
        <v>601928</v>
      </c>
      <c r="C1363" t="s">
        <v>3002</v>
      </c>
      <c r="D1363" t="s">
        <v>1316</v>
      </c>
      <c r="E1363">
        <v>839751722</v>
      </c>
      <c r="F1363">
        <v>908503288</v>
      </c>
      <c r="G1363">
        <v>1011690073</v>
      </c>
      <c r="H1363">
        <v>838807914</v>
      </c>
      <c r="I1363">
        <v>856188155</v>
      </c>
      <c r="J1363">
        <v>879188985</v>
      </c>
      <c r="K1363">
        <v>769255908</v>
      </c>
      <c r="L1363">
        <v>652183089</v>
      </c>
      <c r="M1363">
        <v>471473328</v>
      </c>
      <c r="N1363">
        <v>491742668</v>
      </c>
      <c r="O1363">
        <v>440905928</v>
      </c>
      <c r="P1363">
        <v>551</v>
      </c>
      <c r="Q1363" t="s">
        <v>3003</v>
      </c>
    </row>
    <row r="1364" spans="1:17" x14ac:dyDescent="0.3">
      <c r="A1364" t="s">
        <v>73</v>
      </c>
      <c r="B1364" t="str">
        <f>"000665"</f>
        <v>000665</v>
      </c>
      <c r="C1364" t="s">
        <v>3004</v>
      </c>
      <c r="D1364" t="s">
        <v>1040</v>
      </c>
      <c r="E1364">
        <v>838890969</v>
      </c>
      <c r="F1364">
        <v>875190330</v>
      </c>
      <c r="G1364">
        <v>683126173</v>
      </c>
      <c r="H1364">
        <v>431806197</v>
      </c>
      <c r="I1364">
        <v>232105495</v>
      </c>
      <c r="J1364">
        <v>139241947</v>
      </c>
      <c r="K1364">
        <v>122553753</v>
      </c>
      <c r="L1364">
        <v>62785581</v>
      </c>
      <c r="M1364">
        <v>34142470</v>
      </c>
      <c r="N1364">
        <v>18508633</v>
      </c>
      <c r="O1364">
        <v>172899675</v>
      </c>
      <c r="P1364">
        <v>221</v>
      </c>
      <c r="Q1364" t="s">
        <v>3005</v>
      </c>
    </row>
    <row r="1365" spans="1:17" x14ac:dyDescent="0.3">
      <c r="A1365" t="s">
        <v>73</v>
      </c>
      <c r="B1365" t="str">
        <f>"000628"</f>
        <v>000628</v>
      </c>
      <c r="C1365" t="s">
        <v>3006</v>
      </c>
      <c r="D1365" t="s">
        <v>19</v>
      </c>
      <c r="E1365">
        <v>836498504</v>
      </c>
      <c r="F1365">
        <v>702281263</v>
      </c>
      <c r="G1365">
        <v>710438080</v>
      </c>
      <c r="H1365">
        <v>479954127</v>
      </c>
      <c r="I1365">
        <v>423357412</v>
      </c>
      <c r="J1365">
        <v>416246351</v>
      </c>
      <c r="K1365">
        <v>395824219</v>
      </c>
      <c r="L1365">
        <v>299472518</v>
      </c>
      <c r="M1365">
        <v>354506107</v>
      </c>
      <c r="N1365">
        <v>63328524</v>
      </c>
      <c r="O1365">
        <v>148270014</v>
      </c>
      <c r="P1365">
        <v>127</v>
      </c>
      <c r="Q1365" t="s">
        <v>3007</v>
      </c>
    </row>
    <row r="1366" spans="1:17" x14ac:dyDescent="0.3">
      <c r="A1366" t="s">
        <v>17</v>
      </c>
      <c r="B1366" t="str">
        <f>"601958"</f>
        <v>601958</v>
      </c>
      <c r="C1366" t="s">
        <v>3008</v>
      </c>
      <c r="D1366" t="s">
        <v>2580</v>
      </c>
      <c r="E1366">
        <v>835506740</v>
      </c>
      <c r="F1366">
        <v>567837430</v>
      </c>
      <c r="G1366">
        <v>417135509</v>
      </c>
      <c r="H1366">
        <v>485236799</v>
      </c>
      <c r="I1366">
        <v>572826308</v>
      </c>
      <c r="J1366">
        <v>470021097</v>
      </c>
      <c r="K1366">
        <v>423931987</v>
      </c>
      <c r="L1366">
        <v>535411261</v>
      </c>
      <c r="M1366">
        <v>475540547</v>
      </c>
      <c r="N1366">
        <v>585574389</v>
      </c>
      <c r="O1366">
        <v>422924814</v>
      </c>
      <c r="P1366">
        <v>244</v>
      </c>
      <c r="Q1366" t="s">
        <v>3009</v>
      </c>
    </row>
    <row r="1367" spans="1:17" x14ac:dyDescent="0.3">
      <c r="A1367" t="s">
        <v>17</v>
      </c>
      <c r="B1367" t="str">
        <f>"600469"</f>
        <v>600469</v>
      </c>
      <c r="C1367" t="s">
        <v>3010</v>
      </c>
      <c r="D1367" t="s">
        <v>781</v>
      </c>
      <c r="E1367">
        <v>835448457</v>
      </c>
      <c r="F1367">
        <v>1254519124</v>
      </c>
      <c r="G1367">
        <v>1083848058</v>
      </c>
      <c r="H1367">
        <v>1221974255</v>
      </c>
      <c r="I1367">
        <v>1329101629</v>
      </c>
      <c r="J1367">
        <v>1478325302</v>
      </c>
      <c r="K1367">
        <v>1023800074</v>
      </c>
      <c r="L1367">
        <v>1363891296</v>
      </c>
      <c r="M1367">
        <v>1598142334</v>
      </c>
      <c r="N1367">
        <v>1628535550</v>
      </c>
      <c r="O1367">
        <v>1419249515</v>
      </c>
      <c r="P1367">
        <v>99</v>
      </c>
      <c r="Q1367" t="s">
        <v>3011</v>
      </c>
    </row>
    <row r="1368" spans="1:17" x14ac:dyDescent="0.3">
      <c r="A1368" t="s">
        <v>17</v>
      </c>
      <c r="B1368" t="str">
        <f>"603928"</f>
        <v>603928</v>
      </c>
      <c r="C1368" t="s">
        <v>3012</v>
      </c>
      <c r="D1368" t="s">
        <v>1557</v>
      </c>
      <c r="E1368">
        <v>835286197</v>
      </c>
      <c r="F1368">
        <v>634157314</v>
      </c>
      <c r="G1368">
        <v>499669676</v>
      </c>
      <c r="H1368">
        <v>537073139</v>
      </c>
      <c r="I1368">
        <v>596977552</v>
      </c>
      <c r="J1368">
        <v>375806673</v>
      </c>
      <c r="P1368">
        <v>102</v>
      </c>
      <c r="Q1368" t="s">
        <v>3013</v>
      </c>
    </row>
    <row r="1369" spans="1:17" x14ac:dyDescent="0.3">
      <c r="A1369" t="s">
        <v>73</v>
      </c>
      <c r="B1369" t="str">
        <f>"002637"</f>
        <v>002637</v>
      </c>
      <c r="C1369" t="s">
        <v>3014</v>
      </c>
      <c r="D1369" t="s">
        <v>588</v>
      </c>
      <c r="E1369">
        <v>834057161</v>
      </c>
      <c r="F1369">
        <v>775867980</v>
      </c>
      <c r="G1369">
        <v>690564975</v>
      </c>
      <c r="H1369">
        <v>419501594</v>
      </c>
      <c r="I1369">
        <v>590809499</v>
      </c>
      <c r="J1369">
        <v>433874927</v>
      </c>
      <c r="K1369">
        <v>241004136</v>
      </c>
      <c r="L1369">
        <v>182108382</v>
      </c>
      <c r="M1369">
        <v>157879346</v>
      </c>
      <c r="N1369">
        <v>117219956</v>
      </c>
      <c r="O1369">
        <v>122848086</v>
      </c>
      <c r="P1369">
        <v>145</v>
      </c>
      <c r="Q1369" t="s">
        <v>3015</v>
      </c>
    </row>
    <row r="1370" spans="1:17" x14ac:dyDescent="0.3">
      <c r="A1370" t="s">
        <v>17</v>
      </c>
      <c r="B1370" t="str">
        <f>"603112"</f>
        <v>603112</v>
      </c>
      <c r="C1370" t="s">
        <v>3016</v>
      </c>
      <c r="D1370" t="s">
        <v>654</v>
      </c>
      <c r="E1370">
        <v>833777385</v>
      </c>
      <c r="F1370">
        <v>628754977</v>
      </c>
      <c r="P1370">
        <v>48</v>
      </c>
      <c r="Q1370" t="s">
        <v>3017</v>
      </c>
    </row>
    <row r="1371" spans="1:17" x14ac:dyDescent="0.3">
      <c r="A1371" t="s">
        <v>17</v>
      </c>
      <c r="B1371" t="str">
        <f>"603129"</f>
        <v>603129</v>
      </c>
      <c r="C1371" t="s">
        <v>3018</v>
      </c>
      <c r="D1371" t="s">
        <v>1324</v>
      </c>
      <c r="E1371">
        <v>832478727</v>
      </c>
      <c r="F1371">
        <v>457991789</v>
      </c>
      <c r="G1371">
        <v>280785105</v>
      </c>
      <c r="H1371">
        <v>237677035</v>
      </c>
      <c r="I1371">
        <v>125346494</v>
      </c>
      <c r="J1371">
        <v>86550444</v>
      </c>
      <c r="P1371">
        <v>625</v>
      </c>
      <c r="Q1371" t="s">
        <v>3019</v>
      </c>
    </row>
    <row r="1372" spans="1:17" x14ac:dyDescent="0.3">
      <c r="A1372" t="s">
        <v>17</v>
      </c>
      <c r="B1372" t="str">
        <f>"603197"</f>
        <v>603197</v>
      </c>
      <c r="C1372" t="s">
        <v>3020</v>
      </c>
      <c r="D1372" t="s">
        <v>722</v>
      </c>
      <c r="E1372">
        <v>832185914</v>
      </c>
      <c r="F1372">
        <v>663340383</v>
      </c>
      <c r="G1372">
        <v>627920467</v>
      </c>
      <c r="H1372">
        <v>604503629</v>
      </c>
      <c r="I1372">
        <v>507176935</v>
      </c>
      <c r="J1372">
        <v>443709780</v>
      </c>
      <c r="P1372">
        <v>357</v>
      </c>
      <c r="Q1372" t="s">
        <v>3021</v>
      </c>
    </row>
    <row r="1373" spans="1:17" x14ac:dyDescent="0.3">
      <c r="A1373" t="s">
        <v>17</v>
      </c>
      <c r="B1373" t="str">
        <f>"600569"</f>
        <v>600569</v>
      </c>
      <c r="C1373" t="s">
        <v>3022</v>
      </c>
      <c r="D1373" t="s">
        <v>221</v>
      </c>
      <c r="E1373">
        <v>830599692</v>
      </c>
      <c r="F1373">
        <v>636572451</v>
      </c>
      <c r="G1373">
        <v>510691884</v>
      </c>
      <c r="H1373">
        <v>690596707</v>
      </c>
      <c r="I1373">
        <v>885975733</v>
      </c>
      <c r="J1373">
        <v>1095811751</v>
      </c>
      <c r="K1373">
        <v>1136595015</v>
      </c>
      <c r="L1373">
        <v>657053763</v>
      </c>
      <c r="M1373">
        <v>198901434</v>
      </c>
      <c r="N1373">
        <v>204281788</v>
      </c>
      <c r="O1373">
        <v>167373576</v>
      </c>
      <c r="P1373">
        <v>329</v>
      </c>
      <c r="Q1373" t="s">
        <v>3023</v>
      </c>
    </row>
    <row r="1374" spans="1:17" x14ac:dyDescent="0.3">
      <c r="A1374" t="s">
        <v>73</v>
      </c>
      <c r="B1374" t="str">
        <f>"002272"</f>
        <v>002272</v>
      </c>
      <c r="C1374" t="s">
        <v>3024</v>
      </c>
      <c r="D1374" t="s">
        <v>2394</v>
      </c>
      <c r="E1374">
        <v>830067957</v>
      </c>
      <c r="F1374">
        <v>732569835</v>
      </c>
      <c r="G1374">
        <v>441441321</v>
      </c>
      <c r="H1374">
        <v>412869694</v>
      </c>
      <c r="I1374">
        <v>436614752</v>
      </c>
      <c r="J1374">
        <v>476533035</v>
      </c>
      <c r="K1374">
        <v>502140249</v>
      </c>
      <c r="L1374">
        <v>458097825</v>
      </c>
      <c r="M1374">
        <v>380488871</v>
      </c>
      <c r="N1374">
        <v>305601532</v>
      </c>
      <c r="O1374">
        <v>306271149</v>
      </c>
      <c r="P1374">
        <v>107</v>
      </c>
      <c r="Q1374" t="s">
        <v>3025</v>
      </c>
    </row>
    <row r="1375" spans="1:17" x14ac:dyDescent="0.3">
      <c r="A1375" t="s">
        <v>73</v>
      </c>
      <c r="B1375" t="str">
        <f>"000922"</f>
        <v>000922</v>
      </c>
      <c r="C1375" t="s">
        <v>3026</v>
      </c>
      <c r="D1375" t="s">
        <v>689</v>
      </c>
      <c r="E1375">
        <v>828915967</v>
      </c>
      <c r="F1375">
        <v>713442108</v>
      </c>
      <c r="G1375">
        <v>648057664</v>
      </c>
      <c r="H1375">
        <v>648986817</v>
      </c>
      <c r="I1375">
        <v>630348208</v>
      </c>
      <c r="J1375">
        <v>637338640</v>
      </c>
      <c r="K1375">
        <v>805230505</v>
      </c>
      <c r="L1375">
        <v>948253556</v>
      </c>
      <c r="M1375">
        <v>1040499140</v>
      </c>
      <c r="N1375">
        <v>866558855</v>
      </c>
      <c r="O1375">
        <v>97950074</v>
      </c>
      <c r="P1375">
        <v>261</v>
      </c>
      <c r="Q1375" t="s">
        <v>3027</v>
      </c>
    </row>
    <row r="1376" spans="1:17" x14ac:dyDescent="0.3">
      <c r="A1376" t="s">
        <v>73</v>
      </c>
      <c r="B1376" t="str">
        <f>"000668"</f>
        <v>000668</v>
      </c>
      <c r="C1376" t="s">
        <v>3028</v>
      </c>
      <c r="D1376" t="s">
        <v>27</v>
      </c>
      <c r="E1376">
        <v>828283796</v>
      </c>
      <c r="F1376">
        <v>5916101</v>
      </c>
      <c r="G1376">
        <v>2777499</v>
      </c>
      <c r="H1376">
        <v>2077316</v>
      </c>
      <c r="I1376">
        <v>43630</v>
      </c>
      <c r="J1376">
        <v>58400</v>
      </c>
      <c r="K1376">
        <v>141902</v>
      </c>
      <c r="L1376">
        <v>3809617</v>
      </c>
      <c r="M1376">
        <v>17370398</v>
      </c>
      <c r="N1376">
        <v>12449655</v>
      </c>
      <c r="O1376">
        <v>16131774</v>
      </c>
      <c r="P1376">
        <v>96</v>
      </c>
      <c r="Q1376" t="s">
        <v>3029</v>
      </c>
    </row>
    <row r="1377" spans="1:17" x14ac:dyDescent="0.3">
      <c r="A1377" t="s">
        <v>17</v>
      </c>
      <c r="B1377" t="str">
        <f>"600201"</f>
        <v>600201</v>
      </c>
      <c r="C1377" t="s">
        <v>3030</v>
      </c>
      <c r="D1377" t="s">
        <v>2849</v>
      </c>
      <c r="E1377">
        <v>828274368</v>
      </c>
      <c r="F1377">
        <v>814382863</v>
      </c>
      <c r="G1377">
        <v>742192874</v>
      </c>
      <c r="H1377">
        <v>785109972</v>
      </c>
      <c r="I1377">
        <v>675262585</v>
      </c>
      <c r="J1377">
        <v>388796003</v>
      </c>
      <c r="K1377">
        <v>339797876</v>
      </c>
      <c r="L1377">
        <v>299969983</v>
      </c>
      <c r="M1377">
        <v>265288377</v>
      </c>
      <c r="N1377">
        <v>204497425</v>
      </c>
      <c r="O1377">
        <v>153942472</v>
      </c>
      <c r="P1377">
        <v>1764</v>
      </c>
      <c r="Q1377" t="s">
        <v>3031</v>
      </c>
    </row>
    <row r="1378" spans="1:17" x14ac:dyDescent="0.3">
      <c r="A1378" t="s">
        <v>73</v>
      </c>
      <c r="B1378" t="str">
        <f>"300432"</f>
        <v>300432</v>
      </c>
      <c r="C1378" t="s">
        <v>3032</v>
      </c>
      <c r="D1378" t="s">
        <v>122</v>
      </c>
      <c r="E1378">
        <v>827709217</v>
      </c>
      <c r="F1378">
        <v>405158403</v>
      </c>
      <c r="G1378">
        <v>249798965</v>
      </c>
      <c r="H1378">
        <v>353342083</v>
      </c>
      <c r="I1378">
        <v>1329609725</v>
      </c>
      <c r="J1378">
        <v>672792798</v>
      </c>
      <c r="K1378">
        <v>177367783</v>
      </c>
      <c r="L1378">
        <v>136991319</v>
      </c>
      <c r="M1378">
        <v>0</v>
      </c>
      <c r="P1378">
        <v>304</v>
      </c>
      <c r="Q1378" t="s">
        <v>3033</v>
      </c>
    </row>
    <row r="1379" spans="1:17" x14ac:dyDescent="0.3">
      <c r="A1379" t="s">
        <v>73</v>
      </c>
      <c r="B1379" t="str">
        <f>"300953"</f>
        <v>300953</v>
      </c>
      <c r="C1379" t="s">
        <v>3034</v>
      </c>
      <c r="D1379" t="s">
        <v>146</v>
      </c>
      <c r="E1379">
        <v>827655583</v>
      </c>
      <c r="F1379">
        <v>347258798</v>
      </c>
      <c r="P1379">
        <v>84</v>
      </c>
      <c r="Q1379" t="s">
        <v>3035</v>
      </c>
    </row>
    <row r="1380" spans="1:17" x14ac:dyDescent="0.3">
      <c r="A1380" t="s">
        <v>73</v>
      </c>
      <c r="B1380" t="str">
        <f>"300249"</f>
        <v>300249</v>
      </c>
      <c r="C1380" t="s">
        <v>3036</v>
      </c>
      <c r="D1380" t="s">
        <v>158</v>
      </c>
      <c r="E1380">
        <v>827278171</v>
      </c>
      <c r="F1380">
        <v>756979886</v>
      </c>
      <c r="G1380">
        <v>1028498909</v>
      </c>
      <c r="H1380">
        <v>1127909984</v>
      </c>
      <c r="I1380">
        <v>995618517</v>
      </c>
      <c r="J1380">
        <v>686191635</v>
      </c>
      <c r="K1380">
        <v>641387311</v>
      </c>
      <c r="L1380">
        <v>578796562</v>
      </c>
      <c r="M1380">
        <v>288568553</v>
      </c>
      <c r="N1380">
        <v>292781732</v>
      </c>
      <c r="O1380">
        <v>185204129</v>
      </c>
      <c r="P1380">
        <v>195</v>
      </c>
      <c r="Q1380" t="s">
        <v>3037</v>
      </c>
    </row>
    <row r="1381" spans="1:17" x14ac:dyDescent="0.3">
      <c r="A1381" t="s">
        <v>73</v>
      </c>
      <c r="B1381" t="str">
        <f>"002215"</f>
        <v>002215</v>
      </c>
      <c r="C1381" t="s">
        <v>3038</v>
      </c>
      <c r="D1381" t="s">
        <v>272</v>
      </c>
      <c r="E1381">
        <v>826468366</v>
      </c>
      <c r="F1381">
        <v>825731955</v>
      </c>
      <c r="G1381">
        <v>892950377</v>
      </c>
      <c r="H1381">
        <v>974945508</v>
      </c>
      <c r="I1381">
        <v>709811530</v>
      </c>
      <c r="J1381">
        <v>417459870</v>
      </c>
      <c r="K1381">
        <v>316322275</v>
      </c>
      <c r="L1381">
        <v>424477130</v>
      </c>
      <c r="M1381">
        <v>306363999</v>
      </c>
      <c r="N1381">
        <v>263225349</v>
      </c>
      <c r="O1381">
        <v>204949820</v>
      </c>
      <c r="P1381">
        <v>175</v>
      </c>
      <c r="Q1381" t="s">
        <v>3039</v>
      </c>
    </row>
    <row r="1382" spans="1:17" x14ac:dyDescent="0.3">
      <c r="A1382" t="s">
        <v>17</v>
      </c>
      <c r="B1382" t="str">
        <f>"603859"</f>
        <v>603859</v>
      </c>
      <c r="C1382" t="s">
        <v>3040</v>
      </c>
      <c r="D1382" t="s">
        <v>626</v>
      </c>
      <c r="E1382">
        <v>826337149</v>
      </c>
      <c r="F1382">
        <v>640068422</v>
      </c>
      <c r="G1382">
        <v>542589657</v>
      </c>
      <c r="H1382">
        <v>445516518</v>
      </c>
      <c r="I1382">
        <v>380348348</v>
      </c>
      <c r="J1382">
        <v>335826951</v>
      </c>
      <c r="P1382">
        <v>205</v>
      </c>
      <c r="Q1382" t="s">
        <v>3041</v>
      </c>
    </row>
    <row r="1383" spans="1:17" x14ac:dyDescent="0.3">
      <c r="A1383" t="s">
        <v>17</v>
      </c>
      <c r="B1383" t="str">
        <f>"600206"</f>
        <v>600206</v>
      </c>
      <c r="C1383" t="s">
        <v>3042</v>
      </c>
      <c r="D1383" t="s">
        <v>354</v>
      </c>
      <c r="E1383">
        <v>826063863</v>
      </c>
      <c r="F1383">
        <v>679837428</v>
      </c>
      <c r="G1383">
        <v>518143064</v>
      </c>
      <c r="H1383">
        <v>392511539</v>
      </c>
      <c r="I1383">
        <v>336578240</v>
      </c>
      <c r="J1383">
        <v>330438855</v>
      </c>
      <c r="K1383">
        <v>326071751</v>
      </c>
      <c r="L1383">
        <v>181631322</v>
      </c>
      <c r="M1383">
        <v>294637412</v>
      </c>
      <c r="N1383">
        <v>123035277</v>
      </c>
      <c r="O1383">
        <v>89866794</v>
      </c>
      <c r="P1383">
        <v>421</v>
      </c>
      <c r="Q1383" t="s">
        <v>3043</v>
      </c>
    </row>
    <row r="1384" spans="1:17" x14ac:dyDescent="0.3">
      <c r="A1384" t="s">
        <v>73</v>
      </c>
      <c r="B1384" t="str">
        <f>"000856"</f>
        <v>000856</v>
      </c>
      <c r="C1384" t="s">
        <v>3044</v>
      </c>
      <c r="D1384" t="s">
        <v>1451</v>
      </c>
      <c r="E1384">
        <v>825866024</v>
      </c>
      <c r="F1384">
        <v>701739538</v>
      </c>
      <c r="G1384">
        <v>743636638</v>
      </c>
      <c r="H1384">
        <v>957252450</v>
      </c>
      <c r="I1384">
        <v>796490087</v>
      </c>
      <c r="J1384">
        <v>700814553</v>
      </c>
      <c r="K1384">
        <v>750128110</v>
      </c>
      <c r="L1384">
        <v>887803608</v>
      </c>
      <c r="M1384">
        <v>712083693</v>
      </c>
      <c r="N1384">
        <v>446753642</v>
      </c>
      <c r="O1384">
        <v>364514089</v>
      </c>
      <c r="P1384">
        <v>101</v>
      </c>
      <c r="Q1384" t="s">
        <v>3045</v>
      </c>
    </row>
    <row r="1385" spans="1:17" x14ac:dyDescent="0.3">
      <c r="A1385" t="s">
        <v>17</v>
      </c>
      <c r="B1385" t="str">
        <f>"603666"</f>
        <v>603666</v>
      </c>
      <c r="C1385" t="s">
        <v>3046</v>
      </c>
      <c r="D1385" t="s">
        <v>2121</v>
      </c>
      <c r="E1385">
        <v>824794947</v>
      </c>
      <c r="F1385">
        <v>440827251</v>
      </c>
      <c r="G1385">
        <v>221568639</v>
      </c>
      <c r="H1385">
        <v>168599375</v>
      </c>
      <c r="I1385">
        <v>86038768</v>
      </c>
      <c r="P1385">
        <v>449</v>
      </c>
      <c r="Q1385" t="s">
        <v>3047</v>
      </c>
    </row>
    <row r="1386" spans="1:17" x14ac:dyDescent="0.3">
      <c r="A1386" t="s">
        <v>73</v>
      </c>
      <c r="B1386" t="str">
        <f>"000530"</f>
        <v>000530</v>
      </c>
      <c r="C1386" t="s">
        <v>3048</v>
      </c>
      <c r="D1386" t="s">
        <v>2227</v>
      </c>
      <c r="E1386">
        <v>824500660</v>
      </c>
      <c r="F1386">
        <v>863745294</v>
      </c>
      <c r="G1386">
        <v>1092109911</v>
      </c>
      <c r="H1386">
        <v>1227013270</v>
      </c>
      <c r="I1386">
        <v>1034078843</v>
      </c>
      <c r="J1386">
        <v>844972870</v>
      </c>
      <c r="K1386">
        <v>733948070</v>
      </c>
      <c r="L1386">
        <v>538294411</v>
      </c>
      <c r="M1386">
        <v>430413421</v>
      </c>
      <c r="N1386">
        <v>385366364</v>
      </c>
      <c r="O1386">
        <v>414788789</v>
      </c>
      <c r="P1386">
        <v>129</v>
      </c>
      <c r="Q1386" t="s">
        <v>3049</v>
      </c>
    </row>
    <row r="1387" spans="1:17" x14ac:dyDescent="0.3">
      <c r="A1387" t="s">
        <v>73</v>
      </c>
      <c r="B1387" t="str">
        <f>"002191"</f>
        <v>002191</v>
      </c>
      <c r="C1387" t="s">
        <v>3050</v>
      </c>
      <c r="D1387" t="s">
        <v>577</v>
      </c>
      <c r="E1387">
        <v>824253073</v>
      </c>
      <c r="F1387">
        <v>825061599</v>
      </c>
      <c r="G1387">
        <v>823510914</v>
      </c>
      <c r="H1387">
        <v>1017709973</v>
      </c>
      <c r="I1387">
        <v>764416992</v>
      </c>
      <c r="J1387">
        <v>783519452</v>
      </c>
      <c r="K1387">
        <v>917239733</v>
      </c>
      <c r="L1387">
        <v>668031272</v>
      </c>
      <c r="M1387">
        <v>520385688</v>
      </c>
      <c r="N1387">
        <v>401909733</v>
      </c>
      <c r="O1387">
        <v>464382017</v>
      </c>
      <c r="P1387">
        <v>6347</v>
      </c>
      <c r="Q1387" t="s">
        <v>3051</v>
      </c>
    </row>
    <row r="1388" spans="1:17" x14ac:dyDescent="0.3">
      <c r="A1388" t="s">
        <v>73</v>
      </c>
      <c r="B1388" t="str">
        <f>"000758"</f>
        <v>000758</v>
      </c>
      <c r="C1388" t="s">
        <v>3052</v>
      </c>
      <c r="D1388" t="s">
        <v>3053</v>
      </c>
      <c r="E1388">
        <v>824121300</v>
      </c>
      <c r="F1388">
        <v>897616134</v>
      </c>
      <c r="G1388">
        <v>2178152156</v>
      </c>
      <c r="H1388">
        <v>3846804415</v>
      </c>
      <c r="I1388">
        <v>2999415597</v>
      </c>
      <c r="J1388">
        <v>5653210608</v>
      </c>
      <c r="K1388">
        <v>2244329589</v>
      </c>
      <c r="L1388">
        <v>2143949371</v>
      </c>
      <c r="M1388">
        <v>1854688694</v>
      </c>
      <c r="N1388">
        <v>1562960186</v>
      </c>
      <c r="O1388">
        <v>1332585216</v>
      </c>
      <c r="P1388">
        <v>177</v>
      </c>
      <c r="Q1388" t="s">
        <v>3054</v>
      </c>
    </row>
    <row r="1389" spans="1:17" x14ac:dyDescent="0.3">
      <c r="A1389" t="s">
        <v>73</v>
      </c>
      <c r="B1389" t="str">
        <f>"000676"</f>
        <v>000676</v>
      </c>
      <c r="C1389" t="s">
        <v>3055</v>
      </c>
      <c r="D1389" t="s">
        <v>425</v>
      </c>
      <c r="E1389">
        <v>823844140</v>
      </c>
      <c r="F1389">
        <v>1411698903</v>
      </c>
      <c r="G1389">
        <v>958528381</v>
      </c>
      <c r="H1389">
        <v>2418952933</v>
      </c>
      <c r="I1389">
        <v>1696722110</v>
      </c>
      <c r="J1389">
        <v>964525756</v>
      </c>
      <c r="K1389">
        <v>67982031</v>
      </c>
      <c r="L1389">
        <v>102411244</v>
      </c>
      <c r="M1389">
        <v>145502562</v>
      </c>
      <c r="N1389">
        <v>166348639</v>
      </c>
      <c r="O1389">
        <v>192896633</v>
      </c>
      <c r="P1389">
        <v>215</v>
      </c>
      <c r="Q1389" t="s">
        <v>3056</v>
      </c>
    </row>
    <row r="1390" spans="1:17" x14ac:dyDescent="0.3">
      <c r="A1390" t="s">
        <v>17</v>
      </c>
      <c r="B1390" t="str">
        <f>"603396"</f>
        <v>603396</v>
      </c>
      <c r="C1390" t="s">
        <v>3057</v>
      </c>
      <c r="D1390" t="s">
        <v>1484</v>
      </c>
      <c r="E1390">
        <v>821766786</v>
      </c>
      <c r="F1390">
        <v>601863254</v>
      </c>
      <c r="G1390">
        <v>382770526</v>
      </c>
      <c r="H1390">
        <v>330023044</v>
      </c>
      <c r="I1390">
        <v>228637095</v>
      </c>
      <c r="P1390">
        <v>217</v>
      </c>
      <c r="Q1390" t="s">
        <v>3058</v>
      </c>
    </row>
    <row r="1391" spans="1:17" x14ac:dyDescent="0.3">
      <c r="A1391" t="s">
        <v>17</v>
      </c>
      <c r="B1391" t="str">
        <f>"605007"</f>
        <v>605007</v>
      </c>
      <c r="C1391" t="s">
        <v>3059</v>
      </c>
      <c r="D1391" t="s">
        <v>2185</v>
      </c>
      <c r="E1391">
        <v>821686229</v>
      </c>
      <c r="F1391">
        <v>526051413</v>
      </c>
      <c r="P1391">
        <v>81</v>
      </c>
      <c r="Q1391" t="s">
        <v>3060</v>
      </c>
    </row>
    <row r="1392" spans="1:17" x14ac:dyDescent="0.3">
      <c r="A1392" t="s">
        <v>73</v>
      </c>
      <c r="B1392" t="str">
        <f>"200726"</f>
        <v>200726</v>
      </c>
      <c r="C1392" t="s">
        <v>3061</v>
      </c>
      <c r="E1392">
        <v>820748626.32599998</v>
      </c>
      <c r="F1392">
        <v>436605063.02100003</v>
      </c>
      <c r="G1392">
        <v>439398000.18269998</v>
      </c>
      <c r="H1392">
        <v>504871609.87260002</v>
      </c>
      <c r="I1392">
        <v>413039663.55549997</v>
      </c>
      <c r="J1392">
        <v>255447414.04960001</v>
      </c>
      <c r="K1392">
        <v>291794530.25840002</v>
      </c>
      <c r="L1392">
        <v>299044191.25</v>
      </c>
      <c r="M1392">
        <v>241511258.14039999</v>
      </c>
      <c r="N1392">
        <v>244866102.65400001</v>
      </c>
      <c r="O1392">
        <v>190143834.94800001</v>
      </c>
      <c r="P1392">
        <v>329</v>
      </c>
      <c r="Q1392" t="s">
        <v>3062</v>
      </c>
    </row>
    <row r="1393" spans="1:17" x14ac:dyDescent="0.3">
      <c r="A1393" t="s">
        <v>73</v>
      </c>
      <c r="B1393" t="str">
        <f>"300440"</f>
        <v>300440</v>
      </c>
      <c r="C1393" t="s">
        <v>3063</v>
      </c>
      <c r="D1393" t="s">
        <v>302</v>
      </c>
      <c r="E1393">
        <v>820115634</v>
      </c>
      <c r="F1393">
        <v>628549349</v>
      </c>
      <c r="G1393">
        <v>492048603</v>
      </c>
      <c r="H1393">
        <v>599940499</v>
      </c>
      <c r="I1393">
        <v>561451838</v>
      </c>
      <c r="J1393">
        <v>528803336</v>
      </c>
      <c r="K1393">
        <v>316213092</v>
      </c>
      <c r="L1393">
        <v>322703352</v>
      </c>
      <c r="M1393">
        <v>0</v>
      </c>
      <c r="P1393">
        <v>151</v>
      </c>
      <c r="Q1393" t="s">
        <v>3064</v>
      </c>
    </row>
    <row r="1394" spans="1:17" x14ac:dyDescent="0.3">
      <c r="A1394" t="s">
        <v>17</v>
      </c>
      <c r="B1394" t="str">
        <f>"601949"</f>
        <v>601949</v>
      </c>
      <c r="C1394" t="s">
        <v>3065</v>
      </c>
      <c r="D1394" t="s">
        <v>1921</v>
      </c>
      <c r="E1394">
        <v>817738422</v>
      </c>
      <c r="F1394">
        <v>875690846</v>
      </c>
      <c r="G1394">
        <v>840223232</v>
      </c>
      <c r="H1394">
        <v>733727119</v>
      </c>
      <c r="I1394">
        <v>671791968</v>
      </c>
      <c r="J1394">
        <v>0</v>
      </c>
      <c r="P1394">
        <v>160</v>
      </c>
      <c r="Q1394" t="s">
        <v>3066</v>
      </c>
    </row>
    <row r="1395" spans="1:17" x14ac:dyDescent="0.3">
      <c r="A1395" t="s">
        <v>73</v>
      </c>
      <c r="B1395" t="str">
        <f>"000931"</f>
        <v>000931</v>
      </c>
      <c r="C1395" t="s">
        <v>3067</v>
      </c>
      <c r="D1395" t="s">
        <v>348</v>
      </c>
      <c r="E1395">
        <v>816254937</v>
      </c>
      <c r="F1395">
        <v>884696124</v>
      </c>
      <c r="G1395">
        <v>938413878</v>
      </c>
      <c r="H1395">
        <v>1009410321</v>
      </c>
      <c r="I1395">
        <v>876202809</v>
      </c>
      <c r="J1395">
        <v>605110148</v>
      </c>
      <c r="K1395">
        <v>510042887</v>
      </c>
      <c r="L1395">
        <v>317370679</v>
      </c>
      <c r="M1395">
        <v>1458502627</v>
      </c>
      <c r="N1395">
        <v>1042202525</v>
      </c>
      <c r="O1395">
        <v>1406700353</v>
      </c>
      <c r="P1395">
        <v>142</v>
      </c>
      <c r="Q1395" t="s">
        <v>3068</v>
      </c>
    </row>
    <row r="1396" spans="1:17" x14ac:dyDescent="0.3">
      <c r="A1396" t="s">
        <v>73</v>
      </c>
      <c r="B1396" t="str">
        <f>"300347"</f>
        <v>300347</v>
      </c>
      <c r="C1396" t="s">
        <v>3069</v>
      </c>
      <c r="D1396" t="s">
        <v>459</v>
      </c>
      <c r="E1396">
        <v>815747480</v>
      </c>
      <c r="F1396">
        <v>503849458</v>
      </c>
      <c r="G1396">
        <v>376004085</v>
      </c>
      <c r="H1396">
        <v>794249462</v>
      </c>
      <c r="I1396">
        <v>750410758</v>
      </c>
      <c r="J1396">
        <v>489460725</v>
      </c>
      <c r="K1396">
        <v>433768601</v>
      </c>
      <c r="L1396">
        <v>320582962</v>
      </c>
      <c r="M1396">
        <v>175425642</v>
      </c>
      <c r="N1396">
        <v>102518955</v>
      </c>
      <c r="O1396">
        <v>0</v>
      </c>
      <c r="P1396">
        <v>3109</v>
      </c>
      <c r="Q1396" t="s">
        <v>3070</v>
      </c>
    </row>
    <row r="1397" spans="1:17" x14ac:dyDescent="0.3">
      <c r="A1397" t="s">
        <v>73</v>
      </c>
      <c r="B1397" t="str">
        <f>"301037"</f>
        <v>301037</v>
      </c>
      <c r="C1397" t="s">
        <v>3071</v>
      </c>
      <c r="D1397" t="s">
        <v>3072</v>
      </c>
      <c r="E1397">
        <v>815303063</v>
      </c>
      <c r="F1397">
        <v>562335377</v>
      </c>
      <c r="P1397">
        <v>13</v>
      </c>
      <c r="Q1397" t="s">
        <v>3073</v>
      </c>
    </row>
    <row r="1398" spans="1:17" x14ac:dyDescent="0.3">
      <c r="A1398" t="s">
        <v>73</v>
      </c>
      <c r="B1398" t="str">
        <f>"002189"</f>
        <v>002189</v>
      </c>
      <c r="C1398" t="s">
        <v>3074</v>
      </c>
      <c r="D1398" t="s">
        <v>502</v>
      </c>
      <c r="E1398">
        <v>814696105</v>
      </c>
      <c r="F1398">
        <v>857866865</v>
      </c>
      <c r="G1398">
        <v>650370091</v>
      </c>
      <c r="H1398">
        <v>676288697</v>
      </c>
      <c r="I1398">
        <v>269610991</v>
      </c>
      <c r="J1398">
        <v>259080677</v>
      </c>
      <c r="K1398">
        <v>217146088</v>
      </c>
      <c r="L1398">
        <v>219043265</v>
      </c>
      <c r="M1398">
        <v>210429892</v>
      </c>
      <c r="N1398">
        <v>156685093</v>
      </c>
      <c r="O1398">
        <v>136195658</v>
      </c>
      <c r="P1398">
        <v>221</v>
      </c>
      <c r="Q1398" t="s">
        <v>3075</v>
      </c>
    </row>
    <row r="1399" spans="1:17" x14ac:dyDescent="0.3">
      <c r="A1399" t="s">
        <v>73</v>
      </c>
      <c r="B1399" t="str">
        <f>"002536"</f>
        <v>002536</v>
      </c>
      <c r="C1399" t="s">
        <v>3076</v>
      </c>
      <c r="D1399" t="s">
        <v>122</v>
      </c>
      <c r="E1399">
        <v>814680307</v>
      </c>
      <c r="F1399">
        <v>803650998</v>
      </c>
      <c r="G1399">
        <v>682097450</v>
      </c>
      <c r="H1399">
        <v>0</v>
      </c>
      <c r="I1399">
        <v>583325677</v>
      </c>
      <c r="J1399">
        <v>499262344</v>
      </c>
      <c r="K1399">
        <v>375745223</v>
      </c>
      <c r="L1399">
        <v>370489628</v>
      </c>
      <c r="M1399">
        <v>296884755</v>
      </c>
      <c r="N1399">
        <v>238783259</v>
      </c>
      <c r="O1399">
        <v>189578516</v>
      </c>
      <c r="P1399">
        <v>254</v>
      </c>
      <c r="Q1399" t="s">
        <v>3077</v>
      </c>
    </row>
    <row r="1400" spans="1:17" x14ac:dyDescent="0.3">
      <c r="A1400" t="s">
        <v>73</v>
      </c>
      <c r="B1400" t="str">
        <f>"002108"</f>
        <v>002108</v>
      </c>
      <c r="C1400" t="s">
        <v>3078</v>
      </c>
      <c r="D1400" t="s">
        <v>3079</v>
      </c>
      <c r="E1400">
        <v>814632648</v>
      </c>
      <c r="F1400">
        <v>1065425934</v>
      </c>
      <c r="G1400">
        <v>852841503</v>
      </c>
      <c r="H1400">
        <v>666271152</v>
      </c>
      <c r="I1400">
        <v>841444261</v>
      </c>
      <c r="J1400">
        <v>979134844</v>
      </c>
      <c r="K1400">
        <v>749378519</v>
      </c>
      <c r="L1400">
        <v>568720341</v>
      </c>
      <c r="M1400">
        <v>629289359</v>
      </c>
      <c r="N1400">
        <v>497295387</v>
      </c>
      <c r="O1400">
        <v>357732383</v>
      </c>
      <c r="P1400">
        <v>345</v>
      </c>
      <c r="Q1400" t="s">
        <v>3080</v>
      </c>
    </row>
    <row r="1401" spans="1:17" x14ac:dyDescent="0.3">
      <c r="A1401" t="s">
        <v>73</v>
      </c>
      <c r="B1401" t="str">
        <f>"002377"</f>
        <v>002377</v>
      </c>
      <c r="C1401" t="s">
        <v>3081</v>
      </c>
      <c r="D1401" t="s">
        <v>1914</v>
      </c>
      <c r="E1401">
        <v>814371554</v>
      </c>
      <c r="F1401">
        <v>686047093</v>
      </c>
      <c r="G1401">
        <v>662264816</v>
      </c>
      <c r="H1401">
        <v>593831032</v>
      </c>
      <c r="I1401">
        <v>437121350</v>
      </c>
      <c r="J1401">
        <v>294388351</v>
      </c>
      <c r="K1401">
        <v>398899843</v>
      </c>
      <c r="L1401">
        <v>570716419</v>
      </c>
      <c r="M1401">
        <v>351908008</v>
      </c>
      <c r="N1401">
        <v>344791365</v>
      </c>
      <c r="O1401">
        <v>402397543</v>
      </c>
      <c r="P1401">
        <v>95</v>
      </c>
      <c r="Q1401" t="s">
        <v>3082</v>
      </c>
    </row>
    <row r="1402" spans="1:17" x14ac:dyDescent="0.3">
      <c r="A1402" t="s">
        <v>17</v>
      </c>
      <c r="B1402" t="str">
        <f>"605319"</f>
        <v>605319</v>
      </c>
      <c r="C1402" t="s">
        <v>3083</v>
      </c>
      <c r="D1402" t="s">
        <v>722</v>
      </c>
      <c r="E1402">
        <v>814261170</v>
      </c>
      <c r="F1402">
        <v>511600699</v>
      </c>
      <c r="P1402">
        <v>22</v>
      </c>
      <c r="Q1402" t="s">
        <v>3084</v>
      </c>
    </row>
    <row r="1403" spans="1:17" x14ac:dyDescent="0.3">
      <c r="A1403" t="s">
        <v>17</v>
      </c>
      <c r="B1403" t="str">
        <f>"603786"</f>
        <v>603786</v>
      </c>
      <c r="C1403" t="s">
        <v>3085</v>
      </c>
      <c r="D1403" t="s">
        <v>442</v>
      </c>
      <c r="E1403">
        <v>813536387</v>
      </c>
      <c r="F1403">
        <v>762016953</v>
      </c>
      <c r="G1403">
        <v>720519904</v>
      </c>
      <c r="H1403">
        <v>0</v>
      </c>
      <c r="P1403">
        <v>345</v>
      </c>
      <c r="Q1403" t="s">
        <v>3086</v>
      </c>
    </row>
    <row r="1404" spans="1:17" x14ac:dyDescent="0.3">
      <c r="A1404" t="s">
        <v>17</v>
      </c>
      <c r="B1404" t="str">
        <f>"601228"</f>
        <v>601228</v>
      </c>
      <c r="C1404" t="s">
        <v>3087</v>
      </c>
      <c r="D1404" t="s">
        <v>706</v>
      </c>
      <c r="E1404">
        <v>812678248</v>
      </c>
      <c r="F1404">
        <v>675377675</v>
      </c>
      <c r="G1404">
        <v>839611835</v>
      </c>
      <c r="H1404">
        <v>908367699</v>
      </c>
      <c r="I1404">
        <v>814191150</v>
      </c>
      <c r="J1404">
        <v>835581506</v>
      </c>
      <c r="K1404">
        <v>0</v>
      </c>
      <c r="P1404">
        <v>189</v>
      </c>
      <c r="Q1404" t="s">
        <v>3088</v>
      </c>
    </row>
    <row r="1405" spans="1:17" x14ac:dyDescent="0.3">
      <c r="A1405" t="s">
        <v>73</v>
      </c>
      <c r="B1405" t="str">
        <f>"001313"</f>
        <v>001313</v>
      </c>
      <c r="C1405" t="s">
        <v>3089</v>
      </c>
      <c r="E1405">
        <v>811807659</v>
      </c>
      <c r="P1405">
        <v>10</v>
      </c>
      <c r="Q1405" t="s">
        <v>3090</v>
      </c>
    </row>
    <row r="1406" spans="1:17" x14ac:dyDescent="0.3">
      <c r="A1406" t="s">
        <v>17</v>
      </c>
      <c r="B1406" t="str">
        <f>"600737"</f>
        <v>600737</v>
      </c>
      <c r="C1406" t="s">
        <v>3091</v>
      </c>
      <c r="D1406" t="s">
        <v>2469</v>
      </c>
      <c r="E1406">
        <v>811035525</v>
      </c>
      <c r="F1406">
        <v>746849651</v>
      </c>
      <c r="G1406">
        <v>684574067</v>
      </c>
      <c r="H1406">
        <v>726718142</v>
      </c>
      <c r="I1406">
        <v>594378131</v>
      </c>
      <c r="J1406">
        <v>487967187</v>
      </c>
      <c r="K1406">
        <v>729644814</v>
      </c>
      <c r="L1406">
        <v>1243748901</v>
      </c>
      <c r="M1406">
        <v>718456603</v>
      </c>
      <c r="N1406">
        <v>549322913</v>
      </c>
      <c r="O1406">
        <v>790144047</v>
      </c>
      <c r="P1406">
        <v>515</v>
      </c>
      <c r="Q1406" t="s">
        <v>3092</v>
      </c>
    </row>
    <row r="1407" spans="1:17" x14ac:dyDescent="0.3">
      <c r="A1407" t="s">
        <v>73</v>
      </c>
      <c r="B1407" t="str">
        <f>"002758"</f>
        <v>002758</v>
      </c>
      <c r="C1407" t="s">
        <v>3093</v>
      </c>
      <c r="D1407" t="s">
        <v>50</v>
      </c>
      <c r="E1407">
        <v>811020202</v>
      </c>
      <c r="F1407">
        <v>721203368</v>
      </c>
      <c r="G1407">
        <v>391433847</v>
      </c>
      <c r="H1407">
        <v>391963952</v>
      </c>
      <c r="I1407">
        <v>335506276</v>
      </c>
      <c r="J1407">
        <v>364508197</v>
      </c>
      <c r="K1407">
        <v>294556630</v>
      </c>
      <c r="L1407">
        <v>292005552</v>
      </c>
      <c r="M1407">
        <v>0</v>
      </c>
      <c r="P1407">
        <v>180</v>
      </c>
      <c r="Q1407" t="s">
        <v>3094</v>
      </c>
    </row>
    <row r="1408" spans="1:17" x14ac:dyDescent="0.3">
      <c r="A1408" t="s">
        <v>17</v>
      </c>
      <c r="B1408" t="str">
        <f>"603956"</f>
        <v>603956</v>
      </c>
      <c r="C1408" t="s">
        <v>3095</v>
      </c>
      <c r="D1408" t="s">
        <v>1451</v>
      </c>
      <c r="E1408">
        <v>810920814</v>
      </c>
      <c r="F1408">
        <v>568041058</v>
      </c>
      <c r="G1408">
        <v>462881656</v>
      </c>
      <c r="H1408">
        <v>335874637</v>
      </c>
      <c r="I1408">
        <v>0</v>
      </c>
      <c r="P1408">
        <v>181</v>
      </c>
      <c r="Q1408" t="s">
        <v>3096</v>
      </c>
    </row>
    <row r="1409" spans="1:17" x14ac:dyDescent="0.3">
      <c r="A1409" t="s">
        <v>17</v>
      </c>
      <c r="B1409" t="str">
        <f>"600290"</f>
        <v>600290</v>
      </c>
      <c r="C1409" t="s">
        <v>3097</v>
      </c>
      <c r="D1409" t="s">
        <v>230</v>
      </c>
      <c r="E1409">
        <v>810899565</v>
      </c>
      <c r="F1409">
        <v>1010094903</v>
      </c>
      <c r="G1409">
        <v>1298730447</v>
      </c>
      <c r="H1409">
        <v>2281559161</v>
      </c>
      <c r="I1409">
        <v>2294428325</v>
      </c>
      <c r="J1409">
        <v>1957512451</v>
      </c>
      <c r="K1409">
        <v>2240879987</v>
      </c>
      <c r="L1409">
        <v>2094512464</v>
      </c>
      <c r="M1409">
        <v>1814823349</v>
      </c>
      <c r="N1409">
        <v>1347237264</v>
      </c>
      <c r="O1409">
        <v>1509266806</v>
      </c>
      <c r="P1409">
        <v>68</v>
      </c>
      <c r="Q1409" t="s">
        <v>3098</v>
      </c>
    </row>
    <row r="1410" spans="1:17" x14ac:dyDescent="0.3">
      <c r="A1410" t="s">
        <v>73</v>
      </c>
      <c r="B1410" t="str">
        <f>"002280"</f>
        <v>002280</v>
      </c>
      <c r="C1410" t="s">
        <v>3099</v>
      </c>
      <c r="D1410" t="s">
        <v>3100</v>
      </c>
      <c r="E1410">
        <v>810841036</v>
      </c>
      <c r="F1410">
        <v>1308658229</v>
      </c>
      <c r="G1410">
        <v>2026455567</v>
      </c>
      <c r="H1410">
        <v>3016703285</v>
      </c>
      <c r="I1410">
        <v>2753813626</v>
      </c>
      <c r="J1410">
        <v>1985467860</v>
      </c>
      <c r="K1410">
        <v>733918158</v>
      </c>
      <c r="L1410">
        <v>330499570</v>
      </c>
      <c r="M1410">
        <v>51159624</v>
      </c>
      <c r="N1410">
        <v>79542295</v>
      </c>
      <c r="O1410">
        <v>42473104</v>
      </c>
      <c r="P1410">
        <v>179</v>
      </c>
      <c r="Q1410" t="s">
        <v>3101</v>
      </c>
    </row>
    <row r="1411" spans="1:17" x14ac:dyDescent="0.3">
      <c r="A1411" t="s">
        <v>17</v>
      </c>
      <c r="B1411" t="str">
        <f>"688556"</f>
        <v>688556</v>
      </c>
      <c r="C1411" t="s">
        <v>3102</v>
      </c>
      <c r="D1411" t="s">
        <v>1484</v>
      </c>
      <c r="E1411">
        <v>810547338</v>
      </c>
      <c r="F1411">
        <v>398990342</v>
      </c>
      <c r="G1411">
        <v>346512740</v>
      </c>
      <c r="H1411">
        <v>0</v>
      </c>
      <c r="P1411">
        <v>69</v>
      </c>
      <c r="Q1411" t="s">
        <v>3103</v>
      </c>
    </row>
    <row r="1412" spans="1:17" x14ac:dyDescent="0.3">
      <c r="A1412" t="s">
        <v>73</v>
      </c>
      <c r="B1412" t="str">
        <f>"002819"</f>
        <v>002819</v>
      </c>
      <c r="C1412" t="s">
        <v>3104</v>
      </c>
      <c r="D1412" t="s">
        <v>2280</v>
      </c>
      <c r="E1412">
        <v>808745224</v>
      </c>
      <c r="F1412">
        <v>173524322</v>
      </c>
      <c r="G1412">
        <v>155668423</v>
      </c>
      <c r="H1412">
        <v>163290642</v>
      </c>
      <c r="I1412">
        <v>110491747</v>
      </c>
      <c r="J1412">
        <v>97053369</v>
      </c>
      <c r="P1412">
        <v>139</v>
      </c>
      <c r="Q1412" t="s">
        <v>3105</v>
      </c>
    </row>
    <row r="1413" spans="1:17" x14ac:dyDescent="0.3">
      <c r="A1413" t="s">
        <v>73</v>
      </c>
      <c r="B1413" t="str">
        <f>"300110"</f>
        <v>300110</v>
      </c>
      <c r="C1413" t="s">
        <v>3106</v>
      </c>
      <c r="D1413" t="s">
        <v>348</v>
      </c>
      <c r="E1413">
        <v>808653969</v>
      </c>
      <c r="F1413">
        <v>1498364565</v>
      </c>
      <c r="G1413">
        <v>545290931</v>
      </c>
      <c r="H1413">
        <v>617398687</v>
      </c>
      <c r="I1413">
        <v>612805030</v>
      </c>
      <c r="J1413">
        <v>613962160</v>
      </c>
      <c r="K1413">
        <v>602608591</v>
      </c>
      <c r="L1413">
        <v>534622875</v>
      </c>
      <c r="M1413">
        <v>436939326</v>
      </c>
      <c r="N1413">
        <v>263692137</v>
      </c>
      <c r="O1413">
        <v>191183717</v>
      </c>
      <c r="P1413">
        <v>126</v>
      </c>
      <c r="Q1413" t="s">
        <v>3107</v>
      </c>
    </row>
    <row r="1414" spans="1:17" x14ac:dyDescent="0.3">
      <c r="A1414" t="s">
        <v>17</v>
      </c>
      <c r="B1414" t="str">
        <f>"600122"</f>
        <v>600122</v>
      </c>
      <c r="C1414" t="s">
        <v>3108</v>
      </c>
      <c r="D1414" t="s">
        <v>1206</v>
      </c>
      <c r="E1414">
        <v>807748135</v>
      </c>
      <c r="F1414">
        <v>892404145</v>
      </c>
      <c r="G1414">
        <v>1091457648</v>
      </c>
      <c r="H1414">
        <v>1843028765</v>
      </c>
      <c r="I1414">
        <v>667260880</v>
      </c>
      <c r="J1414">
        <v>805775085</v>
      </c>
      <c r="K1414">
        <v>891857705</v>
      </c>
      <c r="L1414">
        <v>871483599</v>
      </c>
      <c r="M1414">
        <v>1022425124</v>
      </c>
      <c r="N1414">
        <v>737474430</v>
      </c>
      <c r="O1414">
        <v>630587886</v>
      </c>
      <c r="P1414">
        <v>96</v>
      </c>
      <c r="Q1414" t="s">
        <v>3109</v>
      </c>
    </row>
    <row r="1415" spans="1:17" x14ac:dyDescent="0.3">
      <c r="A1415" t="s">
        <v>73</v>
      </c>
      <c r="B1415" t="str">
        <f>"000623"</f>
        <v>000623</v>
      </c>
      <c r="C1415" t="s">
        <v>3110</v>
      </c>
      <c r="D1415" t="s">
        <v>348</v>
      </c>
      <c r="E1415">
        <v>807479875</v>
      </c>
      <c r="F1415">
        <v>656077166</v>
      </c>
      <c r="G1415">
        <v>708292449</v>
      </c>
      <c r="H1415">
        <v>858252574</v>
      </c>
      <c r="I1415">
        <v>757125650</v>
      </c>
      <c r="J1415">
        <v>571997511</v>
      </c>
      <c r="K1415">
        <v>542130274</v>
      </c>
      <c r="L1415">
        <v>500511400</v>
      </c>
      <c r="M1415">
        <v>353777058</v>
      </c>
      <c r="N1415">
        <v>271497767</v>
      </c>
      <c r="O1415">
        <v>243293448</v>
      </c>
      <c r="P1415">
        <v>671</v>
      </c>
      <c r="Q1415" t="s">
        <v>3111</v>
      </c>
    </row>
    <row r="1416" spans="1:17" x14ac:dyDescent="0.3">
      <c r="A1416" t="s">
        <v>17</v>
      </c>
      <c r="B1416" t="str">
        <f>"600433"</f>
        <v>600433</v>
      </c>
      <c r="C1416" t="s">
        <v>3112</v>
      </c>
      <c r="D1416" t="s">
        <v>2185</v>
      </c>
      <c r="E1416">
        <v>806420795</v>
      </c>
      <c r="F1416">
        <v>432926325</v>
      </c>
      <c r="G1416">
        <v>388225363</v>
      </c>
      <c r="H1416">
        <v>393456914</v>
      </c>
      <c r="I1416">
        <v>399857988</v>
      </c>
      <c r="J1416">
        <v>317112353</v>
      </c>
      <c r="K1416">
        <v>372503482</v>
      </c>
      <c r="L1416">
        <v>295396879</v>
      </c>
      <c r="M1416">
        <v>239245275</v>
      </c>
      <c r="N1416">
        <v>227488574</v>
      </c>
      <c r="O1416">
        <v>225968526</v>
      </c>
      <c r="P1416">
        <v>105</v>
      </c>
      <c r="Q1416" t="s">
        <v>3113</v>
      </c>
    </row>
    <row r="1417" spans="1:17" x14ac:dyDescent="0.3">
      <c r="A1417" t="s">
        <v>73</v>
      </c>
      <c r="B1417" t="str">
        <f>"300982"</f>
        <v>300982</v>
      </c>
      <c r="C1417" t="s">
        <v>3114</v>
      </c>
      <c r="D1417" t="s">
        <v>22</v>
      </c>
      <c r="E1417">
        <v>805303431</v>
      </c>
      <c r="F1417">
        <v>508604601</v>
      </c>
      <c r="P1417">
        <v>65</v>
      </c>
      <c r="Q1417" t="s">
        <v>3115</v>
      </c>
    </row>
    <row r="1418" spans="1:17" x14ac:dyDescent="0.3">
      <c r="A1418" t="s">
        <v>73</v>
      </c>
      <c r="B1418" t="str">
        <f>"000551"</f>
        <v>000551</v>
      </c>
      <c r="C1418" t="s">
        <v>3116</v>
      </c>
      <c r="D1418" t="s">
        <v>540</v>
      </c>
      <c r="E1418">
        <v>805043255</v>
      </c>
      <c r="F1418">
        <v>616180731</v>
      </c>
      <c r="G1418">
        <v>562141311</v>
      </c>
      <c r="H1418">
        <v>568447111</v>
      </c>
      <c r="I1418">
        <v>557221208</v>
      </c>
      <c r="J1418">
        <v>528010307</v>
      </c>
      <c r="K1418">
        <v>568250598</v>
      </c>
      <c r="L1418">
        <v>519492941</v>
      </c>
      <c r="M1418">
        <v>506776159</v>
      </c>
      <c r="N1418">
        <v>473771675</v>
      </c>
      <c r="O1418">
        <v>412429453</v>
      </c>
      <c r="P1418">
        <v>122</v>
      </c>
      <c r="Q1418" t="s">
        <v>3117</v>
      </c>
    </row>
    <row r="1419" spans="1:17" x14ac:dyDescent="0.3">
      <c r="A1419" t="s">
        <v>17</v>
      </c>
      <c r="B1419" t="str">
        <f>"600172"</f>
        <v>600172</v>
      </c>
      <c r="C1419" t="s">
        <v>3118</v>
      </c>
      <c r="D1419" t="s">
        <v>3119</v>
      </c>
      <c r="E1419">
        <v>805004751</v>
      </c>
      <c r="F1419">
        <v>795912225</v>
      </c>
      <c r="G1419">
        <v>1257740412</v>
      </c>
      <c r="H1419">
        <v>1705906593</v>
      </c>
      <c r="I1419">
        <v>1082182095</v>
      </c>
      <c r="J1419">
        <v>1222038852</v>
      </c>
      <c r="K1419">
        <v>1139954648</v>
      </c>
      <c r="L1419">
        <v>664524834</v>
      </c>
      <c r="M1419">
        <v>636984553</v>
      </c>
      <c r="N1419">
        <v>336965793</v>
      </c>
      <c r="O1419">
        <v>165193447</v>
      </c>
      <c r="P1419">
        <v>325</v>
      </c>
      <c r="Q1419" t="s">
        <v>3120</v>
      </c>
    </row>
    <row r="1420" spans="1:17" x14ac:dyDescent="0.3">
      <c r="A1420" t="s">
        <v>17</v>
      </c>
      <c r="B1420" t="str">
        <f>"600557"</f>
        <v>600557</v>
      </c>
      <c r="C1420" t="s">
        <v>3121</v>
      </c>
      <c r="D1420" t="s">
        <v>215</v>
      </c>
      <c r="E1420">
        <v>804031975</v>
      </c>
      <c r="F1420">
        <v>1025686029</v>
      </c>
      <c r="G1420">
        <v>965381577</v>
      </c>
      <c r="H1420">
        <v>1278040956</v>
      </c>
      <c r="I1420">
        <v>1174148208</v>
      </c>
      <c r="J1420">
        <v>1190494570</v>
      </c>
      <c r="K1420">
        <v>1125545798</v>
      </c>
      <c r="L1420">
        <v>1142540285</v>
      </c>
      <c r="M1420">
        <v>945822457</v>
      </c>
      <c r="N1420">
        <v>875204652</v>
      </c>
      <c r="O1420">
        <v>739339911</v>
      </c>
      <c r="P1420">
        <v>427</v>
      </c>
      <c r="Q1420" t="s">
        <v>3122</v>
      </c>
    </row>
    <row r="1421" spans="1:17" x14ac:dyDescent="0.3">
      <c r="A1421" t="s">
        <v>17</v>
      </c>
      <c r="B1421" t="str">
        <f>"688509"</f>
        <v>688509</v>
      </c>
      <c r="C1421" t="s">
        <v>3123</v>
      </c>
      <c r="D1421" t="s">
        <v>302</v>
      </c>
      <c r="E1421">
        <v>802231949</v>
      </c>
      <c r="F1421">
        <v>635564051</v>
      </c>
      <c r="P1421">
        <v>17</v>
      </c>
      <c r="Q1421" t="s">
        <v>3124</v>
      </c>
    </row>
    <row r="1422" spans="1:17" x14ac:dyDescent="0.3">
      <c r="A1422" t="s">
        <v>73</v>
      </c>
      <c r="B1422" t="str">
        <f>"002151"</f>
        <v>002151</v>
      </c>
      <c r="C1422" t="s">
        <v>3125</v>
      </c>
      <c r="D1422" t="s">
        <v>502</v>
      </c>
      <c r="E1422">
        <v>801712520</v>
      </c>
      <c r="F1422">
        <v>848787896</v>
      </c>
      <c r="G1422">
        <v>939939628</v>
      </c>
      <c r="H1422">
        <v>992263422</v>
      </c>
      <c r="I1422">
        <v>967036236</v>
      </c>
      <c r="J1422">
        <v>747381167</v>
      </c>
      <c r="K1422">
        <v>543213027</v>
      </c>
      <c r="L1422">
        <v>425881687</v>
      </c>
      <c r="M1422">
        <v>308050581</v>
      </c>
      <c r="N1422">
        <v>282792192</v>
      </c>
      <c r="O1422">
        <v>285357119</v>
      </c>
      <c r="P1422">
        <v>3423</v>
      </c>
      <c r="Q1422" t="s">
        <v>3126</v>
      </c>
    </row>
    <row r="1423" spans="1:17" x14ac:dyDescent="0.3">
      <c r="A1423" t="s">
        <v>73</v>
      </c>
      <c r="B1423" t="str">
        <f>"000777"</f>
        <v>000777</v>
      </c>
      <c r="C1423" t="s">
        <v>3127</v>
      </c>
      <c r="D1423" t="s">
        <v>146</v>
      </c>
      <c r="E1423">
        <v>798268500</v>
      </c>
      <c r="F1423">
        <v>667797719</v>
      </c>
      <c r="G1423">
        <v>699711113</v>
      </c>
      <c r="H1423">
        <v>808109148</v>
      </c>
      <c r="I1423">
        <v>674771176</v>
      </c>
      <c r="J1423">
        <v>522187009</v>
      </c>
      <c r="K1423">
        <v>487719697</v>
      </c>
      <c r="L1423">
        <v>459839496</v>
      </c>
      <c r="M1423">
        <v>380512786</v>
      </c>
      <c r="N1423">
        <v>389727820</v>
      </c>
      <c r="O1423">
        <v>359659048</v>
      </c>
      <c r="P1423">
        <v>131</v>
      </c>
      <c r="Q1423" t="s">
        <v>3128</v>
      </c>
    </row>
    <row r="1424" spans="1:17" x14ac:dyDescent="0.3">
      <c r="A1424" t="s">
        <v>73</v>
      </c>
      <c r="B1424" t="str">
        <f>"300303"</f>
        <v>300303</v>
      </c>
      <c r="C1424" t="s">
        <v>3129</v>
      </c>
      <c r="D1424" t="s">
        <v>737</v>
      </c>
      <c r="E1424">
        <v>796311652</v>
      </c>
      <c r="F1424">
        <v>837925937</v>
      </c>
      <c r="G1424">
        <v>746542003</v>
      </c>
      <c r="H1424">
        <v>791065344</v>
      </c>
      <c r="I1424">
        <v>751777436</v>
      </c>
      <c r="J1424">
        <v>602495686</v>
      </c>
      <c r="K1424">
        <v>482072865</v>
      </c>
      <c r="L1424">
        <v>338276608</v>
      </c>
      <c r="M1424">
        <v>321506264</v>
      </c>
      <c r="N1424">
        <v>226250771</v>
      </c>
      <c r="O1424">
        <v>124846303</v>
      </c>
      <c r="P1424">
        <v>256</v>
      </c>
      <c r="Q1424" t="s">
        <v>3130</v>
      </c>
    </row>
    <row r="1425" spans="1:17" x14ac:dyDescent="0.3">
      <c r="A1425" t="s">
        <v>73</v>
      </c>
      <c r="B1425" t="str">
        <f>"002628"</f>
        <v>002628</v>
      </c>
      <c r="C1425" t="s">
        <v>3131</v>
      </c>
      <c r="D1425" t="s">
        <v>22</v>
      </c>
      <c r="E1425">
        <v>795356179</v>
      </c>
      <c r="F1425">
        <v>609310211</v>
      </c>
      <c r="G1425">
        <v>434604331</v>
      </c>
      <c r="H1425">
        <v>603565201</v>
      </c>
      <c r="I1425">
        <v>493443854</v>
      </c>
      <c r="J1425">
        <v>604946263</v>
      </c>
      <c r="K1425">
        <v>758707010</v>
      </c>
      <c r="L1425">
        <v>639783763</v>
      </c>
      <c r="M1425">
        <v>761196946</v>
      </c>
      <c r="N1425">
        <v>452111810</v>
      </c>
      <c r="O1425">
        <v>289214475</v>
      </c>
      <c r="P1425">
        <v>91</v>
      </c>
      <c r="Q1425" t="s">
        <v>3132</v>
      </c>
    </row>
    <row r="1426" spans="1:17" x14ac:dyDescent="0.3">
      <c r="A1426" t="s">
        <v>17</v>
      </c>
      <c r="B1426" t="str">
        <f>"600780"</f>
        <v>600780</v>
      </c>
      <c r="C1426" t="s">
        <v>3133</v>
      </c>
      <c r="D1426" t="s">
        <v>71</v>
      </c>
      <c r="E1426">
        <v>795073095</v>
      </c>
      <c r="F1426">
        <v>232051150</v>
      </c>
      <c r="G1426">
        <v>219815581</v>
      </c>
      <c r="H1426">
        <v>233477749</v>
      </c>
      <c r="I1426">
        <v>241680425</v>
      </c>
      <c r="J1426">
        <v>175461426</v>
      </c>
      <c r="K1426">
        <v>182581413</v>
      </c>
      <c r="L1426">
        <v>455801106</v>
      </c>
      <c r="M1426">
        <v>720201994</v>
      </c>
      <c r="N1426">
        <v>423659567</v>
      </c>
      <c r="O1426">
        <v>417137431</v>
      </c>
      <c r="P1426">
        <v>108</v>
      </c>
      <c r="Q1426" t="s">
        <v>3134</v>
      </c>
    </row>
    <row r="1427" spans="1:17" x14ac:dyDescent="0.3">
      <c r="A1427" t="s">
        <v>73</v>
      </c>
      <c r="B1427" t="str">
        <f>"000570"</f>
        <v>000570</v>
      </c>
      <c r="C1427" t="s">
        <v>3135</v>
      </c>
      <c r="D1427" t="s">
        <v>122</v>
      </c>
      <c r="E1427">
        <v>792977730</v>
      </c>
      <c r="F1427">
        <v>778492436</v>
      </c>
      <c r="G1427">
        <v>640117701</v>
      </c>
      <c r="H1427">
        <v>642145515</v>
      </c>
      <c r="I1427">
        <v>672606272</v>
      </c>
      <c r="J1427">
        <v>665486300</v>
      </c>
      <c r="K1427">
        <v>644686635</v>
      </c>
      <c r="L1427">
        <v>568400767</v>
      </c>
      <c r="M1427">
        <v>511689367</v>
      </c>
      <c r="N1427">
        <v>546278686</v>
      </c>
      <c r="O1427">
        <v>480613269</v>
      </c>
      <c r="P1427">
        <v>81</v>
      </c>
      <c r="Q1427" t="s">
        <v>3136</v>
      </c>
    </row>
    <row r="1428" spans="1:17" x14ac:dyDescent="0.3">
      <c r="A1428" t="s">
        <v>73</v>
      </c>
      <c r="B1428" t="str">
        <f>"002824"</f>
        <v>002824</v>
      </c>
      <c r="C1428" t="s">
        <v>3137</v>
      </c>
      <c r="D1428" t="s">
        <v>616</v>
      </c>
      <c r="E1428">
        <v>792932773</v>
      </c>
      <c r="F1428">
        <v>421577647</v>
      </c>
      <c r="G1428">
        <v>207685239</v>
      </c>
      <c r="H1428">
        <v>227893383</v>
      </c>
      <c r="I1428">
        <v>153100511</v>
      </c>
      <c r="J1428">
        <v>136001722</v>
      </c>
      <c r="P1428">
        <v>167</v>
      </c>
      <c r="Q1428" t="s">
        <v>3138</v>
      </c>
    </row>
    <row r="1429" spans="1:17" x14ac:dyDescent="0.3">
      <c r="A1429" t="s">
        <v>73</v>
      </c>
      <c r="B1429" t="str">
        <f>"300323"</f>
        <v>300323</v>
      </c>
      <c r="C1429" t="s">
        <v>3139</v>
      </c>
      <c r="D1429" t="s">
        <v>737</v>
      </c>
      <c r="E1429">
        <v>791169107</v>
      </c>
      <c r="F1429">
        <v>838176053</v>
      </c>
      <c r="G1429">
        <v>714967712</v>
      </c>
      <c r="H1429">
        <v>1170696013</v>
      </c>
      <c r="I1429">
        <v>1228169127</v>
      </c>
      <c r="J1429">
        <v>864394129</v>
      </c>
      <c r="K1429">
        <v>694165035</v>
      </c>
      <c r="L1429">
        <v>461675406</v>
      </c>
      <c r="M1429">
        <v>278921578</v>
      </c>
      <c r="N1429">
        <v>250649648</v>
      </c>
      <c r="O1429">
        <v>189820398</v>
      </c>
      <c r="P1429">
        <v>293</v>
      </c>
      <c r="Q1429" t="s">
        <v>3140</v>
      </c>
    </row>
    <row r="1430" spans="1:17" x14ac:dyDescent="0.3">
      <c r="A1430" t="s">
        <v>73</v>
      </c>
      <c r="B1430" t="str">
        <f>"000825"</f>
        <v>000825</v>
      </c>
      <c r="C1430" t="s">
        <v>3141</v>
      </c>
      <c r="D1430" t="s">
        <v>928</v>
      </c>
      <c r="E1430">
        <v>791073815</v>
      </c>
      <c r="F1430">
        <v>1341118242</v>
      </c>
      <c r="G1430">
        <v>1424311360</v>
      </c>
      <c r="H1430">
        <v>1846476515</v>
      </c>
      <c r="I1430">
        <v>2148882855</v>
      </c>
      <c r="J1430">
        <v>2731046484</v>
      </c>
      <c r="K1430">
        <v>2507835243</v>
      </c>
      <c r="L1430">
        <v>3429118540</v>
      </c>
      <c r="M1430">
        <v>3660486410</v>
      </c>
      <c r="N1430">
        <v>2650873069</v>
      </c>
      <c r="O1430">
        <v>1714909457</v>
      </c>
      <c r="P1430">
        <v>581</v>
      </c>
      <c r="Q1430" t="s">
        <v>3142</v>
      </c>
    </row>
    <row r="1431" spans="1:17" x14ac:dyDescent="0.3">
      <c r="A1431" t="s">
        <v>17</v>
      </c>
      <c r="B1431" t="str">
        <f>"601388"</f>
        <v>601388</v>
      </c>
      <c r="C1431" t="s">
        <v>3143</v>
      </c>
      <c r="D1431" t="s">
        <v>616</v>
      </c>
      <c r="E1431">
        <v>790275705</v>
      </c>
      <c r="F1431">
        <v>916837009</v>
      </c>
      <c r="G1431">
        <v>593014951</v>
      </c>
      <c r="H1431">
        <v>618861548</v>
      </c>
      <c r="I1431">
        <v>773960819</v>
      </c>
      <c r="J1431">
        <v>608817582</v>
      </c>
      <c r="K1431">
        <v>303785725</v>
      </c>
      <c r="L1431">
        <v>460384315</v>
      </c>
      <c r="M1431">
        <v>457484574</v>
      </c>
      <c r="N1431">
        <v>509847814</v>
      </c>
      <c r="O1431">
        <v>0</v>
      </c>
      <c r="P1431">
        <v>206</v>
      </c>
      <c r="Q1431" t="s">
        <v>3144</v>
      </c>
    </row>
    <row r="1432" spans="1:17" x14ac:dyDescent="0.3">
      <c r="A1432" t="s">
        <v>73</v>
      </c>
      <c r="B1432" t="str">
        <f>"300317"</f>
        <v>300317</v>
      </c>
      <c r="C1432" t="s">
        <v>3145</v>
      </c>
      <c r="D1432" t="s">
        <v>278</v>
      </c>
      <c r="E1432">
        <v>790226678</v>
      </c>
      <c r="F1432">
        <v>812017991</v>
      </c>
      <c r="G1432">
        <v>1099648462</v>
      </c>
      <c r="H1432">
        <v>1737419291</v>
      </c>
      <c r="I1432">
        <v>2394975816</v>
      </c>
      <c r="J1432">
        <v>2159059363</v>
      </c>
      <c r="K1432">
        <v>1562399586</v>
      </c>
      <c r="L1432">
        <v>220461481</v>
      </c>
      <c r="M1432">
        <v>247896809</v>
      </c>
      <c r="N1432">
        <v>236105982</v>
      </c>
      <c r="O1432">
        <v>146924156</v>
      </c>
      <c r="P1432">
        <v>142</v>
      </c>
      <c r="Q1432" t="s">
        <v>3146</v>
      </c>
    </row>
    <row r="1433" spans="1:17" x14ac:dyDescent="0.3">
      <c r="A1433" t="s">
        <v>17</v>
      </c>
      <c r="B1433" t="str">
        <f>"600509"</f>
        <v>600509</v>
      </c>
      <c r="C1433" t="s">
        <v>3147</v>
      </c>
      <c r="D1433" t="s">
        <v>71</v>
      </c>
      <c r="E1433">
        <v>788737437</v>
      </c>
      <c r="F1433">
        <v>449404452</v>
      </c>
      <c r="G1433">
        <v>937454278</v>
      </c>
      <c r="H1433">
        <v>770413333</v>
      </c>
      <c r="I1433">
        <v>410705861</v>
      </c>
      <c r="J1433">
        <v>649591310</v>
      </c>
      <c r="K1433">
        <v>563164750</v>
      </c>
      <c r="L1433">
        <v>392847133</v>
      </c>
      <c r="M1433">
        <v>427194530</v>
      </c>
      <c r="N1433">
        <v>610620938</v>
      </c>
      <c r="O1433">
        <v>372668921</v>
      </c>
      <c r="P1433">
        <v>142</v>
      </c>
      <c r="Q1433" t="s">
        <v>3148</v>
      </c>
    </row>
    <row r="1434" spans="1:17" x14ac:dyDescent="0.3">
      <c r="A1434" t="s">
        <v>17</v>
      </c>
      <c r="B1434" t="str">
        <f>"600391"</f>
        <v>600391</v>
      </c>
      <c r="C1434" t="s">
        <v>3149</v>
      </c>
      <c r="D1434" t="s">
        <v>130</v>
      </c>
      <c r="E1434">
        <v>788480434</v>
      </c>
      <c r="F1434">
        <v>701254801</v>
      </c>
      <c r="G1434">
        <v>670362784</v>
      </c>
      <c r="H1434">
        <v>732342008</v>
      </c>
      <c r="I1434">
        <v>699660007</v>
      </c>
      <c r="J1434">
        <v>715520286</v>
      </c>
      <c r="K1434">
        <v>690222179</v>
      </c>
      <c r="L1434">
        <v>593919116</v>
      </c>
      <c r="M1434">
        <v>572546223</v>
      </c>
      <c r="N1434">
        <v>385201337</v>
      </c>
      <c r="O1434">
        <v>254234671</v>
      </c>
      <c r="P1434">
        <v>233</v>
      </c>
      <c r="Q1434" t="s">
        <v>3150</v>
      </c>
    </row>
    <row r="1435" spans="1:17" x14ac:dyDescent="0.3">
      <c r="A1435" t="s">
        <v>73</v>
      </c>
      <c r="B1435" t="str">
        <f>"001288"</f>
        <v>001288</v>
      </c>
      <c r="C1435" t="s">
        <v>3151</v>
      </c>
      <c r="D1435" t="s">
        <v>311</v>
      </c>
      <c r="E1435">
        <v>788176444</v>
      </c>
      <c r="P1435">
        <v>14</v>
      </c>
      <c r="Q1435" t="s">
        <v>3152</v>
      </c>
    </row>
    <row r="1436" spans="1:17" x14ac:dyDescent="0.3">
      <c r="A1436" t="s">
        <v>17</v>
      </c>
      <c r="B1436" t="str">
        <f>"600551"</f>
        <v>600551</v>
      </c>
      <c r="C1436" t="s">
        <v>3153</v>
      </c>
      <c r="D1436" t="s">
        <v>1921</v>
      </c>
      <c r="E1436">
        <v>788087985</v>
      </c>
      <c r="F1436">
        <v>816290333</v>
      </c>
      <c r="G1436">
        <v>789788686</v>
      </c>
      <c r="H1436">
        <v>1008058914</v>
      </c>
      <c r="I1436">
        <v>1107608583</v>
      </c>
      <c r="J1436">
        <v>1676784594</v>
      </c>
      <c r="K1436">
        <v>1574276046</v>
      </c>
      <c r="L1436">
        <v>1098138273</v>
      </c>
      <c r="M1436">
        <v>803536968</v>
      </c>
      <c r="N1436">
        <v>438862251</v>
      </c>
      <c r="O1436">
        <v>379906963</v>
      </c>
      <c r="P1436">
        <v>134</v>
      </c>
      <c r="Q1436" t="s">
        <v>3154</v>
      </c>
    </row>
    <row r="1437" spans="1:17" x14ac:dyDescent="0.3">
      <c r="A1437" t="s">
        <v>73</v>
      </c>
      <c r="B1437" t="str">
        <f>"002326"</f>
        <v>002326</v>
      </c>
      <c r="C1437" t="s">
        <v>3155</v>
      </c>
      <c r="D1437" t="s">
        <v>1726</v>
      </c>
      <c r="E1437">
        <v>787621804</v>
      </c>
      <c r="F1437">
        <v>582129094</v>
      </c>
      <c r="G1437">
        <v>482953370</v>
      </c>
      <c r="H1437">
        <v>633203344</v>
      </c>
      <c r="I1437">
        <v>598994818</v>
      </c>
      <c r="J1437">
        <v>530409501</v>
      </c>
      <c r="K1437">
        <v>392562840</v>
      </c>
      <c r="L1437">
        <v>241475932</v>
      </c>
      <c r="M1437">
        <v>141276847</v>
      </c>
      <c r="N1437">
        <v>179250185</v>
      </c>
      <c r="O1437">
        <v>141506556</v>
      </c>
      <c r="P1437">
        <v>298</v>
      </c>
      <c r="Q1437" t="s">
        <v>3156</v>
      </c>
    </row>
    <row r="1438" spans="1:17" x14ac:dyDescent="0.3">
      <c r="A1438" t="s">
        <v>17</v>
      </c>
      <c r="B1438" t="str">
        <f>"603315"</f>
        <v>603315</v>
      </c>
      <c r="C1438" t="s">
        <v>3157</v>
      </c>
      <c r="D1438" t="s">
        <v>146</v>
      </c>
      <c r="E1438">
        <v>787015253</v>
      </c>
      <c r="F1438">
        <v>741495168</v>
      </c>
      <c r="G1438">
        <v>637183152</v>
      </c>
      <c r="H1438">
        <v>378287475</v>
      </c>
      <c r="I1438">
        <v>341590508</v>
      </c>
      <c r="J1438">
        <v>239037766</v>
      </c>
      <c r="K1438">
        <v>266847477</v>
      </c>
      <c r="L1438">
        <v>229465895</v>
      </c>
      <c r="M1438">
        <v>0</v>
      </c>
      <c r="P1438">
        <v>57</v>
      </c>
      <c r="Q1438" t="s">
        <v>3158</v>
      </c>
    </row>
    <row r="1439" spans="1:17" x14ac:dyDescent="0.3">
      <c r="A1439" t="s">
        <v>73</v>
      </c>
      <c r="B1439" t="str">
        <f>"300604"</f>
        <v>300604</v>
      </c>
      <c r="C1439" t="s">
        <v>3159</v>
      </c>
      <c r="D1439" t="s">
        <v>1291</v>
      </c>
      <c r="E1439">
        <v>786091162</v>
      </c>
      <c r="F1439">
        <v>510081110</v>
      </c>
      <c r="G1439">
        <v>279695570</v>
      </c>
      <c r="H1439">
        <v>128846034</v>
      </c>
      <c r="I1439">
        <v>125305691</v>
      </c>
      <c r="J1439">
        <v>96267157</v>
      </c>
      <c r="K1439">
        <v>0</v>
      </c>
      <c r="P1439">
        <v>370</v>
      </c>
      <c r="Q1439" t="s">
        <v>3160</v>
      </c>
    </row>
    <row r="1440" spans="1:17" x14ac:dyDescent="0.3">
      <c r="A1440" t="s">
        <v>73</v>
      </c>
      <c r="B1440" t="str">
        <f>"000599"</f>
        <v>000599</v>
      </c>
      <c r="C1440" t="s">
        <v>3161</v>
      </c>
      <c r="D1440" t="s">
        <v>781</v>
      </c>
      <c r="E1440">
        <v>785206182</v>
      </c>
      <c r="F1440">
        <v>1053203641</v>
      </c>
      <c r="G1440">
        <v>897298845</v>
      </c>
      <c r="H1440">
        <v>1265816199</v>
      </c>
      <c r="I1440">
        <v>1359234371</v>
      </c>
      <c r="J1440">
        <v>1110743547</v>
      </c>
      <c r="K1440">
        <v>1023591078</v>
      </c>
      <c r="L1440">
        <v>776198623</v>
      </c>
      <c r="M1440">
        <v>875011977</v>
      </c>
      <c r="N1440">
        <v>1022349751</v>
      </c>
      <c r="O1440">
        <v>771964770</v>
      </c>
      <c r="P1440">
        <v>119</v>
      </c>
      <c r="Q1440" t="s">
        <v>3162</v>
      </c>
    </row>
    <row r="1441" spans="1:17" x14ac:dyDescent="0.3">
      <c r="A1441" t="s">
        <v>17</v>
      </c>
      <c r="B1441" t="str">
        <f>"603322"</f>
        <v>603322</v>
      </c>
      <c r="C1441" t="s">
        <v>3163</v>
      </c>
      <c r="D1441" t="s">
        <v>853</v>
      </c>
      <c r="E1441">
        <v>785126057</v>
      </c>
      <c r="F1441">
        <v>885537651</v>
      </c>
      <c r="G1441">
        <v>1261235512</v>
      </c>
      <c r="H1441">
        <v>1285491201</v>
      </c>
      <c r="I1441">
        <v>1061629561</v>
      </c>
      <c r="J1441">
        <v>659600591</v>
      </c>
      <c r="K1441">
        <v>488424018</v>
      </c>
      <c r="L1441">
        <v>0</v>
      </c>
      <c r="P1441">
        <v>184</v>
      </c>
      <c r="Q1441" t="s">
        <v>3164</v>
      </c>
    </row>
    <row r="1442" spans="1:17" x14ac:dyDescent="0.3">
      <c r="A1442" t="s">
        <v>73</v>
      </c>
      <c r="B1442" t="str">
        <f>"002955"</f>
        <v>002955</v>
      </c>
      <c r="C1442" t="s">
        <v>3165</v>
      </c>
      <c r="D1442" t="s">
        <v>97</v>
      </c>
      <c r="E1442">
        <v>783551211</v>
      </c>
      <c r="F1442">
        <v>602811228</v>
      </c>
      <c r="G1442">
        <v>839443007</v>
      </c>
      <c r="H1442">
        <v>275131402</v>
      </c>
      <c r="P1442">
        <v>167</v>
      </c>
      <c r="Q1442" t="s">
        <v>3166</v>
      </c>
    </row>
    <row r="1443" spans="1:17" x14ac:dyDescent="0.3">
      <c r="A1443" t="s">
        <v>73</v>
      </c>
      <c r="B1443" t="str">
        <f>"300358"</f>
        <v>300358</v>
      </c>
      <c r="C1443" t="s">
        <v>3167</v>
      </c>
      <c r="D1443" t="s">
        <v>692</v>
      </c>
      <c r="E1443">
        <v>782411196</v>
      </c>
      <c r="F1443">
        <v>646241310</v>
      </c>
      <c r="G1443">
        <v>713307768</v>
      </c>
      <c r="H1443">
        <v>730855760</v>
      </c>
      <c r="I1443">
        <v>679668298</v>
      </c>
      <c r="J1443">
        <v>739383101</v>
      </c>
      <c r="K1443">
        <v>622811248</v>
      </c>
      <c r="L1443">
        <v>329900865</v>
      </c>
      <c r="M1443">
        <v>194500381</v>
      </c>
      <c r="N1443">
        <v>0</v>
      </c>
      <c r="P1443">
        <v>185</v>
      </c>
      <c r="Q1443" t="s">
        <v>3168</v>
      </c>
    </row>
    <row r="1444" spans="1:17" x14ac:dyDescent="0.3">
      <c r="A1444" t="s">
        <v>17</v>
      </c>
      <c r="B1444" t="str">
        <f>"605066"</f>
        <v>605066</v>
      </c>
      <c r="C1444" t="s">
        <v>3169</v>
      </c>
      <c r="D1444" t="s">
        <v>230</v>
      </c>
      <c r="E1444">
        <v>782050624</v>
      </c>
      <c r="F1444">
        <v>950417518</v>
      </c>
      <c r="G1444">
        <v>701501802</v>
      </c>
      <c r="P1444">
        <v>54</v>
      </c>
      <c r="Q1444" t="s">
        <v>3170</v>
      </c>
    </row>
    <row r="1445" spans="1:17" x14ac:dyDescent="0.3">
      <c r="A1445" t="s">
        <v>73</v>
      </c>
      <c r="B1445" t="str">
        <f>"000998"</f>
        <v>000998</v>
      </c>
      <c r="C1445" t="s">
        <v>3171</v>
      </c>
      <c r="D1445" t="s">
        <v>3172</v>
      </c>
      <c r="E1445">
        <v>780664403</v>
      </c>
      <c r="F1445">
        <v>1039606219</v>
      </c>
      <c r="G1445">
        <v>1095908728</v>
      </c>
      <c r="H1445">
        <v>1083570979</v>
      </c>
      <c r="I1445">
        <v>786327310</v>
      </c>
      <c r="J1445">
        <v>581932414</v>
      </c>
      <c r="K1445">
        <v>370262896</v>
      </c>
      <c r="L1445">
        <v>306935090</v>
      </c>
      <c r="M1445">
        <v>217960289</v>
      </c>
      <c r="N1445">
        <v>221696949</v>
      </c>
      <c r="O1445">
        <v>136067740</v>
      </c>
      <c r="P1445">
        <v>649</v>
      </c>
      <c r="Q1445" t="s">
        <v>3173</v>
      </c>
    </row>
    <row r="1446" spans="1:17" x14ac:dyDescent="0.3">
      <c r="A1446" t="s">
        <v>73</v>
      </c>
      <c r="B1446" t="str">
        <f>"200045"</f>
        <v>200045</v>
      </c>
      <c r="C1446" t="s">
        <v>3174</v>
      </c>
      <c r="E1446">
        <v>779719957.58200002</v>
      </c>
      <c r="F1446">
        <v>624101522.44599998</v>
      </c>
      <c r="G1446">
        <v>419634547.40429997</v>
      </c>
      <c r="H1446">
        <v>612596290.46220005</v>
      </c>
      <c r="I1446">
        <v>181535227.55700001</v>
      </c>
      <c r="J1446">
        <v>205284776.42160001</v>
      </c>
      <c r="K1446">
        <v>219137749.9249</v>
      </c>
      <c r="L1446">
        <v>227311776.25</v>
      </c>
      <c r="M1446">
        <v>129398903.3748</v>
      </c>
      <c r="N1446">
        <v>178394864.75400001</v>
      </c>
      <c r="O1446">
        <v>77000922.746999994</v>
      </c>
      <c r="P1446">
        <v>6</v>
      </c>
      <c r="Q1446" t="s">
        <v>3175</v>
      </c>
    </row>
    <row r="1447" spans="1:17" x14ac:dyDescent="0.3">
      <c r="A1447" t="s">
        <v>73</v>
      </c>
      <c r="B1447" t="str">
        <f>"002410"</f>
        <v>002410</v>
      </c>
      <c r="C1447" t="s">
        <v>3176</v>
      </c>
      <c r="D1447" t="s">
        <v>795</v>
      </c>
      <c r="E1447">
        <v>779208191</v>
      </c>
      <c r="F1447">
        <v>493686550</v>
      </c>
      <c r="G1447">
        <v>631402226</v>
      </c>
      <c r="H1447">
        <v>393643009</v>
      </c>
      <c r="I1447">
        <v>236063652</v>
      </c>
      <c r="J1447">
        <v>125019529</v>
      </c>
      <c r="K1447">
        <v>96414057</v>
      </c>
      <c r="L1447">
        <v>83442459</v>
      </c>
      <c r="M1447">
        <v>41278841</v>
      </c>
      <c r="N1447">
        <v>43233259</v>
      </c>
      <c r="O1447">
        <v>27636516</v>
      </c>
      <c r="P1447">
        <v>2190</v>
      </c>
      <c r="Q1447" t="s">
        <v>3177</v>
      </c>
    </row>
    <row r="1448" spans="1:17" x14ac:dyDescent="0.3">
      <c r="A1448" t="s">
        <v>17</v>
      </c>
      <c r="B1448" t="str">
        <f>"688521"</f>
        <v>688521</v>
      </c>
      <c r="C1448" t="s">
        <v>3178</v>
      </c>
      <c r="D1448" t="s">
        <v>890</v>
      </c>
      <c r="E1448">
        <v>778861330</v>
      </c>
      <c r="F1448">
        <v>463699974</v>
      </c>
      <c r="G1448">
        <v>356975337</v>
      </c>
      <c r="P1448">
        <v>140</v>
      </c>
      <c r="Q1448" t="s">
        <v>3179</v>
      </c>
    </row>
    <row r="1449" spans="1:17" x14ac:dyDescent="0.3">
      <c r="A1449" t="s">
        <v>73</v>
      </c>
      <c r="B1449" t="str">
        <f>"002273"</f>
        <v>002273</v>
      </c>
      <c r="C1449" t="s">
        <v>3180</v>
      </c>
      <c r="D1449" t="s">
        <v>477</v>
      </c>
      <c r="E1449">
        <v>778290396</v>
      </c>
      <c r="F1449">
        <v>730540039</v>
      </c>
      <c r="G1449">
        <v>549258311</v>
      </c>
      <c r="H1449">
        <v>455790850</v>
      </c>
      <c r="I1449">
        <v>387420971</v>
      </c>
      <c r="J1449">
        <v>402342685</v>
      </c>
      <c r="K1449">
        <v>321143859</v>
      </c>
      <c r="L1449">
        <v>292311387</v>
      </c>
      <c r="M1449">
        <v>174598822</v>
      </c>
      <c r="N1449">
        <v>110827082</v>
      </c>
      <c r="O1449">
        <v>74995120</v>
      </c>
      <c r="P1449">
        <v>949</v>
      </c>
      <c r="Q1449" t="s">
        <v>3181</v>
      </c>
    </row>
    <row r="1450" spans="1:17" x14ac:dyDescent="0.3">
      <c r="A1450" t="s">
        <v>17</v>
      </c>
      <c r="B1450" t="str">
        <f>"688788"</f>
        <v>688788</v>
      </c>
      <c r="C1450" t="s">
        <v>3182</v>
      </c>
      <c r="D1450" t="s">
        <v>502</v>
      </c>
      <c r="E1450">
        <v>776900317</v>
      </c>
      <c r="F1450">
        <v>777581561</v>
      </c>
      <c r="G1450">
        <v>0</v>
      </c>
      <c r="P1450">
        <v>57</v>
      </c>
      <c r="Q1450" t="s">
        <v>3183</v>
      </c>
    </row>
    <row r="1451" spans="1:17" x14ac:dyDescent="0.3">
      <c r="A1451" t="s">
        <v>73</v>
      </c>
      <c r="B1451" t="str">
        <f>"300310"</f>
        <v>300310</v>
      </c>
      <c r="C1451" t="s">
        <v>3184</v>
      </c>
      <c r="D1451" t="s">
        <v>853</v>
      </c>
      <c r="E1451">
        <v>776166251</v>
      </c>
      <c r="F1451">
        <v>732727639</v>
      </c>
      <c r="G1451">
        <v>665195689</v>
      </c>
      <c r="H1451">
        <v>897574474</v>
      </c>
      <c r="I1451">
        <v>1067577724</v>
      </c>
      <c r="J1451">
        <v>634317568</v>
      </c>
      <c r="K1451">
        <v>401547063</v>
      </c>
      <c r="L1451">
        <v>313519461</v>
      </c>
      <c r="M1451">
        <v>227585577</v>
      </c>
      <c r="N1451">
        <v>184743452</v>
      </c>
      <c r="O1451">
        <v>111238418</v>
      </c>
      <c r="P1451">
        <v>257</v>
      </c>
      <c r="Q1451" t="s">
        <v>3185</v>
      </c>
    </row>
    <row r="1452" spans="1:17" x14ac:dyDescent="0.3">
      <c r="A1452" t="s">
        <v>73</v>
      </c>
      <c r="B1452" t="str">
        <f>"000670"</f>
        <v>000670</v>
      </c>
      <c r="C1452" t="s">
        <v>3186</v>
      </c>
      <c r="D1452" t="s">
        <v>890</v>
      </c>
      <c r="E1452">
        <v>774318681</v>
      </c>
      <c r="F1452">
        <v>610028535</v>
      </c>
      <c r="G1452">
        <v>7489463</v>
      </c>
      <c r="H1452">
        <v>10785806</v>
      </c>
      <c r="I1452">
        <v>35235708</v>
      </c>
      <c r="J1452">
        <v>119986491</v>
      </c>
      <c r="K1452">
        <v>167491798</v>
      </c>
      <c r="L1452">
        <v>43867860</v>
      </c>
      <c r="M1452">
        <v>4951313</v>
      </c>
      <c r="N1452">
        <v>55818803</v>
      </c>
      <c r="O1452">
        <v>51936097</v>
      </c>
      <c r="P1452">
        <v>116</v>
      </c>
      <c r="Q1452" t="s">
        <v>3187</v>
      </c>
    </row>
    <row r="1453" spans="1:17" x14ac:dyDescent="0.3">
      <c r="A1453" t="s">
        <v>73</v>
      </c>
      <c r="B1453" t="str">
        <f>"300053"</f>
        <v>300053</v>
      </c>
      <c r="C1453" t="s">
        <v>3188</v>
      </c>
      <c r="D1453" t="s">
        <v>890</v>
      </c>
      <c r="E1453">
        <v>773304291</v>
      </c>
      <c r="F1453">
        <v>576980220</v>
      </c>
      <c r="G1453">
        <v>681897818</v>
      </c>
      <c r="H1453">
        <v>653828827</v>
      </c>
      <c r="I1453">
        <v>554500532</v>
      </c>
      <c r="J1453">
        <v>490668040</v>
      </c>
      <c r="K1453">
        <v>351003126</v>
      </c>
      <c r="L1453">
        <v>135634379</v>
      </c>
      <c r="M1453">
        <v>124882296</v>
      </c>
      <c r="N1453">
        <v>114688108</v>
      </c>
      <c r="O1453">
        <v>116796702</v>
      </c>
      <c r="P1453">
        <v>264</v>
      </c>
      <c r="Q1453" t="s">
        <v>3189</v>
      </c>
    </row>
    <row r="1454" spans="1:17" x14ac:dyDescent="0.3">
      <c r="A1454" t="s">
        <v>17</v>
      </c>
      <c r="B1454" t="str">
        <f>"600167"</f>
        <v>600167</v>
      </c>
      <c r="C1454" t="s">
        <v>3190</v>
      </c>
      <c r="D1454" t="s">
        <v>1106</v>
      </c>
      <c r="E1454">
        <v>773175972</v>
      </c>
      <c r="F1454">
        <v>1107257491</v>
      </c>
      <c r="G1454">
        <v>1017541526</v>
      </c>
      <c r="H1454">
        <v>399914804</v>
      </c>
      <c r="I1454">
        <v>196280876</v>
      </c>
      <c r="J1454">
        <v>170848872</v>
      </c>
      <c r="K1454">
        <v>11534222</v>
      </c>
      <c r="L1454">
        <v>13332908</v>
      </c>
      <c r="M1454">
        <v>13950704</v>
      </c>
      <c r="N1454">
        <v>6331649</v>
      </c>
      <c r="O1454">
        <v>8306977</v>
      </c>
      <c r="P1454">
        <v>39750</v>
      </c>
      <c r="Q1454" t="s">
        <v>3191</v>
      </c>
    </row>
    <row r="1455" spans="1:17" x14ac:dyDescent="0.3">
      <c r="A1455" t="s">
        <v>17</v>
      </c>
      <c r="B1455" t="str">
        <f>"689009"</f>
        <v>689009</v>
      </c>
      <c r="C1455" t="s">
        <v>3192</v>
      </c>
      <c r="D1455" t="s">
        <v>3193</v>
      </c>
      <c r="E1455">
        <v>772584091</v>
      </c>
      <c r="F1455">
        <v>849911799</v>
      </c>
      <c r="G1455">
        <v>0</v>
      </c>
      <c r="P1455">
        <v>114</v>
      </c>
      <c r="Q1455" t="s">
        <v>3194</v>
      </c>
    </row>
    <row r="1456" spans="1:17" x14ac:dyDescent="0.3">
      <c r="A1456" t="s">
        <v>17</v>
      </c>
      <c r="B1456" t="str">
        <f>"603070"</f>
        <v>603070</v>
      </c>
      <c r="C1456" t="s">
        <v>3195</v>
      </c>
      <c r="E1456">
        <v>772527243</v>
      </c>
      <c r="P1456">
        <v>10</v>
      </c>
      <c r="Q1456" t="s">
        <v>3196</v>
      </c>
    </row>
    <row r="1457" spans="1:17" x14ac:dyDescent="0.3">
      <c r="A1457" t="s">
        <v>17</v>
      </c>
      <c r="B1457" t="str">
        <f>"603577"</f>
        <v>603577</v>
      </c>
      <c r="C1457" t="s">
        <v>3197</v>
      </c>
      <c r="D1457" t="s">
        <v>515</v>
      </c>
      <c r="E1457">
        <v>770893308</v>
      </c>
      <c r="F1457">
        <v>578329114</v>
      </c>
      <c r="G1457">
        <v>362799906</v>
      </c>
      <c r="H1457">
        <v>489769378</v>
      </c>
      <c r="I1457">
        <v>371212303</v>
      </c>
      <c r="J1457">
        <v>324585476</v>
      </c>
      <c r="P1457">
        <v>90</v>
      </c>
      <c r="Q1457" t="s">
        <v>3198</v>
      </c>
    </row>
    <row r="1458" spans="1:17" x14ac:dyDescent="0.3">
      <c r="A1458" t="s">
        <v>17</v>
      </c>
      <c r="B1458" t="str">
        <f>"605358"</f>
        <v>605358</v>
      </c>
      <c r="C1458" t="s">
        <v>3199</v>
      </c>
      <c r="D1458" t="s">
        <v>354</v>
      </c>
      <c r="E1458">
        <v>770445117</v>
      </c>
      <c r="F1458">
        <v>568115682</v>
      </c>
      <c r="G1458">
        <v>452595398</v>
      </c>
      <c r="P1458">
        <v>289</v>
      </c>
      <c r="Q1458" t="s">
        <v>3200</v>
      </c>
    </row>
    <row r="1459" spans="1:17" x14ac:dyDescent="0.3">
      <c r="A1459" t="s">
        <v>17</v>
      </c>
      <c r="B1459" t="str">
        <f>"603776"</f>
        <v>603776</v>
      </c>
      <c r="C1459" t="s">
        <v>3201</v>
      </c>
      <c r="D1459" t="s">
        <v>1324</v>
      </c>
      <c r="E1459">
        <v>770384084</v>
      </c>
      <c r="F1459">
        <v>710748817</v>
      </c>
      <c r="G1459">
        <v>216789451</v>
      </c>
      <c r="H1459">
        <v>615448381</v>
      </c>
      <c r="I1459">
        <v>552657551</v>
      </c>
      <c r="J1459">
        <v>0</v>
      </c>
      <c r="K1459">
        <v>0</v>
      </c>
      <c r="P1459">
        <v>189</v>
      </c>
      <c r="Q1459" t="s">
        <v>3202</v>
      </c>
    </row>
    <row r="1460" spans="1:17" x14ac:dyDescent="0.3">
      <c r="A1460" t="s">
        <v>17</v>
      </c>
      <c r="B1460" t="str">
        <f>"600220"</f>
        <v>600220</v>
      </c>
      <c r="C1460" t="s">
        <v>3203</v>
      </c>
      <c r="D1460" t="s">
        <v>3204</v>
      </c>
      <c r="E1460">
        <v>769714206</v>
      </c>
      <c r="F1460">
        <v>348737753</v>
      </c>
      <c r="G1460">
        <v>553577503</v>
      </c>
      <c r="H1460">
        <v>426857272</v>
      </c>
      <c r="I1460">
        <v>444882005</v>
      </c>
      <c r="J1460">
        <v>328770731</v>
      </c>
      <c r="K1460">
        <v>378698043</v>
      </c>
      <c r="L1460">
        <v>210151267</v>
      </c>
      <c r="M1460">
        <v>168505278</v>
      </c>
      <c r="N1460">
        <v>176510232</v>
      </c>
      <c r="O1460">
        <v>308788943</v>
      </c>
      <c r="P1460">
        <v>118</v>
      </c>
      <c r="Q1460" t="s">
        <v>3205</v>
      </c>
    </row>
    <row r="1461" spans="1:17" x14ac:dyDescent="0.3">
      <c r="A1461" t="s">
        <v>73</v>
      </c>
      <c r="B1461" t="str">
        <f>"002765"</f>
        <v>002765</v>
      </c>
      <c r="C1461" t="s">
        <v>3206</v>
      </c>
      <c r="D1461" t="s">
        <v>97</v>
      </c>
      <c r="E1461">
        <v>769474883</v>
      </c>
      <c r="F1461">
        <v>664684821</v>
      </c>
      <c r="G1461">
        <v>327045053</v>
      </c>
      <c r="H1461">
        <v>280847675</v>
      </c>
      <c r="I1461">
        <v>409005734</v>
      </c>
      <c r="J1461">
        <v>401942473</v>
      </c>
      <c r="K1461">
        <v>347806065</v>
      </c>
      <c r="L1461">
        <v>0</v>
      </c>
      <c r="M1461">
        <v>0</v>
      </c>
      <c r="P1461">
        <v>118</v>
      </c>
      <c r="Q1461" t="s">
        <v>3207</v>
      </c>
    </row>
    <row r="1462" spans="1:17" x14ac:dyDescent="0.3">
      <c r="A1462" t="s">
        <v>73</v>
      </c>
      <c r="B1462" t="str">
        <f>"000605"</f>
        <v>000605</v>
      </c>
      <c r="C1462" t="s">
        <v>3208</v>
      </c>
      <c r="D1462" t="s">
        <v>308</v>
      </c>
      <c r="E1462">
        <v>768321669</v>
      </c>
      <c r="F1462">
        <v>746835149</v>
      </c>
      <c r="G1462">
        <v>575824811</v>
      </c>
      <c r="H1462">
        <v>584972983</v>
      </c>
      <c r="I1462">
        <v>746633661</v>
      </c>
      <c r="J1462">
        <v>458063324</v>
      </c>
      <c r="K1462">
        <v>159850647</v>
      </c>
      <c r="L1462">
        <v>106789869</v>
      </c>
      <c r="M1462">
        <v>97466920</v>
      </c>
      <c r="N1462">
        <v>8885239</v>
      </c>
      <c r="O1462">
        <v>2790114</v>
      </c>
      <c r="P1462">
        <v>85</v>
      </c>
      <c r="Q1462" t="s">
        <v>3209</v>
      </c>
    </row>
    <row r="1463" spans="1:17" x14ac:dyDescent="0.3">
      <c r="A1463" t="s">
        <v>73</v>
      </c>
      <c r="B1463" t="str">
        <f>"000099"</f>
        <v>000099</v>
      </c>
      <c r="C1463" t="s">
        <v>3210</v>
      </c>
      <c r="D1463" t="s">
        <v>948</v>
      </c>
      <c r="E1463">
        <v>765136978</v>
      </c>
      <c r="F1463">
        <v>605695077</v>
      </c>
      <c r="G1463">
        <v>550932448</v>
      </c>
      <c r="H1463">
        <v>516350092</v>
      </c>
      <c r="I1463">
        <v>458994123</v>
      </c>
      <c r="J1463">
        <v>399341618</v>
      </c>
      <c r="K1463">
        <v>324028893</v>
      </c>
      <c r="L1463">
        <v>315277238</v>
      </c>
      <c r="M1463">
        <v>290464495</v>
      </c>
      <c r="N1463">
        <v>258070319</v>
      </c>
      <c r="O1463">
        <v>234334806</v>
      </c>
      <c r="P1463">
        <v>166</v>
      </c>
      <c r="Q1463" t="s">
        <v>3211</v>
      </c>
    </row>
    <row r="1464" spans="1:17" x14ac:dyDescent="0.3">
      <c r="A1464" t="s">
        <v>73</v>
      </c>
      <c r="B1464" t="str">
        <f>"002223"</f>
        <v>002223</v>
      </c>
      <c r="C1464" t="s">
        <v>3212</v>
      </c>
      <c r="D1464" t="s">
        <v>692</v>
      </c>
      <c r="E1464">
        <v>763812261</v>
      </c>
      <c r="F1464">
        <v>730779141</v>
      </c>
      <c r="G1464">
        <v>869040812</v>
      </c>
      <c r="H1464">
        <v>1276876567</v>
      </c>
      <c r="I1464">
        <v>933638963</v>
      </c>
      <c r="J1464">
        <v>1089293240</v>
      </c>
      <c r="K1464">
        <v>753155889</v>
      </c>
      <c r="L1464">
        <v>680818214</v>
      </c>
      <c r="M1464">
        <v>498730037</v>
      </c>
      <c r="N1464">
        <v>419030669</v>
      </c>
      <c r="O1464">
        <v>344453111</v>
      </c>
      <c r="P1464">
        <v>17494</v>
      </c>
      <c r="Q1464" t="s">
        <v>3213</v>
      </c>
    </row>
    <row r="1465" spans="1:17" x14ac:dyDescent="0.3">
      <c r="A1465" t="s">
        <v>73</v>
      </c>
      <c r="B1465" t="str">
        <f>"000525"</f>
        <v>000525</v>
      </c>
      <c r="C1465" t="s">
        <v>3214</v>
      </c>
      <c r="D1465" t="s">
        <v>272</v>
      </c>
      <c r="E1465">
        <v>762245108</v>
      </c>
      <c r="F1465">
        <v>394743900</v>
      </c>
      <c r="G1465">
        <v>1096123228</v>
      </c>
      <c r="H1465">
        <v>1965461658</v>
      </c>
      <c r="I1465">
        <v>1391738034</v>
      </c>
      <c r="J1465">
        <v>1239123052</v>
      </c>
      <c r="K1465">
        <v>757752452</v>
      </c>
      <c r="L1465">
        <v>787888136</v>
      </c>
      <c r="M1465">
        <v>661686688</v>
      </c>
      <c r="N1465">
        <v>315387506</v>
      </c>
      <c r="O1465">
        <v>182263682</v>
      </c>
      <c r="P1465">
        <v>150</v>
      </c>
      <c r="Q1465" t="s">
        <v>3215</v>
      </c>
    </row>
    <row r="1466" spans="1:17" x14ac:dyDescent="0.3">
      <c r="A1466" t="s">
        <v>73</v>
      </c>
      <c r="B1466" t="str">
        <f>"300137"</f>
        <v>300137</v>
      </c>
      <c r="C1466" t="s">
        <v>3216</v>
      </c>
      <c r="D1466" t="s">
        <v>540</v>
      </c>
      <c r="E1466">
        <v>762115226</v>
      </c>
      <c r="F1466">
        <v>757948764</v>
      </c>
      <c r="G1466">
        <v>692478423</v>
      </c>
      <c r="H1466">
        <v>578172457</v>
      </c>
      <c r="I1466">
        <v>323615941</v>
      </c>
      <c r="J1466">
        <v>363701720</v>
      </c>
      <c r="K1466">
        <v>306782287</v>
      </c>
      <c r="L1466">
        <v>286125896</v>
      </c>
      <c r="M1466">
        <v>201278690</v>
      </c>
      <c r="N1466">
        <v>171510270</v>
      </c>
      <c r="O1466">
        <v>171036043</v>
      </c>
      <c r="P1466">
        <v>253</v>
      </c>
      <c r="Q1466" t="s">
        <v>3217</v>
      </c>
    </row>
    <row r="1467" spans="1:17" x14ac:dyDescent="0.3">
      <c r="A1467" t="s">
        <v>17</v>
      </c>
      <c r="B1467" t="str">
        <f>"603817"</f>
        <v>603817</v>
      </c>
      <c r="C1467" t="s">
        <v>3218</v>
      </c>
      <c r="D1467" t="s">
        <v>308</v>
      </c>
      <c r="E1467">
        <v>762082328</v>
      </c>
      <c r="F1467">
        <v>423768205</v>
      </c>
      <c r="G1467">
        <v>333753328</v>
      </c>
      <c r="H1467">
        <v>255198513</v>
      </c>
      <c r="I1467">
        <v>103489552</v>
      </c>
      <c r="J1467">
        <v>96808984</v>
      </c>
      <c r="P1467">
        <v>121</v>
      </c>
      <c r="Q1467" t="s">
        <v>3219</v>
      </c>
    </row>
    <row r="1468" spans="1:17" x14ac:dyDescent="0.3">
      <c r="A1468" t="s">
        <v>73</v>
      </c>
      <c r="B1468" t="str">
        <f>"002350"</f>
        <v>002350</v>
      </c>
      <c r="C1468" t="s">
        <v>3220</v>
      </c>
      <c r="D1468" t="s">
        <v>230</v>
      </c>
      <c r="E1468">
        <v>760923039</v>
      </c>
      <c r="F1468">
        <v>782672115</v>
      </c>
      <c r="G1468">
        <v>918759178</v>
      </c>
      <c r="H1468">
        <v>995724886</v>
      </c>
      <c r="I1468">
        <v>926632438</v>
      </c>
      <c r="J1468">
        <v>652397381</v>
      </c>
      <c r="K1468">
        <v>648940711</v>
      </c>
      <c r="L1468">
        <v>468696546</v>
      </c>
      <c r="M1468">
        <v>371532005</v>
      </c>
      <c r="N1468">
        <v>328288740</v>
      </c>
      <c r="O1468">
        <v>257973510</v>
      </c>
      <c r="P1468">
        <v>104</v>
      </c>
      <c r="Q1468" t="s">
        <v>3221</v>
      </c>
    </row>
    <row r="1469" spans="1:17" x14ac:dyDescent="0.3">
      <c r="A1469" t="s">
        <v>17</v>
      </c>
      <c r="B1469" t="str">
        <f>"600383"</f>
        <v>600383</v>
      </c>
      <c r="C1469" t="s">
        <v>3222</v>
      </c>
      <c r="D1469" t="s">
        <v>27</v>
      </c>
      <c r="E1469">
        <v>760576317</v>
      </c>
      <c r="F1469">
        <v>482863352</v>
      </c>
      <c r="G1469">
        <v>306312415</v>
      </c>
      <c r="H1469">
        <v>119484972</v>
      </c>
      <c r="I1469">
        <v>62791652</v>
      </c>
      <c r="J1469">
        <v>67835345</v>
      </c>
      <c r="K1469">
        <v>65745504</v>
      </c>
      <c r="L1469">
        <v>13324705</v>
      </c>
      <c r="M1469">
        <v>9482765</v>
      </c>
      <c r="N1469">
        <v>9190054</v>
      </c>
      <c r="O1469">
        <v>1641228</v>
      </c>
      <c r="P1469">
        <v>2482</v>
      </c>
      <c r="Q1469" t="s">
        <v>3223</v>
      </c>
    </row>
    <row r="1470" spans="1:17" x14ac:dyDescent="0.3">
      <c r="A1470" t="s">
        <v>17</v>
      </c>
      <c r="B1470" t="str">
        <f>"605208"</f>
        <v>605208</v>
      </c>
      <c r="C1470" t="s">
        <v>3224</v>
      </c>
      <c r="D1470" t="s">
        <v>616</v>
      </c>
      <c r="E1470">
        <v>760165104</v>
      </c>
      <c r="F1470">
        <v>436271282</v>
      </c>
      <c r="P1470">
        <v>40</v>
      </c>
      <c r="Q1470" t="s">
        <v>3225</v>
      </c>
    </row>
    <row r="1471" spans="1:17" x14ac:dyDescent="0.3">
      <c r="A1471" t="s">
        <v>17</v>
      </c>
      <c r="B1471" t="str">
        <f>"688276"</f>
        <v>688276</v>
      </c>
      <c r="C1471" t="s">
        <v>3226</v>
      </c>
      <c r="D1471" t="s">
        <v>182</v>
      </c>
      <c r="E1471">
        <v>757773594</v>
      </c>
      <c r="F1471">
        <v>773682805</v>
      </c>
      <c r="P1471">
        <v>46</v>
      </c>
      <c r="Q1471" t="s">
        <v>3227</v>
      </c>
    </row>
    <row r="1472" spans="1:17" x14ac:dyDescent="0.3">
      <c r="A1472" t="s">
        <v>73</v>
      </c>
      <c r="B1472" t="str">
        <f>"002775"</f>
        <v>002775</v>
      </c>
      <c r="C1472" t="s">
        <v>3228</v>
      </c>
      <c r="D1472" t="s">
        <v>445</v>
      </c>
      <c r="E1472">
        <v>756415207</v>
      </c>
      <c r="F1472">
        <v>666129339</v>
      </c>
      <c r="G1472">
        <v>574437457</v>
      </c>
      <c r="H1472">
        <v>729208561</v>
      </c>
      <c r="I1472">
        <v>487242152</v>
      </c>
      <c r="J1472">
        <v>355283699</v>
      </c>
      <c r="K1472">
        <v>425114004</v>
      </c>
      <c r="L1472">
        <v>0</v>
      </c>
      <c r="M1472">
        <v>0</v>
      </c>
      <c r="P1472">
        <v>218</v>
      </c>
      <c r="Q1472" t="s">
        <v>3229</v>
      </c>
    </row>
    <row r="1473" spans="1:17" x14ac:dyDescent="0.3">
      <c r="A1473" t="s">
        <v>73</v>
      </c>
      <c r="B1473" t="str">
        <f>"002443"</f>
        <v>002443</v>
      </c>
      <c r="C1473" t="s">
        <v>3230</v>
      </c>
      <c r="D1473" t="s">
        <v>928</v>
      </c>
      <c r="E1473">
        <v>756390961</v>
      </c>
      <c r="F1473">
        <v>631260144</v>
      </c>
      <c r="G1473">
        <v>497710020</v>
      </c>
      <c r="H1473">
        <v>582889590</v>
      </c>
      <c r="I1473">
        <v>416067775</v>
      </c>
      <c r="J1473">
        <v>393338028</v>
      </c>
      <c r="K1473">
        <v>327042205</v>
      </c>
      <c r="L1473">
        <v>350980797</v>
      </c>
      <c r="M1473">
        <v>350728953</v>
      </c>
      <c r="N1473">
        <v>334818049</v>
      </c>
      <c r="O1473">
        <v>229959670</v>
      </c>
      <c r="P1473">
        <v>257</v>
      </c>
      <c r="Q1473" t="s">
        <v>3231</v>
      </c>
    </row>
    <row r="1474" spans="1:17" x14ac:dyDescent="0.3">
      <c r="A1474" t="s">
        <v>73</v>
      </c>
      <c r="B1474" t="str">
        <f>"000153"</f>
        <v>000153</v>
      </c>
      <c r="C1474" t="s">
        <v>3232</v>
      </c>
      <c r="D1474" t="s">
        <v>348</v>
      </c>
      <c r="E1474">
        <v>756116506</v>
      </c>
      <c r="F1474">
        <v>712494734</v>
      </c>
      <c r="G1474">
        <v>686712644</v>
      </c>
      <c r="H1474">
        <v>688804638</v>
      </c>
      <c r="I1474">
        <v>657313392</v>
      </c>
      <c r="J1474">
        <v>644016899</v>
      </c>
      <c r="K1474">
        <v>457282443</v>
      </c>
      <c r="L1474">
        <v>435891462</v>
      </c>
      <c r="M1474">
        <v>349006497</v>
      </c>
      <c r="N1474">
        <v>288764671</v>
      </c>
      <c r="O1474">
        <v>279858824</v>
      </c>
      <c r="P1474">
        <v>118</v>
      </c>
      <c r="Q1474" t="s">
        <v>3233</v>
      </c>
    </row>
    <row r="1475" spans="1:17" x14ac:dyDescent="0.3">
      <c r="A1475" t="s">
        <v>17</v>
      </c>
      <c r="B1475" t="str">
        <f>"601218"</f>
        <v>601218</v>
      </c>
      <c r="C1475" t="s">
        <v>3234</v>
      </c>
      <c r="D1475" t="s">
        <v>778</v>
      </c>
      <c r="E1475">
        <v>755993471</v>
      </c>
      <c r="F1475">
        <v>645971110</v>
      </c>
      <c r="G1475">
        <v>590383301</v>
      </c>
      <c r="H1475">
        <v>0</v>
      </c>
      <c r="I1475">
        <v>805323507</v>
      </c>
      <c r="J1475">
        <v>671556845</v>
      </c>
      <c r="K1475">
        <v>826653913</v>
      </c>
      <c r="L1475">
        <v>862151936</v>
      </c>
      <c r="M1475">
        <v>854768689</v>
      </c>
      <c r="N1475">
        <v>988099735</v>
      </c>
      <c r="O1475">
        <v>995351676</v>
      </c>
      <c r="P1475">
        <v>146</v>
      </c>
      <c r="Q1475" t="s">
        <v>3235</v>
      </c>
    </row>
    <row r="1476" spans="1:17" x14ac:dyDescent="0.3">
      <c r="A1476" t="s">
        <v>73</v>
      </c>
      <c r="B1476" t="str">
        <f>"002405"</f>
        <v>002405</v>
      </c>
      <c r="C1476" t="s">
        <v>3236</v>
      </c>
      <c r="D1476" t="s">
        <v>795</v>
      </c>
      <c r="E1476">
        <v>755787556</v>
      </c>
      <c r="F1476">
        <v>709122169</v>
      </c>
      <c r="G1476">
        <v>605604971</v>
      </c>
      <c r="H1476">
        <v>441381238</v>
      </c>
      <c r="I1476">
        <v>360417510</v>
      </c>
      <c r="J1476">
        <v>460804400</v>
      </c>
      <c r="K1476">
        <v>350079763</v>
      </c>
      <c r="L1476">
        <v>277573192</v>
      </c>
      <c r="M1476">
        <v>242237850</v>
      </c>
      <c r="N1476">
        <v>180713024</v>
      </c>
      <c r="O1476">
        <v>113401874</v>
      </c>
      <c r="P1476">
        <v>3861</v>
      </c>
      <c r="Q1476" t="s">
        <v>3237</v>
      </c>
    </row>
    <row r="1477" spans="1:17" x14ac:dyDescent="0.3">
      <c r="A1477" t="s">
        <v>73</v>
      </c>
      <c r="B1477" t="str">
        <f>"300866"</f>
        <v>300866</v>
      </c>
      <c r="C1477" t="s">
        <v>3238</v>
      </c>
      <c r="D1477" t="s">
        <v>1937</v>
      </c>
      <c r="E1477">
        <v>752079107</v>
      </c>
      <c r="F1477">
        <v>716986574</v>
      </c>
      <c r="P1477">
        <v>311</v>
      </c>
      <c r="Q1477" t="s">
        <v>3239</v>
      </c>
    </row>
    <row r="1478" spans="1:17" x14ac:dyDescent="0.3">
      <c r="A1478" t="s">
        <v>73</v>
      </c>
      <c r="B1478" t="str">
        <f>"002741"</f>
        <v>002741</v>
      </c>
      <c r="C1478" t="s">
        <v>3240</v>
      </c>
      <c r="D1478" t="s">
        <v>2178</v>
      </c>
      <c r="E1478">
        <v>751691713</v>
      </c>
      <c r="F1478">
        <v>588154708</v>
      </c>
      <c r="G1478">
        <v>438912913</v>
      </c>
      <c r="H1478">
        <v>406551019</v>
      </c>
      <c r="I1478">
        <v>378352693</v>
      </c>
      <c r="J1478">
        <v>277781407</v>
      </c>
      <c r="K1478">
        <v>225223746</v>
      </c>
      <c r="L1478">
        <v>197417936</v>
      </c>
      <c r="M1478">
        <v>0</v>
      </c>
      <c r="P1478">
        <v>187</v>
      </c>
      <c r="Q1478" t="s">
        <v>3241</v>
      </c>
    </row>
    <row r="1479" spans="1:17" x14ac:dyDescent="0.3">
      <c r="A1479" t="s">
        <v>17</v>
      </c>
      <c r="B1479" t="str">
        <f>"600061"</f>
        <v>600061</v>
      </c>
      <c r="C1479" t="s">
        <v>3242</v>
      </c>
      <c r="D1479" t="s">
        <v>3243</v>
      </c>
      <c r="E1479">
        <v>751358205</v>
      </c>
      <c r="F1479">
        <v>466444813</v>
      </c>
      <c r="G1479">
        <v>543615211</v>
      </c>
      <c r="H1479">
        <v>451192318</v>
      </c>
      <c r="I1479">
        <v>410168871</v>
      </c>
      <c r="J1479">
        <v>299537576</v>
      </c>
      <c r="K1479">
        <v>353592249</v>
      </c>
      <c r="L1479">
        <v>751573865</v>
      </c>
      <c r="M1479">
        <v>109696440</v>
      </c>
      <c r="N1479">
        <v>127905702</v>
      </c>
      <c r="O1479">
        <v>98200676</v>
      </c>
      <c r="P1479">
        <v>1304</v>
      </c>
      <c r="Q1479" t="s">
        <v>3244</v>
      </c>
    </row>
    <row r="1480" spans="1:17" x14ac:dyDescent="0.3">
      <c r="A1480" t="s">
        <v>73</v>
      </c>
      <c r="B1480" t="str">
        <f>"300474"</f>
        <v>300474</v>
      </c>
      <c r="C1480" t="s">
        <v>3245</v>
      </c>
      <c r="D1480" t="s">
        <v>502</v>
      </c>
      <c r="E1480">
        <v>750863657</v>
      </c>
      <c r="F1480">
        <v>456251658</v>
      </c>
      <c r="G1480">
        <v>358651869</v>
      </c>
      <c r="H1480">
        <v>325405878</v>
      </c>
      <c r="I1480">
        <v>234897895</v>
      </c>
      <c r="J1480">
        <v>183635064</v>
      </c>
      <c r="K1480">
        <v>151719140</v>
      </c>
      <c r="L1480">
        <v>0</v>
      </c>
      <c r="P1480">
        <v>513</v>
      </c>
      <c r="Q1480" t="s">
        <v>3246</v>
      </c>
    </row>
    <row r="1481" spans="1:17" x14ac:dyDescent="0.3">
      <c r="A1481" t="s">
        <v>73</v>
      </c>
      <c r="B1481" t="str">
        <f>"002597"</f>
        <v>002597</v>
      </c>
      <c r="C1481" t="s">
        <v>3247</v>
      </c>
      <c r="D1481" t="s">
        <v>1430</v>
      </c>
      <c r="E1481">
        <v>748832356</v>
      </c>
      <c r="F1481">
        <v>438774125</v>
      </c>
      <c r="G1481">
        <v>341651863</v>
      </c>
      <c r="H1481">
        <v>337483992</v>
      </c>
      <c r="I1481">
        <v>237668089</v>
      </c>
      <c r="J1481">
        <v>217647774</v>
      </c>
      <c r="K1481">
        <v>243651520</v>
      </c>
      <c r="L1481">
        <v>186489782</v>
      </c>
      <c r="M1481">
        <v>156050492</v>
      </c>
      <c r="N1481">
        <v>140792847</v>
      </c>
      <c r="O1481">
        <v>124380762</v>
      </c>
      <c r="P1481">
        <v>1878</v>
      </c>
      <c r="Q1481" t="s">
        <v>3248</v>
      </c>
    </row>
    <row r="1482" spans="1:17" x14ac:dyDescent="0.3">
      <c r="A1482" t="s">
        <v>73</v>
      </c>
      <c r="B1482" t="str">
        <f>"000402"</f>
        <v>000402</v>
      </c>
      <c r="C1482" t="s">
        <v>3249</v>
      </c>
      <c r="D1482" t="s">
        <v>697</v>
      </c>
      <c r="E1482">
        <v>746771423</v>
      </c>
      <c r="F1482">
        <v>515685889</v>
      </c>
      <c r="G1482">
        <v>2435248322</v>
      </c>
      <c r="H1482">
        <v>294098997</v>
      </c>
      <c r="I1482">
        <v>299919027</v>
      </c>
      <c r="J1482">
        <v>1096931407</v>
      </c>
      <c r="K1482">
        <v>891949154</v>
      </c>
      <c r="L1482">
        <v>898137824</v>
      </c>
      <c r="M1482">
        <v>379181117</v>
      </c>
      <c r="N1482">
        <v>225322800</v>
      </c>
      <c r="O1482">
        <v>286979641</v>
      </c>
      <c r="P1482">
        <v>974</v>
      </c>
      <c r="Q1482" t="s">
        <v>3250</v>
      </c>
    </row>
    <row r="1483" spans="1:17" x14ac:dyDescent="0.3">
      <c r="A1483" t="s">
        <v>73</v>
      </c>
      <c r="B1483" t="str">
        <f>"300857"</f>
        <v>300857</v>
      </c>
      <c r="C1483" t="s">
        <v>3251</v>
      </c>
      <c r="D1483" t="s">
        <v>42</v>
      </c>
      <c r="E1483">
        <v>746018069</v>
      </c>
      <c r="F1483">
        <v>638027266</v>
      </c>
      <c r="G1483">
        <v>397052491</v>
      </c>
      <c r="P1483">
        <v>59</v>
      </c>
      <c r="Q1483" t="s">
        <v>3252</v>
      </c>
    </row>
    <row r="1484" spans="1:17" x14ac:dyDescent="0.3">
      <c r="A1484" t="s">
        <v>73</v>
      </c>
      <c r="B1484" t="str">
        <f>"002664"</f>
        <v>002664</v>
      </c>
      <c r="C1484" t="s">
        <v>3253</v>
      </c>
      <c r="D1484" t="s">
        <v>442</v>
      </c>
      <c r="E1484">
        <v>745740046</v>
      </c>
      <c r="F1484">
        <v>647828877</v>
      </c>
      <c r="G1484">
        <v>408929203</v>
      </c>
      <c r="H1484">
        <v>600810399</v>
      </c>
      <c r="I1484">
        <v>609878766</v>
      </c>
      <c r="J1484">
        <v>440129004</v>
      </c>
      <c r="K1484">
        <v>420007669</v>
      </c>
      <c r="L1484">
        <v>329243945</v>
      </c>
      <c r="M1484">
        <v>299693210</v>
      </c>
      <c r="N1484">
        <v>257712175</v>
      </c>
      <c r="O1484">
        <v>226207028</v>
      </c>
      <c r="P1484">
        <v>232</v>
      </c>
      <c r="Q1484" t="s">
        <v>3254</v>
      </c>
    </row>
    <row r="1485" spans="1:17" x14ac:dyDescent="0.3">
      <c r="A1485" t="s">
        <v>73</v>
      </c>
      <c r="B1485" t="str">
        <f>"002887"</f>
        <v>002887</v>
      </c>
      <c r="C1485" t="s">
        <v>3255</v>
      </c>
      <c r="D1485" t="s">
        <v>472</v>
      </c>
      <c r="E1485">
        <v>744153862</v>
      </c>
      <c r="F1485">
        <v>584285838</v>
      </c>
      <c r="G1485">
        <v>623387508</v>
      </c>
      <c r="H1485">
        <v>611285352</v>
      </c>
      <c r="I1485">
        <v>721642586</v>
      </c>
      <c r="J1485">
        <v>505758382</v>
      </c>
      <c r="P1485">
        <v>167</v>
      </c>
      <c r="Q1485" t="s">
        <v>3256</v>
      </c>
    </row>
    <row r="1486" spans="1:17" x14ac:dyDescent="0.3">
      <c r="A1486" t="s">
        <v>17</v>
      </c>
      <c r="B1486" t="str">
        <f>"603667"</f>
        <v>603667</v>
      </c>
      <c r="C1486" t="s">
        <v>3257</v>
      </c>
      <c r="D1486" t="s">
        <v>146</v>
      </c>
      <c r="E1486">
        <v>743764508</v>
      </c>
      <c r="F1486">
        <v>532424212</v>
      </c>
      <c r="G1486">
        <v>394140367</v>
      </c>
      <c r="H1486">
        <v>423707786</v>
      </c>
      <c r="I1486">
        <v>300315205</v>
      </c>
      <c r="J1486">
        <v>275956641</v>
      </c>
      <c r="P1486">
        <v>115</v>
      </c>
      <c r="Q1486" t="s">
        <v>3258</v>
      </c>
    </row>
    <row r="1487" spans="1:17" x14ac:dyDescent="0.3">
      <c r="A1487" t="s">
        <v>17</v>
      </c>
      <c r="B1487" t="str">
        <f>"601163"</f>
        <v>601163</v>
      </c>
      <c r="C1487" t="s">
        <v>3259</v>
      </c>
      <c r="D1487" t="s">
        <v>781</v>
      </c>
      <c r="E1487">
        <v>743620229</v>
      </c>
      <c r="F1487">
        <v>735896887</v>
      </c>
      <c r="G1487">
        <v>597179050</v>
      </c>
      <c r="H1487">
        <v>958590859</v>
      </c>
      <c r="I1487">
        <v>991525087</v>
      </c>
      <c r="J1487">
        <v>734838140</v>
      </c>
      <c r="K1487">
        <v>600874739</v>
      </c>
      <c r="P1487">
        <v>224</v>
      </c>
      <c r="Q1487" t="s">
        <v>3260</v>
      </c>
    </row>
    <row r="1488" spans="1:17" x14ac:dyDescent="0.3">
      <c r="A1488" t="s">
        <v>17</v>
      </c>
      <c r="B1488" t="str">
        <f>"600789"</f>
        <v>600789</v>
      </c>
      <c r="C1488" t="s">
        <v>3261</v>
      </c>
      <c r="D1488" t="s">
        <v>348</v>
      </c>
      <c r="E1488">
        <v>742427784</v>
      </c>
      <c r="F1488">
        <v>550925357</v>
      </c>
      <c r="G1488">
        <v>571288279</v>
      </c>
      <c r="H1488">
        <v>611007654</v>
      </c>
      <c r="I1488">
        <v>581683802</v>
      </c>
      <c r="J1488">
        <v>469493641</v>
      </c>
      <c r="K1488">
        <v>479143556</v>
      </c>
      <c r="L1488">
        <v>462996186</v>
      </c>
      <c r="M1488">
        <v>459936653</v>
      </c>
      <c r="N1488">
        <v>490829064</v>
      </c>
      <c r="O1488">
        <v>406772283</v>
      </c>
      <c r="P1488">
        <v>245</v>
      </c>
      <c r="Q1488" t="s">
        <v>3262</v>
      </c>
    </row>
    <row r="1489" spans="1:17" x14ac:dyDescent="0.3">
      <c r="A1489" t="s">
        <v>17</v>
      </c>
      <c r="B1489" t="str">
        <f>"603087"</f>
        <v>603087</v>
      </c>
      <c r="C1489" t="s">
        <v>3263</v>
      </c>
      <c r="D1489" t="s">
        <v>1505</v>
      </c>
      <c r="E1489">
        <v>742425962</v>
      </c>
      <c r="F1489">
        <v>557982724</v>
      </c>
      <c r="G1489">
        <v>521392303</v>
      </c>
      <c r="P1489">
        <v>677</v>
      </c>
      <c r="Q1489" t="s">
        <v>3264</v>
      </c>
    </row>
    <row r="1490" spans="1:17" x14ac:dyDescent="0.3">
      <c r="A1490" t="s">
        <v>73</v>
      </c>
      <c r="B1490" t="str">
        <f>"002388"</f>
        <v>002388</v>
      </c>
      <c r="C1490" t="s">
        <v>3265</v>
      </c>
      <c r="D1490" t="s">
        <v>651</v>
      </c>
      <c r="E1490">
        <v>742358705</v>
      </c>
      <c r="F1490">
        <v>950892729</v>
      </c>
      <c r="G1490">
        <v>809131440</v>
      </c>
      <c r="H1490">
        <v>504427211</v>
      </c>
      <c r="I1490">
        <v>132829673</v>
      </c>
      <c r="J1490">
        <v>128404511</v>
      </c>
      <c r="K1490">
        <v>116234821</v>
      </c>
      <c r="L1490">
        <v>96474816</v>
      </c>
      <c r="M1490">
        <v>137152682</v>
      </c>
      <c r="N1490">
        <v>96602249</v>
      </c>
      <c r="O1490">
        <v>144362345</v>
      </c>
      <c r="P1490">
        <v>148</v>
      </c>
      <c r="Q1490" t="s">
        <v>3266</v>
      </c>
    </row>
    <row r="1491" spans="1:17" x14ac:dyDescent="0.3">
      <c r="A1491" t="s">
        <v>73</v>
      </c>
      <c r="B1491" t="str">
        <f>"300150"</f>
        <v>300150</v>
      </c>
      <c r="C1491" t="s">
        <v>3267</v>
      </c>
      <c r="D1491" t="s">
        <v>302</v>
      </c>
      <c r="E1491">
        <v>742288485</v>
      </c>
      <c r="F1491">
        <v>604889723</v>
      </c>
      <c r="G1491">
        <v>660408253</v>
      </c>
      <c r="H1491">
        <v>682528272</v>
      </c>
      <c r="I1491">
        <v>581704835</v>
      </c>
      <c r="J1491">
        <v>376496469</v>
      </c>
      <c r="K1491">
        <v>316656494</v>
      </c>
      <c r="L1491">
        <v>309230165</v>
      </c>
      <c r="M1491">
        <v>241492449</v>
      </c>
      <c r="N1491">
        <v>235337723</v>
      </c>
      <c r="O1491">
        <v>200566518</v>
      </c>
      <c r="P1491">
        <v>121</v>
      </c>
      <c r="Q1491" t="s">
        <v>3268</v>
      </c>
    </row>
    <row r="1492" spans="1:17" x14ac:dyDescent="0.3">
      <c r="A1492" t="s">
        <v>73</v>
      </c>
      <c r="B1492" t="str">
        <f>"300385"</f>
        <v>300385</v>
      </c>
      <c r="C1492" t="s">
        <v>3269</v>
      </c>
      <c r="D1492" t="s">
        <v>629</v>
      </c>
      <c r="E1492">
        <v>739669009</v>
      </c>
      <c r="F1492">
        <v>761056065</v>
      </c>
      <c r="G1492">
        <v>646282880</v>
      </c>
      <c r="H1492">
        <v>487896039</v>
      </c>
      <c r="I1492">
        <v>448197951</v>
      </c>
      <c r="J1492">
        <v>460310128</v>
      </c>
      <c r="K1492">
        <v>360328024</v>
      </c>
      <c r="L1492">
        <v>238990280</v>
      </c>
      <c r="M1492">
        <v>0</v>
      </c>
      <c r="P1492">
        <v>92</v>
      </c>
      <c r="Q1492" t="s">
        <v>3270</v>
      </c>
    </row>
    <row r="1493" spans="1:17" x14ac:dyDescent="0.3">
      <c r="A1493" t="s">
        <v>73</v>
      </c>
      <c r="B1493" t="str">
        <f>"300427"</f>
        <v>300427</v>
      </c>
      <c r="C1493" t="s">
        <v>3271</v>
      </c>
      <c r="D1493" t="s">
        <v>161</v>
      </c>
      <c r="E1493">
        <v>738822459</v>
      </c>
      <c r="F1493">
        <v>932045513</v>
      </c>
      <c r="G1493">
        <v>946531723</v>
      </c>
      <c r="H1493">
        <v>1005184963</v>
      </c>
      <c r="I1493">
        <v>734389561</v>
      </c>
      <c r="J1493">
        <v>209893621</v>
      </c>
      <c r="K1493">
        <v>227715610</v>
      </c>
      <c r="L1493">
        <v>195360519</v>
      </c>
      <c r="M1493">
        <v>0</v>
      </c>
      <c r="P1493">
        <v>249</v>
      </c>
      <c r="Q1493" t="s">
        <v>3272</v>
      </c>
    </row>
    <row r="1494" spans="1:17" x14ac:dyDescent="0.3">
      <c r="A1494" t="s">
        <v>73</v>
      </c>
      <c r="B1494" t="str">
        <f>"300566"</f>
        <v>300566</v>
      </c>
      <c r="C1494" t="s">
        <v>3273</v>
      </c>
      <c r="D1494" t="s">
        <v>477</v>
      </c>
      <c r="E1494">
        <v>738733947</v>
      </c>
      <c r="F1494">
        <v>544877740</v>
      </c>
      <c r="G1494">
        <v>488617498</v>
      </c>
      <c r="H1494">
        <v>421331585</v>
      </c>
      <c r="I1494">
        <v>371817120</v>
      </c>
      <c r="J1494">
        <v>297151260</v>
      </c>
      <c r="K1494">
        <v>0</v>
      </c>
      <c r="P1494">
        <v>197</v>
      </c>
      <c r="Q1494" t="s">
        <v>3274</v>
      </c>
    </row>
    <row r="1495" spans="1:17" x14ac:dyDescent="0.3">
      <c r="A1495" t="s">
        <v>73</v>
      </c>
      <c r="B1495" t="str">
        <f>"002570"</f>
        <v>002570</v>
      </c>
      <c r="C1495" t="s">
        <v>3275</v>
      </c>
      <c r="D1495" t="s">
        <v>1027</v>
      </c>
      <c r="E1495">
        <v>738009159</v>
      </c>
      <c r="F1495">
        <v>681076583</v>
      </c>
      <c r="G1495">
        <v>858926145</v>
      </c>
      <c r="H1495">
        <v>773767021</v>
      </c>
      <c r="I1495">
        <v>837734407</v>
      </c>
      <c r="J1495">
        <v>1236159072</v>
      </c>
      <c r="K1495">
        <v>1334041982</v>
      </c>
      <c r="L1495">
        <v>359485776</v>
      </c>
      <c r="M1495">
        <v>249998822</v>
      </c>
      <c r="N1495">
        <v>270554525</v>
      </c>
      <c r="O1495">
        <v>269840779</v>
      </c>
      <c r="P1495">
        <v>261</v>
      </c>
      <c r="Q1495" t="s">
        <v>3276</v>
      </c>
    </row>
    <row r="1496" spans="1:17" x14ac:dyDescent="0.3">
      <c r="A1496" t="s">
        <v>17</v>
      </c>
      <c r="B1496" t="str">
        <f>"600405"</f>
        <v>600405</v>
      </c>
      <c r="C1496" t="s">
        <v>3277</v>
      </c>
      <c r="D1496" t="s">
        <v>747</v>
      </c>
      <c r="E1496">
        <v>737346468</v>
      </c>
      <c r="F1496">
        <v>792347358</v>
      </c>
      <c r="G1496">
        <v>785086264</v>
      </c>
      <c r="H1496">
        <v>696839749</v>
      </c>
      <c r="I1496">
        <v>715803780</v>
      </c>
      <c r="J1496">
        <v>906563165</v>
      </c>
      <c r="K1496">
        <v>851861222</v>
      </c>
      <c r="L1496">
        <v>636696962</v>
      </c>
      <c r="M1496">
        <v>651788773</v>
      </c>
      <c r="N1496">
        <v>560680538</v>
      </c>
      <c r="O1496">
        <v>472807202</v>
      </c>
      <c r="P1496">
        <v>255</v>
      </c>
      <c r="Q1496" t="s">
        <v>3278</v>
      </c>
    </row>
    <row r="1497" spans="1:17" x14ac:dyDescent="0.3">
      <c r="A1497" t="s">
        <v>73</v>
      </c>
      <c r="B1497" t="str">
        <f>"002593"</f>
        <v>002593</v>
      </c>
      <c r="C1497" t="s">
        <v>3279</v>
      </c>
      <c r="D1497" t="s">
        <v>711</v>
      </c>
      <c r="E1497">
        <v>736953776</v>
      </c>
      <c r="F1497">
        <v>660720512</v>
      </c>
      <c r="G1497">
        <v>535347081</v>
      </c>
      <c r="H1497">
        <v>541562977</v>
      </c>
      <c r="I1497">
        <v>427939758</v>
      </c>
      <c r="J1497">
        <v>377396320</v>
      </c>
      <c r="K1497">
        <v>348219052</v>
      </c>
      <c r="L1497">
        <v>348975048</v>
      </c>
      <c r="M1497">
        <v>314860524</v>
      </c>
      <c r="N1497">
        <v>258318584</v>
      </c>
      <c r="O1497">
        <v>235852442</v>
      </c>
      <c r="P1497">
        <v>88</v>
      </c>
      <c r="Q1497" t="s">
        <v>3280</v>
      </c>
    </row>
    <row r="1498" spans="1:17" x14ac:dyDescent="0.3">
      <c r="A1498" t="s">
        <v>73</v>
      </c>
      <c r="B1498" t="str">
        <f>"002990"</f>
        <v>002990</v>
      </c>
      <c r="C1498" t="s">
        <v>3281</v>
      </c>
      <c r="D1498" t="s">
        <v>158</v>
      </c>
      <c r="E1498">
        <v>736752980</v>
      </c>
      <c r="F1498">
        <v>493358624</v>
      </c>
      <c r="G1498">
        <v>376248342</v>
      </c>
      <c r="P1498">
        <v>109</v>
      </c>
      <c r="Q1498" t="s">
        <v>3282</v>
      </c>
    </row>
    <row r="1499" spans="1:17" x14ac:dyDescent="0.3">
      <c r="A1499" t="s">
        <v>73</v>
      </c>
      <c r="B1499" t="str">
        <f>"300870"</f>
        <v>300870</v>
      </c>
      <c r="C1499" t="s">
        <v>3283</v>
      </c>
      <c r="D1499" t="s">
        <v>747</v>
      </c>
      <c r="E1499">
        <v>736595178</v>
      </c>
      <c r="F1499">
        <v>608758038</v>
      </c>
      <c r="G1499">
        <v>0</v>
      </c>
      <c r="P1499">
        <v>131</v>
      </c>
      <c r="Q1499" t="s">
        <v>3284</v>
      </c>
    </row>
    <row r="1500" spans="1:17" x14ac:dyDescent="0.3">
      <c r="A1500" t="s">
        <v>73</v>
      </c>
      <c r="B1500" t="str">
        <f>"002747"</f>
        <v>002747</v>
      </c>
      <c r="C1500" t="s">
        <v>3285</v>
      </c>
      <c r="D1500" t="s">
        <v>2121</v>
      </c>
      <c r="E1500">
        <v>735659238</v>
      </c>
      <c r="F1500">
        <v>721242634</v>
      </c>
      <c r="G1500">
        <v>623392588</v>
      </c>
      <c r="H1500">
        <v>614812048</v>
      </c>
      <c r="I1500">
        <v>515203846</v>
      </c>
      <c r="J1500">
        <v>313619802</v>
      </c>
      <c r="K1500">
        <v>193355953</v>
      </c>
      <c r="L1500">
        <v>155318853</v>
      </c>
      <c r="M1500">
        <v>0</v>
      </c>
      <c r="P1500">
        <v>474</v>
      </c>
      <c r="Q1500" t="s">
        <v>3286</v>
      </c>
    </row>
    <row r="1501" spans="1:17" x14ac:dyDescent="0.3">
      <c r="A1501" t="s">
        <v>73</v>
      </c>
      <c r="B1501" t="str">
        <f>"300853"</f>
        <v>300853</v>
      </c>
      <c r="C1501" t="s">
        <v>3287</v>
      </c>
      <c r="D1501" t="s">
        <v>2121</v>
      </c>
      <c r="E1501">
        <v>735654231</v>
      </c>
      <c r="F1501">
        <v>426091582</v>
      </c>
      <c r="G1501">
        <v>190751845</v>
      </c>
      <c r="H1501">
        <v>0</v>
      </c>
      <c r="P1501">
        <v>142</v>
      </c>
      <c r="Q1501" t="s">
        <v>3288</v>
      </c>
    </row>
    <row r="1502" spans="1:17" x14ac:dyDescent="0.3">
      <c r="A1502" t="s">
        <v>73</v>
      </c>
      <c r="B1502" t="str">
        <f>"301018"</f>
        <v>301018</v>
      </c>
      <c r="C1502" t="s">
        <v>3289</v>
      </c>
      <c r="D1502" t="s">
        <v>2227</v>
      </c>
      <c r="E1502">
        <v>735395620</v>
      </c>
      <c r="F1502">
        <v>607720568</v>
      </c>
      <c r="P1502">
        <v>37</v>
      </c>
      <c r="Q1502" t="s">
        <v>3290</v>
      </c>
    </row>
    <row r="1503" spans="1:17" x14ac:dyDescent="0.3">
      <c r="A1503" t="s">
        <v>73</v>
      </c>
      <c r="B1503" t="str">
        <f>"002666"</f>
        <v>002666</v>
      </c>
      <c r="C1503" t="s">
        <v>3291</v>
      </c>
      <c r="D1503" t="s">
        <v>588</v>
      </c>
      <c r="E1503">
        <v>734526959</v>
      </c>
      <c r="F1503">
        <v>871141899</v>
      </c>
      <c r="G1503">
        <v>508594473</v>
      </c>
      <c r="H1503">
        <v>595292431</v>
      </c>
      <c r="I1503">
        <v>506070620</v>
      </c>
      <c r="J1503">
        <v>355687069</v>
      </c>
      <c r="K1503">
        <v>230470039</v>
      </c>
      <c r="L1503">
        <v>198784229</v>
      </c>
      <c r="M1503">
        <v>187737786</v>
      </c>
      <c r="N1503">
        <v>180001952</v>
      </c>
      <c r="O1503">
        <v>165801848</v>
      </c>
      <c r="P1503">
        <v>110</v>
      </c>
      <c r="Q1503" t="s">
        <v>3292</v>
      </c>
    </row>
    <row r="1504" spans="1:17" x14ac:dyDescent="0.3">
      <c r="A1504" t="s">
        <v>73</v>
      </c>
      <c r="B1504" t="str">
        <f>"300168"</f>
        <v>300168</v>
      </c>
      <c r="C1504" t="s">
        <v>3293</v>
      </c>
      <c r="D1504" t="s">
        <v>302</v>
      </c>
      <c r="E1504">
        <v>733113946</v>
      </c>
      <c r="F1504">
        <v>699885385</v>
      </c>
      <c r="G1504">
        <v>825004933</v>
      </c>
      <c r="H1504">
        <v>1702365636</v>
      </c>
      <c r="I1504">
        <v>1362159133</v>
      </c>
      <c r="J1504">
        <v>919284179</v>
      </c>
      <c r="K1504">
        <v>931097512</v>
      </c>
      <c r="L1504">
        <v>720212005</v>
      </c>
      <c r="M1504">
        <v>503035818</v>
      </c>
      <c r="N1504">
        <v>281196522</v>
      </c>
      <c r="O1504">
        <v>200491748</v>
      </c>
      <c r="P1504">
        <v>368</v>
      </c>
      <c r="Q1504" t="s">
        <v>3294</v>
      </c>
    </row>
    <row r="1505" spans="1:17" x14ac:dyDescent="0.3">
      <c r="A1505" t="s">
        <v>17</v>
      </c>
      <c r="B1505" t="str">
        <f>"600516"</f>
        <v>600516</v>
      </c>
      <c r="C1505" t="s">
        <v>3295</v>
      </c>
      <c r="D1505" t="s">
        <v>1970</v>
      </c>
      <c r="E1505">
        <v>732675479</v>
      </c>
      <c r="F1505">
        <v>610533614</v>
      </c>
      <c r="G1505">
        <v>512816770</v>
      </c>
      <c r="H1505">
        <v>619872097</v>
      </c>
      <c r="I1505">
        <v>1392378053</v>
      </c>
      <c r="J1505">
        <v>1003490122</v>
      </c>
      <c r="K1505">
        <v>1134876983</v>
      </c>
      <c r="L1505">
        <v>1013867888</v>
      </c>
      <c r="M1505">
        <v>951167927</v>
      </c>
      <c r="N1505">
        <v>947479882</v>
      </c>
      <c r="O1505">
        <v>722108005</v>
      </c>
      <c r="P1505">
        <v>1177</v>
      </c>
      <c r="Q1505" t="s">
        <v>3296</v>
      </c>
    </row>
    <row r="1506" spans="1:17" x14ac:dyDescent="0.3">
      <c r="A1506" t="s">
        <v>73</v>
      </c>
      <c r="B1506" t="str">
        <f>"002662"</f>
        <v>002662</v>
      </c>
      <c r="C1506" t="s">
        <v>3297</v>
      </c>
      <c r="D1506" t="s">
        <v>106</v>
      </c>
      <c r="E1506">
        <v>731685209</v>
      </c>
      <c r="F1506">
        <v>644528706</v>
      </c>
      <c r="G1506">
        <v>464746270</v>
      </c>
      <c r="H1506">
        <v>769680028</v>
      </c>
      <c r="I1506">
        <v>899184636</v>
      </c>
      <c r="J1506">
        <v>956443435</v>
      </c>
      <c r="K1506">
        <v>731408703</v>
      </c>
      <c r="L1506">
        <v>508364425</v>
      </c>
      <c r="M1506">
        <v>250062286</v>
      </c>
      <c r="N1506">
        <v>240786889</v>
      </c>
      <c r="O1506">
        <v>210756274</v>
      </c>
      <c r="P1506">
        <v>140</v>
      </c>
      <c r="Q1506" t="s">
        <v>3298</v>
      </c>
    </row>
    <row r="1507" spans="1:17" x14ac:dyDescent="0.3">
      <c r="A1507" t="s">
        <v>17</v>
      </c>
      <c r="B1507" t="str">
        <f>"603042"</f>
        <v>603042</v>
      </c>
      <c r="C1507" t="s">
        <v>3299</v>
      </c>
      <c r="D1507" t="s">
        <v>208</v>
      </c>
      <c r="E1507">
        <v>730980023</v>
      </c>
      <c r="F1507">
        <v>552789434</v>
      </c>
      <c r="G1507">
        <v>836665875</v>
      </c>
      <c r="H1507">
        <v>831092172</v>
      </c>
      <c r="I1507">
        <v>857220946</v>
      </c>
      <c r="J1507">
        <v>0</v>
      </c>
      <c r="P1507">
        <v>122</v>
      </c>
      <c r="Q1507" t="s">
        <v>3300</v>
      </c>
    </row>
    <row r="1508" spans="1:17" x14ac:dyDescent="0.3">
      <c r="A1508" t="s">
        <v>73</v>
      </c>
      <c r="B1508" t="str">
        <f>"300628"</f>
        <v>300628</v>
      </c>
      <c r="C1508" t="s">
        <v>3301</v>
      </c>
      <c r="D1508" t="s">
        <v>332</v>
      </c>
      <c r="E1508">
        <v>730144616</v>
      </c>
      <c r="F1508">
        <v>519431938</v>
      </c>
      <c r="G1508">
        <v>401021544</v>
      </c>
      <c r="H1508">
        <v>333665721</v>
      </c>
      <c r="I1508">
        <v>221242636</v>
      </c>
      <c r="J1508">
        <v>188487233</v>
      </c>
      <c r="K1508">
        <v>0</v>
      </c>
      <c r="P1508">
        <v>2264</v>
      </c>
      <c r="Q1508" t="s">
        <v>3302</v>
      </c>
    </row>
    <row r="1509" spans="1:17" x14ac:dyDescent="0.3">
      <c r="A1509" t="s">
        <v>73</v>
      </c>
      <c r="B1509" t="str">
        <f>"300806"</f>
        <v>300806</v>
      </c>
      <c r="C1509" t="s">
        <v>3303</v>
      </c>
      <c r="D1509" t="s">
        <v>2271</v>
      </c>
      <c r="E1509">
        <v>729964610</v>
      </c>
      <c r="F1509">
        <v>576281170</v>
      </c>
      <c r="G1509">
        <v>558721471</v>
      </c>
      <c r="H1509">
        <v>0</v>
      </c>
      <c r="P1509">
        <v>168</v>
      </c>
      <c r="Q1509" t="s">
        <v>3304</v>
      </c>
    </row>
    <row r="1510" spans="1:17" x14ac:dyDescent="0.3">
      <c r="A1510" t="s">
        <v>73</v>
      </c>
      <c r="B1510" t="str">
        <f>"002609"</f>
        <v>002609</v>
      </c>
      <c r="C1510" t="s">
        <v>3305</v>
      </c>
      <c r="D1510" t="s">
        <v>302</v>
      </c>
      <c r="E1510">
        <v>729791473</v>
      </c>
      <c r="F1510">
        <v>598927976</v>
      </c>
      <c r="G1510">
        <v>568975607</v>
      </c>
      <c r="H1510">
        <v>0</v>
      </c>
      <c r="I1510">
        <v>273583538</v>
      </c>
      <c r="J1510">
        <v>165341934</v>
      </c>
      <c r="K1510">
        <v>107392109</v>
      </c>
      <c r="L1510">
        <v>70493891</v>
      </c>
      <c r="M1510">
        <v>71561829</v>
      </c>
      <c r="N1510">
        <v>61815938</v>
      </c>
      <c r="O1510">
        <v>66861206</v>
      </c>
      <c r="P1510">
        <v>212</v>
      </c>
      <c r="Q1510" t="s">
        <v>3306</v>
      </c>
    </row>
    <row r="1511" spans="1:17" x14ac:dyDescent="0.3">
      <c r="A1511" t="s">
        <v>17</v>
      </c>
      <c r="B1511" t="str">
        <f>"688658"</f>
        <v>688658</v>
      </c>
      <c r="C1511" t="s">
        <v>3307</v>
      </c>
      <c r="D1511" t="s">
        <v>348</v>
      </c>
      <c r="E1511">
        <v>729164857</v>
      </c>
      <c r="F1511">
        <v>421044656</v>
      </c>
      <c r="G1511">
        <v>0</v>
      </c>
      <c r="P1511">
        <v>75</v>
      </c>
      <c r="Q1511" t="s">
        <v>3308</v>
      </c>
    </row>
    <row r="1512" spans="1:17" x14ac:dyDescent="0.3">
      <c r="A1512" t="s">
        <v>17</v>
      </c>
      <c r="B1512" t="str">
        <f>"601965"</f>
        <v>601965</v>
      </c>
      <c r="C1512" t="s">
        <v>3309</v>
      </c>
      <c r="D1512" t="s">
        <v>3310</v>
      </c>
      <c r="E1512">
        <v>728873040</v>
      </c>
      <c r="F1512">
        <v>580758327</v>
      </c>
      <c r="G1512">
        <v>467000428</v>
      </c>
      <c r="H1512">
        <v>366009927</v>
      </c>
      <c r="I1512">
        <v>280027169</v>
      </c>
      <c r="J1512">
        <v>307066978</v>
      </c>
      <c r="K1512">
        <v>226600679</v>
      </c>
      <c r="L1512">
        <v>341665934</v>
      </c>
      <c r="M1512">
        <v>144132338</v>
      </c>
      <c r="N1512">
        <v>202230443</v>
      </c>
      <c r="O1512">
        <v>0</v>
      </c>
      <c r="P1512">
        <v>307</v>
      </c>
      <c r="Q1512" t="s">
        <v>3311</v>
      </c>
    </row>
    <row r="1513" spans="1:17" x14ac:dyDescent="0.3">
      <c r="A1513" t="s">
        <v>73</v>
      </c>
      <c r="B1513" t="str">
        <f>"002639"</f>
        <v>002639</v>
      </c>
      <c r="C1513" t="s">
        <v>3312</v>
      </c>
      <c r="D1513" t="s">
        <v>2227</v>
      </c>
      <c r="E1513">
        <v>728504885</v>
      </c>
      <c r="F1513">
        <v>601100116</v>
      </c>
      <c r="G1513">
        <v>628315380</v>
      </c>
      <c r="H1513">
        <v>586907189</v>
      </c>
      <c r="I1513">
        <v>430004626</v>
      </c>
      <c r="J1513">
        <v>462498095</v>
      </c>
      <c r="K1513">
        <v>180573325</v>
      </c>
      <c r="L1513">
        <v>210364357</v>
      </c>
      <c r="M1513">
        <v>126411574</v>
      </c>
      <c r="N1513">
        <v>109349510</v>
      </c>
      <c r="O1513">
        <v>65333656</v>
      </c>
      <c r="P1513">
        <v>228</v>
      </c>
      <c r="Q1513" t="s">
        <v>3313</v>
      </c>
    </row>
    <row r="1514" spans="1:17" x14ac:dyDescent="0.3">
      <c r="A1514" t="s">
        <v>73</v>
      </c>
      <c r="B1514" t="str">
        <f>"002580"</f>
        <v>002580</v>
      </c>
      <c r="C1514" t="s">
        <v>3314</v>
      </c>
      <c r="D1514" t="s">
        <v>1711</v>
      </c>
      <c r="E1514">
        <v>728306464</v>
      </c>
      <c r="F1514">
        <v>594760353</v>
      </c>
      <c r="G1514">
        <v>632279514</v>
      </c>
      <c r="H1514">
        <v>876163158</v>
      </c>
      <c r="I1514">
        <v>732837180</v>
      </c>
      <c r="J1514">
        <v>634244568</v>
      </c>
      <c r="K1514">
        <v>751126625</v>
      </c>
      <c r="L1514">
        <v>618328947</v>
      </c>
      <c r="M1514">
        <v>448374029</v>
      </c>
      <c r="N1514">
        <v>394764043</v>
      </c>
      <c r="O1514">
        <v>318377174</v>
      </c>
      <c r="P1514">
        <v>114</v>
      </c>
      <c r="Q1514" t="s">
        <v>3315</v>
      </c>
    </row>
    <row r="1515" spans="1:17" x14ac:dyDescent="0.3">
      <c r="A1515" t="s">
        <v>73</v>
      </c>
      <c r="B1515" t="str">
        <f>"002856"</f>
        <v>002856</v>
      </c>
      <c r="C1515" t="s">
        <v>3316</v>
      </c>
      <c r="D1515" t="s">
        <v>258</v>
      </c>
      <c r="E1515">
        <v>727164498</v>
      </c>
      <c r="F1515">
        <v>906804739</v>
      </c>
      <c r="G1515">
        <v>794080682</v>
      </c>
      <c r="H1515">
        <v>707959675</v>
      </c>
      <c r="I1515">
        <v>594223270</v>
      </c>
      <c r="J1515">
        <v>557713392</v>
      </c>
      <c r="P1515">
        <v>51</v>
      </c>
      <c r="Q1515" t="s">
        <v>3317</v>
      </c>
    </row>
    <row r="1516" spans="1:17" x14ac:dyDescent="0.3">
      <c r="A1516" t="s">
        <v>73</v>
      </c>
      <c r="B1516" t="str">
        <f>"002090"</f>
        <v>002090</v>
      </c>
      <c r="C1516" t="s">
        <v>3318</v>
      </c>
      <c r="D1516" t="s">
        <v>161</v>
      </c>
      <c r="E1516">
        <v>726629471</v>
      </c>
      <c r="F1516">
        <v>721026757</v>
      </c>
      <c r="G1516">
        <v>866629933</v>
      </c>
      <c r="H1516">
        <v>1410351388</v>
      </c>
      <c r="I1516">
        <v>1324262629</v>
      </c>
      <c r="J1516">
        <v>948339831</v>
      </c>
      <c r="K1516">
        <v>683433965</v>
      </c>
      <c r="L1516">
        <v>489952043</v>
      </c>
      <c r="M1516">
        <v>432989459</v>
      </c>
      <c r="N1516">
        <v>326020942</v>
      </c>
      <c r="O1516">
        <v>281534718</v>
      </c>
      <c r="P1516">
        <v>229</v>
      </c>
      <c r="Q1516" t="s">
        <v>3319</v>
      </c>
    </row>
    <row r="1517" spans="1:17" x14ac:dyDescent="0.3">
      <c r="A1517" t="s">
        <v>73</v>
      </c>
      <c r="B1517" t="str">
        <f>"002698"</f>
        <v>002698</v>
      </c>
      <c r="C1517" t="s">
        <v>3320</v>
      </c>
      <c r="D1517" t="s">
        <v>2121</v>
      </c>
      <c r="E1517">
        <v>726259799</v>
      </c>
      <c r="F1517">
        <v>723186570</v>
      </c>
      <c r="G1517">
        <v>668147432</v>
      </c>
      <c r="H1517">
        <v>443333049</v>
      </c>
      <c r="I1517">
        <v>465119294</v>
      </c>
      <c r="J1517">
        <v>456128747</v>
      </c>
      <c r="K1517">
        <v>437975425</v>
      </c>
      <c r="L1517">
        <v>354675058</v>
      </c>
      <c r="M1517">
        <v>346874635</v>
      </c>
      <c r="N1517">
        <v>328491031</v>
      </c>
      <c r="O1517">
        <v>0</v>
      </c>
      <c r="P1517">
        <v>271</v>
      </c>
      <c r="Q1517" t="s">
        <v>3321</v>
      </c>
    </row>
    <row r="1518" spans="1:17" x14ac:dyDescent="0.3">
      <c r="A1518" t="s">
        <v>17</v>
      </c>
      <c r="B1518" t="str">
        <f>"603358"</f>
        <v>603358</v>
      </c>
      <c r="C1518" t="s">
        <v>3322</v>
      </c>
      <c r="D1518" t="s">
        <v>722</v>
      </c>
      <c r="E1518">
        <v>725614381</v>
      </c>
      <c r="F1518">
        <v>624023047</v>
      </c>
      <c r="G1518">
        <v>416804696</v>
      </c>
      <c r="H1518">
        <v>637389447</v>
      </c>
      <c r="I1518">
        <v>367568607</v>
      </c>
      <c r="J1518">
        <v>337487351</v>
      </c>
      <c r="P1518">
        <v>131</v>
      </c>
      <c r="Q1518" t="s">
        <v>3323</v>
      </c>
    </row>
    <row r="1519" spans="1:17" x14ac:dyDescent="0.3">
      <c r="A1519" t="s">
        <v>73</v>
      </c>
      <c r="B1519" t="str">
        <f>"002876"</f>
        <v>002876</v>
      </c>
      <c r="C1519" t="s">
        <v>3324</v>
      </c>
      <c r="D1519" t="s">
        <v>97</v>
      </c>
      <c r="E1519">
        <v>724736628</v>
      </c>
      <c r="F1519">
        <v>705256241</v>
      </c>
      <c r="G1519">
        <v>523610063</v>
      </c>
      <c r="H1519">
        <v>401871543</v>
      </c>
      <c r="I1519">
        <v>241355066</v>
      </c>
      <c r="J1519">
        <v>0</v>
      </c>
      <c r="P1519">
        <v>212</v>
      </c>
      <c r="Q1519" t="s">
        <v>3325</v>
      </c>
    </row>
    <row r="1520" spans="1:17" x14ac:dyDescent="0.3">
      <c r="A1520" t="s">
        <v>17</v>
      </c>
      <c r="B1520" t="str">
        <f>"688330"</f>
        <v>688330</v>
      </c>
      <c r="C1520" t="s">
        <v>3326</v>
      </c>
      <c r="D1520" t="s">
        <v>161</v>
      </c>
      <c r="E1520">
        <v>724354923</v>
      </c>
      <c r="F1520">
        <v>383397950</v>
      </c>
      <c r="P1520">
        <v>90</v>
      </c>
      <c r="Q1520" t="s">
        <v>3327</v>
      </c>
    </row>
    <row r="1521" spans="1:17" x14ac:dyDescent="0.3">
      <c r="A1521" t="s">
        <v>73</v>
      </c>
      <c r="B1521" t="str">
        <f>"300054"</f>
        <v>300054</v>
      </c>
      <c r="C1521" t="s">
        <v>3328</v>
      </c>
      <c r="D1521" t="s">
        <v>2178</v>
      </c>
      <c r="E1521">
        <v>723488725</v>
      </c>
      <c r="F1521">
        <v>507365444</v>
      </c>
      <c r="G1521">
        <v>350681460</v>
      </c>
      <c r="H1521">
        <v>348336360</v>
      </c>
      <c r="I1521">
        <v>371489778</v>
      </c>
      <c r="J1521">
        <v>423711301</v>
      </c>
      <c r="K1521">
        <v>306963713</v>
      </c>
      <c r="L1521">
        <v>277714389</v>
      </c>
      <c r="M1521">
        <v>212310339</v>
      </c>
      <c r="N1521">
        <v>104852940</v>
      </c>
      <c r="O1521">
        <v>42797834</v>
      </c>
      <c r="P1521">
        <v>367</v>
      </c>
      <c r="Q1521" t="s">
        <v>3329</v>
      </c>
    </row>
    <row r="1522" spans="1:17" x14ac:dyDescent="0.3">
      <c r="A1522" t="s">
        <v>73</v>
      </c>
      <c r="B1522" t="str">
        <f>"002497"</f>
        <v>002497</v>
      </c>
      <c r="C1522" t="s">
        <v>3330</v>
      </c>
      <c r="D1522" t="s">
        <v>484</v>
      </c>
      <c r="E1522">
        <v>723318400</v>
      </c>
      <c r="F1522">
        <v>680991715</v>
      </c>
      <c r="G1522">
        <v>600874979</v>
      </c>
      <c r="H1522">
        <v>611806767</v>
      </c>
      <c r="I1522">
        <v>557569906</v>
      </c>
      <c r="J1522">
        <v>319475412</v>
      </c>
      <c r="K1522">
        <v>297147157</v>
      </c>
      <c r="L1522">
        <v>243576601</v>
      </c>
      <c r="M1522">
        <v>198229716</v>
      </c>
      <c r="N1522">
        <v>124597594</v>
      </c>
      <c r="O1522">
        <v>82409379</v>
      </c>
      <c r="P1522">
        <v>481</v>
      </c>
      <c r="Q1522" t="s">
        <v>3331</v>
      </c>
    </row>
    <row r="1523" spans="1:17" x14ac:dyDescent="0.3">
      <c r="A1523" t="s">
        <v>73</v>
      </c>
      <c r="B1523" t="str">
        <f>"000650"</f>
        <v>000650</v>
      </c>
      <c r="C1523" t="s">
        <v>3332</v>
      </c>
      <c r="D1523" t="s">
        <v>215</v>
      </c>
      <c r="E1523">
        <v>722909409</v>
      </c>
      <c r="F1523">
        <v>657129401</v>
      </c>
      <c r="G1523">
        <v>609529984</v>
      </c>
      <c r="H1523">
        <v>717185446</v>
      </c>
      <c r="I1523">
        <v>502639274</v>
      </c>
      <c r="J1523">
        <v>444990416</v>
      </c>
      <c r="K1523">
        <v>399150292</v>
      </c>
      <c r="L1523">
        <v>221119488</v>
      </c>
      <c r="M1523">
        <v>178068650</v>
      </c>
      <c r="N1523">
        <v>183983882</v>
      </c>
      <c r="O1523">
        <v>118391900</v>
      </c>
      <c r="P1523">
        <v>888</v>
      </c>
      <c r="Q1523" t="s">
        <v>3333</v>
      </c>
    </row>
    <row r="1524" spans="1:17" x14ac:dyDescent="0.3">
      <c r="A1524" t="s">
        <v>73</v>
      </c>
      <c r="B1524" t="str">
        <f>"002878"</f>
        <v>002878</v>
      </c>
      <c r="C1524" t="s">
        <v>3334</v>
      </c>
      <c r="D1524" t="s">
        <v>3335</v>
      </c>
      <c r="E1524">
        <v>721809412</v>
      </c>
      <c r="F1524">
        <v>508211759</v>
      </c>
      <c r="G1524">
        <v>454177093</v>
      </c>
      <c r="H1524">
        <v>432514151</v>
      </c>
      <c r="I1524">
        <v>220938753</v>
      </c>
      <c r="J1524">
        <v>0</v>
      </c>
      <c r="P1524">
        <v>345</v>
      </c>
      <c r="Q1524" t="s">
        <v>3336</v>
      </c>
    </row>
    <row r="1525" spans="1:17" x14ac:dyDescent="0.3">
      <c r="A1525" t="s">
        <v>73</v>
      </c>
      <c r="B1525" t="str">
        <f>"300278"</f>
        <v>300278</v>
      </c>
      <c r="C1525" t="s">
        <v>3337</v>
      </c>
      <c r="D1525" t="s">
        <v>626</v>
      </c>
      <c r="E1525">
        <v>721404141</v>
      </c>
      <c r="F1525">
        <v>653156780</v>
      </c>
      <c r="G1525">
        <v>474358411</v>
      </c>
      <c r="H1525">
        <v>1051496593</v>
      </c>
      <c r="I1525">
        <v>1065504070</v>
      </c>
      <c r="J1525">
        <v>1270576831</v>
      </c>
      <c r="K1525">
        <v>977037956</v>
      </c>
      <c r="L1525">
        <v>789239781</v>
      </c>
      <c r="M1525">
        <v>191923099</v>
      </c>
      <c r="N1525">
        <v>165265564</v>
      </c>
      <c r="O1525">
        <v>128980919</v>
      </c>
      <c r="P1525">
        <v>98</v>
      </c>
      <c r="Q1525" t="s">
        <v>3338</v>
      </c>
    </row>
    <row r="1526" spans="1:17" x14ac:dyDescent="0.3">
      <c r="A1526" t="s">
        <v>17</v>
      </c>
      <c r="B1526" t="str">
        <f>"601208"</f>
        <v>601208</v>
      </c>
      <c r="C1526" t="s">
        <v>3339</v>
      </c>
      <c r="D1526" t="s">
        <v>2271</v>
      </c>
      <c r="E1526">
        <v>721385911</v>
      </c>
      <c r="F1526">
        <v>492192266</v>
      </c>
      <c r="G1526">
        <v>335079371</v>
      </c>
      <c r="H1526">
        <v>326856897</v>
      </c>
      <c r="I1526">
        <v>351767227</v>
      </c>
      <c r="J1526">
        <v>298632678</v>
      </c>
      <c r="K1526">
        <v>325852446</v>
      </c>
      <c r="L1526">
        <v>347246334</v>
      </c>
      <c r="M1526">
        <v>232234069</v>
      </c>
      <c r="N1526">
        <v>230235592</v>
      </c>
      <c r="O1526">
        <v>202076160</v>
      </c>
      <c r="P1526">
        <v>3074</v>
      </c>
      <c r="Q1526" t="s">
        <v>3340</v>
      </c>
    </row>
    <row r="1527" spans="1:17" x14ac:dyDescent="0.3">
      <c r="A1527" t="s">
        <v>17</v>
      </c>
      <c r="B1527" t="str">
        <f>"603828"</f>
        <v>603828</v>
      </c>
      <c r="C1527" t="s">
        <v>3341</v>
      </c>
      <c r="D1527" t="s">
        <v>258</v>
      </c>
      <c r="E1527">
        <v>721304237</v>
      </c>
      <c r="F1527">
        <v>793839604</v>
      </c>
      <c r="G1527">
        <v>327880817</v>
      </c>
      <c r="H1527">
        <v>1674220670</v>
      </c>
      <c r="I1527">
        <v>1484132060</v>
      </c>
      <c r="J1527">
        <v>1483429292</v>
      </c>
      <c r="K1527">
        <v>1416176365</v>
      </c>
      <c r="L1527">
        <v>1243553583</v>
      </c>
      <c r="M1527">
        <v>0</v>
      </c>
      <c r="P1527">
        <v>66</v>
      </c>
      <c r="Q1527" t="s">
        <v>3342</v>
      </c>
    </row>
    <row r="1528" spans="1:17" x14ac:dyDescent="0.3">
      <c r="A1528" t="s">
        <v>17</v>
      </c>
      <c r="B1528" t="str">
        <f>"605001"</f>
        <v>605001</v>
      </c>
      <c r="C1528" t="s">
        <v>3343</v>
      </c>
      <c r="D1528" t="s">
        <v>47</v>
      </c>
      <c r="E1528">
        <v>721284178</v>
      </c>
      <c r="F1528">
        <v>950809718</v>
      </c>
      <c r="G1528">
        <v>639396680</v>
      </c>
      <c r="P1528">
        <v>48</v>
      </c>
      <c r="Q1528" t="s">
        <v>3344</v>
      </c>
    </row>
    <row r="1529" spans="1:17" x14ac:dyDescent="0.3">
      <c r="A1529" t="s">
        <v>17</v>
      </c>
      <c r="B1529" t="str">
        <f>"603071"</f>
        <v>603071</v>
      </c>
      <c r="C1529" t="s">
        <v>3345</v>
      </c>
      <c r="D1529" t="s">
        <v>1106</v>
      </c>
      <c r="E1529">
        <v>720809173</v>
      </c>
      <c r="P1529">
        <v>19</v>
      </c>
      <c r="Q1529" t="s">
        <v>3346</v>
      </c>
    </row>
    <row r="1530" spans="1:17" x14ac:dyDescent="0.3">
      <c r="A1530" t="s">
        <v>73</v>
      </c>
      <c r="B1530" t="str">
        <f>"002590"</f>
        <v>002590</v>
      </c>
      <c r="C1530" t="s">
        <v>3347</v>
      </c>
      <c r="D1530" t="s">
        <v>122</v>
      </c>
      <c r="E1530">
        <v>720773428</v>
      </c>
      <c r="F1530">
        <v>554690773</v>
      </c>
      <c r="G1530">
        <v>473888784</v>
      </c>
      <c r="H1530">
        <v>617402449</v>
      </c>
      <c r="I1530">
        <v>614441685</v>
      </c>
      <c r="J1530">
        <v>603795672</v>
      </c>
      <c r="K1530">
        <v>455917366</v>
      </c>
      <c r="L1530">
        <v>360221782</v>
      </c>
      <c r="M1530">
        <v>329048650</v>
      </c>
      <c r="N1530">
        <v>283644657</v>
      </c>
      <c r="O1530">
        <v>224281209</v>
      </c>
      <c r="P1530">
        <v>119</v>
      </c>
      <c r="Q1530" t="s">
        <v>3348</v>
      </c>
    </row>
    <row r="1531" spans="1:17" x14ac:dyDescent="0.3">
      <c r="A1531" t="s">
        <v>73</v>
      </c>
      <c r="B1531" t="str">
        <f>"003040"</f>
        <v>003040</v>
      </c>
      <c r="C1531" t="s">
        <v>3349</v>
      </c>
      <c r="D1531" t="s">
        <v>332</v>
      </c>
      <c r="E1531">
        <v>720596008</v>
      </c>
      <c r="F1531">
        <v>646299497</v>
      </c>
      <c r="P1531">
        <v>61</v>
      </c>
      <c r="Q1531" t="s">
        <v>3350</v>
      </c>
    </row>
    <row r="1532" spans="1:17" x14ac:dyDescent="0.3">
      <c r="A1532" t="s">
        <v>17</v>
      </c>
      <c r="B1532" t="str">
        <f>"688499"</f>
        <v>688499</v>
      </c>
      <c r="C1532" t="s">
        <v>3351</v>
      </c>
      <c r="D1532" t="s">
        <v>672</v>
      </c>
      <c r="E1532">
        <v>720425858</v>
      </c>
      <c r="F1532">
        <v>310834125</v>
      </c>
      <c r="G1532">
        <v>61651155</v>
      </c>
      <c r="P1532">
        <v>65</v>
      </c>
      <c r="Q1532" t="s">
        <v>3352</v>
      </c>
    </row>
    <row r="1533" spans="1:17" x14ac:dyDescent="0.3">
      <c r="A1533" t="s">
        <v>73</v>
      </c>
      <c r="B1533" t="str">
        <f>"002620"</f>
        <v>002620</v>
      </c>
      <c r="C1533" t="s">
        <v>3353</v>
      </c>
      <c r="D1533" t="s">
        <v>258</v>
      </c>
      <c r="E1533">
        <v>719013740</v>
      </c>
      <c r="F1533">
        <v>421815845</v>
      </c>
      <c r="G1533">
        <v>341213863</v>
      </c>
      <c r="H1533">
        <v>2401233011</v>
      </c>
      <c r="I1533">
        <v>1853595122</v>
      </c>
      <c r="J1533">
        <v>1470627047</v>
      </c>
      <c r="K1533">
        <v>964229227</v>
      </c>
      <c r="L1533">
        <v>1047181916</v>
      </c>
      <c r="M1533">
        <v>1117195597</v>
      </c>
      <c r="N1533">
        <v>875166716</v>
      </c>
      <c r="O1533">
        <v>721884277</v>
      </c>
      <c r="P1533">
        <v>90</v>
      </c>
      <c r="Q1533" t="s">
        <v>3354</v>
      </c>
    </row>
    <row r="1534" spans="1:17" x14ac:dyDescent="0.3">
      <c r="A1534" t="s">
        <v>73</v>
      </c>
      <c r="B1534" t="str">
        <f>"002724"</f>
        <v>002724</v>
      </c>
      <c r="C1534" t="s">
        <v>3355</v>
      </c>
      <c r="D1534" t="s">
        <v>651</v>
      </c>
      <c r="E1534">
        <v>718846435</v>
      </c>
      <c r="F1534">
        <v>529714992</v>
      </c>
      <c r="G1534">
        <v>371567804</v>
      </c>
      <c r="H1534">
        <v>351318500</v>
      </c>
      <c r="I1534">
        <v>312810609</v>
      </c>
      <c r="J1534">
        <v>251745817</v>
      </c>
      <c r="K1534">
        <v>233947327</v>
      </c>
      <c r="L1534">
        <v>275016076</v>
      </c>
      <c r="M1534">
        <v>0</v>
      </c>
      <c r="P1534">
        <v>139</v>
      </c>
      <c r="Q1534" t="s">
        <v>3356</v>
      </c>
    </row>
    <row r="1535" spans="1:17" x14ac:dyDescent="0.3">
      <c r="A1535" t="s">
        <v>73</v>
      </c>
      <c r="B1535" t="str">
        <f>"002682"</f>
        <v>002682</v>
      </c>
      <c r="C1535" t="s">
        <v>3357</v>
      </c>
      <c r="D1535" t="s">
        <v>1341</v>
      </c>
      <c r="E1535">
        <v>718833018</v>
      </c>
      <c r="F1535">
        <v>832706924</v>
      </c>
      <c r="G1535">
        <v>1113412567</v>
      </c>
      <c r="H1535">
        <v>1737058332</v>
      </c>
      <c r="I1535">
        <v>1088928857</v>
      </c>
      <c r="J1535">
        <v>839684931</v>
      </c>
      <c r="K1535">
        <v>470116288</v>
      </c>
      <c r="L1535">
        <v>288437632</v>
      </c>
      <c r="M1535">
        <v>227851023</v>
      </c>
      <c r="N1535">
        <v>166672420</v>
      </c>
      <c r="O1535">
        <v>118219087</v>
      </c>
      <c r="P1535">
        <v>80</v>
      </c>
      <c r="Q1535" t="s">
        <v>3358</v>
      </c>
    </row>
    <row r="1536" spans="1:17" x14ac:dyDescent="0.3">
      <c r="A1536" t="s">
        <v>73</v>
      </c>
      <c r="B1536" t="str">
        <f>"300782"</f>
        <v>300782</v>
      </c>
      <c r="C1536" t="s">
        <v>3359</v>
      </c>
      <c r="D1536" t="s">
        <v>3360</v>
      </c>
      <c r="E1536">
        <v>717550127</v>
      </c>
      <c r="F1536">
        <v>576778709</v>
      </c>
      <c r="G1536">
        <v>347884630</v>
      </c>
      <c r="H1536">
        <v>0</v>
      </c>
      <c r="I1536">
        <v>0</v>
      </c>
      <c r="P1536">
        <v>1609</v>
      </c>
      <c r="Q1536" t="s">
        <v>3361</v>
      </c>
    </row>
    <row r="1537" spans="1:17" x14ac:dyDescent="0.3">
      <c r="A1537" t="s">
        <v>73</v>
      </c>
      <c r="B1537" t="str">
        <f>"300594"</f>
        <v>300594</v>
      </c>
      <c r="C1537" t="s">
        <v>3362</v>
      </c>
      <c r="D1537" t="s">
        <v>47</v>
      </c>
      <c r="E1537">
        <v>717193684</v>
      </c>
      <c r="F1537">
        <v>568162484</v>
      </c>
      <c r="G1537">
        <v>533231583</v>
      </c>
      <c r="H1537">
        <v>0</v>
      </c>
      <c r="I1537">
        <v>0</v>
      </c>
      <c r="P1537">
        <v>72</v>
      </c>
      <c r="Q1537" t="s">
        <v>3363</v>
      </c>
    </row>
    <row r="1538" spans="1:17" x14ac:dyDescent="0.3">
      <c r="A1538" t="s">
        <v>73</v>
      </c>
      <c r="B1538" t="str">
        <f>"300291"</f>
        <v>300291</v>
      </c>
      <c r="C1538" t="s">
        <v>3364</v>
      </c>
      <c r="D1538" t="s">
        <v>1306</v>
      </c>
      <c r="E1538">
        <v>717168290</v>
      </c>
      <c r="F1538">
        <v>510113513</v>
      </c>
      <c r="G1538">
        <v>390454113</v>
      </c>
      <c r="H1538">
        <v>431783939</v>
      </c>
      <c r="I1538">
        <v>2340245060</v>
      </c>
      <c r="J1538">
        <v>2262213036</v>
      </c>
      <c r="K1538">
        <v>1374118025</v>
      </c>
      <c r="L1538">
        <v>904791036</v>
      </c>
      <c r="M1538">
        <v>253922531</v>
      </c>
      <c r="N1538">
        <v>205779171</v>
      </c>
      <c r="O1538">
        <v>159119628</v>
      </c>
      <c r="P1538">
        <v>93</v>
      </c>
      <c r="Q1538" t="s">
        <v>3365</v>
      </c>
    </row>
    <row r="1539" spans="1:17" x14ac:dyDescent="0.3">
      <c r="A1539" t="s">
        <v>73</v>
      </c>
      <c r="B1539" t="str">
        <f>"002116"</f>
        <v>002116</v>
      </c>
      <c r="C1539" t="s">
        <v>3366</v>
      </c>
      <c r="D1539" t="s">
        <v>39</v>
      </c>
      <c r="E1539">
        <v>717152512</v>
      </c>
      <c r="F1539">
        <v>606857909</v>
      </c>
      <c r="G1539">
        <v>694650358</v>
      </c>
      <c r="H1539">
        <v>706092010</v>
      </c>
      <c r="I1539">
        <v>568440227</v>
      </c>
      <c r="J1539">
        <v>400063334</v>
      </c>
      <c r="K1539">
        <v>415780857</v>
      </c>
      <c r="L1539">
        <v>655665142</v>
      </c>
      <c r="M1539">
        <v>568378201</v>
      </c>
      <c r="N1539">
        <v>654776715</v>
      </c>
      <c r="O1539">
        <v>502745601</v>
      </c>
      <c r="P1539">
        <v>176</v>
      </c>
      <c r="Q1539" t="s">
        <v>3367</v>
      </c>
    </row>
    <row r="1540" spans="1:17" x14ac:dyDescent="0.3">
      <c r="A1540" t="s">
        <v>73</v>
      </c>
      <c r="B1540" t="str">
        <f>"300983"</f>
        <v>300983</v>
      </c>
      <c r="C1540" t="s">
        <v>3368</v>
      </c>
      <c r="D1540" t="s">
        <v>661</v>
      </c>
      <c r="E1540">
        <v>716736427</v>
      </c>
      <c r="F1540">
        <v>598379178</v>
      </c>
      <c r="P1540">
        <v>34</v>
      </c>
      <c r="Q1540" t="s">
        <v>3369</v>
      </c>
    </row>
    <row r="1541" spans="1:17" x14ac:dyDescent="0.3">
      <c r="A1541" t="s">
        <v>17</v>
      </c>
      <c r="B1541" t="str">
        <f>"600095"</f>
        <v>600095</v>
      </c>
      <c r="C1541" t="s">
        <v>3370</v>
      </c>
      <c r="D1541" t="s">
        <v>53</v>
      </c>
      <c r="E1541">
        <v>716354087</v>
      </c>
      <c r="F1541">
        <v>354149241</v>
      </c>
      <c r="G1541">
        <v>84053393</v>
      </c>
      <c r="H1541">
        <v>8625432</v>
      </c>
      <c r="I1541">
        <v>13331833</v>
      </c>
      <c r="J1541">
        <v>38530831</v>
      </c>
      <c r="K1541">
        <v>25293440</v>
      </c>
      <c r="L1541">
        <v>42441593</v>
      </c>
      <c r="M1541">
        <v>46396527</v>
      </c>
      <c r="N1541">
        <v>11327512</v>
      </c>
      <c r="O1541">
        <v>24742151</v>
      </c>
      <c r="P1541">
        <v>330</v>
      </c>
      <c r="Q1541" t="s">
        <v>3371</v>
      </c>
    </row>
    <row r="1542" spans="1:17" x14ac:dyDescent="0.3">
      <c r="A1542" t="s">
        <v>17</v>
      </c>
      <c r="B1542" t="str">
        <f>"600202"</f>
        <v>600202</v>
      </c>
      <c r="C1542" t="s">
        <v>3372</v>
      </c>
      <c r="D1542" t="s">
        <v>2087</v>
      </c>
      <c r="E1542">
        <v>715571696</v>
      </c>
      <c r="F1542">
        <v>716739246</v>
      </c>
      <c r="G1542">
        <v>711929428</v>
      </c>
      <c r="H1542">
        <v>447218921</v>
      </c>
      <c r="I1542">
        <v>474697183</v>
      </c>
      <c r="J1542">
        <v>584866632</v>
      </c>
      <c r="K1542">
        <v>976003503</v>
      </c>
      <c r="L1542">
        <v>1082142104</v>
      </c>
      <c r="M1542">
        <v>936795816</v>
      </c>
      <c r="N1542">
        <v>1073712973</v>
      </c>
      <c r="O1542">
        <v>1059047719</v>
      </c>
      <c r="P1542">
        <v>76</v>
      </c>
      <c r="Q1542" t="s">
        <v>3373</v>
      </c>
    </row>
    <row r="1543" spans="1:17" x14ac:dyDescent="0.3">
      <c r="A1543" t="s">
        <v>17</v>
      </c>
      <c r="B1543" t="str">
        <f>"603598"</f>
        <v>603598</v>
      </c>
      <c r="C1543" t="s">
        <v>3374</v>
      </c>
      <c r="D1543" t="s">
        <v>425</v>
      </c>
      <c r="E1543">
        <v>715363994</v>
      </c>
      <c r="F1543">
        <v>968287988</v>
      </c>
      <c r="G1543">
        <v>590978083</v>
      </c>
      <c r="H1543">
        <v>527912292</v>
      </c>
      <c r="I1543">
        <v>814728038</v>
      </c>
      <c r="J1543">
        <v>260603849</v>
      </c>
      <c r="K1543">
        <v>249411425</v>
      </c>
      <c r="L1543">
        <v>211337132</v>
      </c>
      <c r="M1543">
        <v>0</v>
      </c>
      <c r="P1543">
        <v>113</v>
      </c>
      <c r="Q1543" t="s">
        <v>3375</v>
      </c>
    </row>
    <row r="1544" spans="1:17" x14ac:dyDescent="0.3">
      <c r="A1544" t="s">
        <v>17</v>
      </c>
      <c r="B1544" t="str">
        <f>"603324"</f>
        <v>603324</v>
      </c>
      <c r="C1544" t="s">
        <v>3376</v>
      </c>
      <c r="D1544" t="s">
        <v>540</v>
      </c>
      <c r="E1544">
        <v>714256080</v>
      </c>
      <c r="F1544">
        <v>451254587</v>
      </c>
      <c r="P1544">
        <v>29</v>
      </c>
      <c r="Q1544" t="s">
        <v>3377</v>
      </c>
    </row>
    <row r="1545" spans="1:17" x14ac:dyDescent="0.3">
      <c r="A1545" t="s">
        <v>17</v>
      </c>
      <c r="B1545" t="str">
        <f>"603803"</f>
        <v>603803</v>
      </c>
      <c r="C1545" t="s">
        <v>3378</v>
      </c>
      <c r="D1545" t="s">
        <v>332</v>
      </c>
      <c r="E1545">
        <v>714255611</v>
      </c>
      <c r="F1545">
        <v>1124412532</v>
      </c>
      <c r="G1545">
        <v>1000231491</v>
      </c>
      <c r="H1545">
        <v>1304842623</v>
      </c>
      <c r="I1545">
        <v>1274698361</v>
      </c>
      <c r="J1545">
        <v>1238272855</v>
      </c>
      <c r="K1545">
        <v>0</v>
      </c>
      <c r="P1545">
        <v>153</v>
      </c>
      <c r="Q1545" t="s">
        <v>3379</v>
      </c>
    </row>
    <row r="1546" spans="1:17" x14ac:dyDescent="0.3">
      <c r="A1546" t="s">
        <v>73</v>
      </c>
      <c r="B1546" t="str">
        <f>"300500"</f>
        <v>300500</v>
      </c>
      <c r="C1546" t="s">
        <v>3380</v>
      </c>
      <c r="D1546" t="s">
        <v>661</v>
      </c>
      <c r="E1546">
        <v>713461650</v>
      </c>
      <c r="F1546">
        <v>665167664</v>
      </c>
      <c r="G1546">
        <v>777864051</v>
      </c>
      <c r="H1546">
        <v>612233725</v>
      </c>
      <c r="I1546">
        <v>459374202</v>
      </c>
      <c r="J1546">
        <v>139241103</v>
      </c>
      <c r="K1546">
        <v>93764386</v>
      </c>
      <c r="L1546">
        <v>0</v>
      </c>
      <c r="P1546">
        <v>100</v>
      </c>
      <c r="Q1546" t="s">
        <v>3381</v>
      </c>
    </row>
    <row r="1547" spans="1:17" x14ac:dyDescent="0.3">
      <c r="A1547" t="s">
        <v>73</v>
      </c>
      <c r="B1547" t="str">
        <f>"300842"</f>
        <v>300842</v>
      </c>
      <c r="C1547" t="s">
        <v>3382</v>
      </c>
      <c r="D1547" t="s">
        <v>919</v>
      </c>
      <c r="E1547">
        <v>712969388</v>
      </c>
      <c r="F1547">
        <v>648889044</v>
      </c>
      <c r="G1547">
        <v>279527991</v>
      </c>
      <c r="H1547">
        <v>0</v>
      </c>
      <c r="P1547">
        <v>130</v>
      </c>
      <c r="Q1547" t="s">
        <v>3383</v>
      </c>
    </row>
    <row r="1548" spans="1:17" x14ac:dyDescent="0.3">
      <c r="A1548" t="s">
        <v>17</v>
      </c>
      <c r="B1548" t="str">
        <f>"600819"</f>
        <v>600819</v>
      </c>
      <c r="C1548" t="s">
        <v>3384</v>
      </c>
      <c r="D1548" t="s">
        <v>2655</v>
      </c>
      <c r="E1548">
        <v>712747495</v>
      </c>
      <c r="F1548">
        <v>652276378</v>
      </c>
      <c r="G1548">
        <v>506356796</v>
      </c>
      <c r="H1548">
        <v>738923293</v>
      </c>
      <c r="I1548">
        <v>601371455</v>
      </c>
      <c r="J1548">
        <v>582248733</v>
      </c>
      <c r="K1548">
        <v>592576033</v>
      </c>
      <c r="L1548">
        <v>534860787</v>
      </c>
      <c r="M1548">
        <v>503086008</v>
      </c>
      <c r="N1548">
        <v>504268251</v>
      </c>
      <c r="O1548">
        <v>376440476</v>
      </c>
      <c r="P1548">
        <v>94</v>
      </c>
      <c r="Q1548" t="s">
        <v>3385</v>
      </c>
    </row>
    <row r="1549" spans="1:17" x14ac:dyDescent="0.3">
      <c r="A1549" t="s">
        <v>17</v>
      </c>
      <c r="B1549" t="str">
        <f>"600026"</f>
        <v>600026</v>
      </c>
      <c r="C1549" t="s">
        <v>3386</v>
      </c>
      <c r="D1549" t="s">
        <v>246</v>
      </c>
      <c r="E1549">
        <v>712392476</v>
      </c>
      <c r="F1549">
        <v>1119026076</v>
      </c>
      <c r="G1549">
        <v>1374374378</v>
      </c>
      <c r="H1549">
        <v>1230040517</v>
      </c>
      <c r="I1549">
        <v>1357684237</v>
      </c>
      <c r="J1549">
        <v>1271437419</v>
      </c>
      <c r="K1549">
        <v>1444455846</v>
      </c>
      <c r="L1549">
        <v>1536238516</v>
      </c>
      <c r="M1549">
        <v>1714167903</v>
      </c>
      <c r="N1549">
        <v>1556852655</v>
      </c>
      <c r="O1549">
        <v>1259261786</v>
      </c>
      <c r="P1549">
        <v>401</v>
      </c>
      <c r="Q1549" t="s">
        <v>3387</v>
      </c>
    </row>
    <row r="1550" spans="1:17" x14ac:dyDescent="0.3">
      <c r="A1550" t="s">
        <v>17</v>
      </c>
      <c r="B1550" t="str">
        <f>"688226"</f>
        <v>688226</v>
      </c>
      <c r="C1550" t="s">
        <v>3388</v>
      </c>
      <c r="D1550" t="s">
        <v>515</v>
      </c>
      <c r="E1550">
        <v>712142622</v>
      </c>
      <c r="F1550">
        <v>597574908</v>
      </c>
      <c r="P1550">
        <v>19</v>
      </c>
      <c r="Q1550" t="s">
        <v>3389</v>
      </c>
    </row>
    <row r="1551" spans="1:17" x14ac:dyDescent="0.3">
      <c r="A1551" t="s">
        <v>17</v>
      </c>
      <c r="B1551" t="str">
        <f>"603557"</f>
        <v>603557</v>
      </c>
      <c r="C1551" t="s">
        <v>3390</v>
      </c>
      <c r="D1551" t="s">
        <v>2601</v>
      </c>
      <c r="E1551">
        <v>711492956</v>
      </c>
      <c r="F1551">
        <v>510433007</v>
      </c>
      <c r="G1551">
        <v>677605253</v>
      </c>
      <c r="H1551">
        <v>570242465</v>
      </c>
      <c r="I1551">
        <v>399088298</v>
      </c>
      <c r="P1551">
        <v>118</v>
      </c>
      <c r="Q1551" t="s">
        <v>3391</v>
      </c>
    </row>
    <row r="1552" spans="1:17" x14ac:dyDescent="0.3">
      <c r="A1552" t="s">
        <v>73</v>
      </c>
      <c r="B1552" t="str">
        <f>"002670"</f>
        <v>002670</v>
      </c>
      <c r="C1552" t="s">
        <v>3392</v>
      </c>
      <c r="D1552" t="s">
        <v>53</v>
      </c>
      <c r="E1552">
        <v>710210641</v>
      </c>
      <c r="F1552">
        <v>313999839</v>
      </c>
      <c r="G1552">
        <v>148828138</v>
      </c>
      <c r="H1552">
        <v>483516988</v>
      </c>
      <c r="I1552">
        <v>234469516</v>
      </c>
      <c r="J1552">
        <v>481955163</v>
      </c>
      <c r="K1552">
        <v>223098297</v>
      </c>
      <c r="L1552">
        <v>423038913</v>
      </c>
      <c r="M1552">
        <v>363065373</v>
      </c>
      <c r="N1552">
        <v>318781460</v>
      </c>
      <c r="O1552">
        <v>324452042</v>
      </c>
      <c r="P1552">
        <v>580</v>
      </c>
      <c r="Q1552" t="s">
        <v>3393</v>
      </c>
    </row>
    <row r="1553" spans="1:17" x14ac:dyDescent="0.3">
      <c r="A1553" t="s">
        <v>73</v>
      </c>
      <c r="B1553" t="str">
        <f>"300889"</f>
        <v>300889</v>
      </c>
      <c r="C1553" t="s">
        <v>3394</v>
      </c>
      <c r="D1553" t="s">
        <v>737</v>
      </c>
      <c r="E1553">
        <v>709524030</v>
      </c>
      <c r="F1553">
        <v>619013365</v>
      </c>
      <c r="G1553">
        <v>344513595</v>
      </c>
      <c r="P1553">
        <v>37</v>
      </c>
      <c r="Q1553" t="s">
        <v>3395</v>
      </c>
    </row>
    <row r="1554" spans="1:17" x14ac:dyDescent="0.3">
      <c r="A1554" t="s">
        <v>17</v>
      </c>
      <c r="B1554" t="str">
        <f>"600227"</f>
        <v>600227</v>
      </c>
      <c r="C1554" t="s">
        <v>3396</v>
      </c>
      <c r="D1554" t="s">
        <v>348</v>
      </c>
      <c r="E1554">
        <v>708658797</v>
      </c>
      <c r="F1554">
        <v>896479434</v>
      </c>
      <c r="G1554">
        <v>872217640</v>
      </c>
      <c r="H1554">
        <v>858783832</v>
      </c>
      <c r="I1554">
        <v>686053758</v>
      </c>
      <c r="J1554">
        <v>461243272</v>
      </c>
      <c r="K1554">
        <v>568841501</v>
      </c>
      <c r="L1554">
        <v>474444692</v>
      </c>
      <c r="M1554">
        <v>362744257</v>
      </c>
      <c r="N1554">
        <v>381358690</v>
      </c>
      <c r="O1554">
        <v>207550277</v>
      </c>
      <c r="P1554">
        <v>114</v>
      </c>
      <c r="Q1554" t="s">
        <v>3397</v>
      </c>
    </row>
    <row r="1555" spans="1:17" x14ac:dyDescent="0.3">
      <c r="A1555" t="s">
        <v>73</v>
      </c>
      <c r="B1555" t="str">
        <f>"000544"</f>
        <v>000544</v>
      </c>
      <c r="C1555" t="s">
        <v>3398</v>
      </c>
      <c r="D1555" t="s">
        <v>308</v>
      </c>
      <c r="E1555">
        <v>708563521</v>
      </c>
      <c r="F1555">
        <v>429135589</v>
      </c>
      <c r="G1555">
        <v>543342356</v>
      </c>
      <c r="H1555">
        <v>0</v>
      </c>
      <c r="I1555">
        <v>472641794</v>
      </c>
      <c r="J1555">
        <v>324648518</v>
      </c>
      <c r="K1555">
        <v>111339279</v>
      </c>
      <c r="L1555">
        <v>413037812</v>
      </c>
      <c r="M1555">
        <v>364245059</v>
      </c>
      <c r="N1555">
        <v>309034167</v>
      </c>
      <c r="O1555">
        <v>266622607</v>
      </c>
      <c r="P1555">
        <v>247</v>
      </c>
      <c r="Q1555" t="s">
        <v>3399</v>
      </c>
    </row>
    <row r="1556" spans="1:17" x14ac:dyDescent="0.3">
      <c r="A1556" t="s">
        <v>17</v>
      </c>
      <c r="B1556" t="str">
        <f>"601515"</f>
        <v>601515</v>
      </c>
      <c r="C1556" t="s">
        <v>3400</v>
      </c>
      <c r="D1556" t="s">
        <v>577</v>
      </c>
      <c r="E1556">
        <v>707970757</v>
      </c>
      <c r="F1556">
        <v>643015839</v>
      </c>
      <c r="G1556">
        <v>1136526857</v>
      </c>
      <c r="H1556">
        <v>1179665572</v>
      </c>
      <c r="I1556">
        <v>962370073</v>
      </c>
      <c r="J1556">
        <v>1018990720</v>
      </c>
      <c r="K1556">
        <v>978674131</v>
      </c>
      <c r="L1556">
        <v>823653533</v>
      </c>
      <c r="M1556">
        <v>658930077</v>
      </c>
      <c r="N1556">
        <v>417804436</v>
      </c>
      <c r="O1556">
        <v>373611627</v>
      </c>
      <c r="P1556">
        <v>28151</v>
      </c>
      <c r="Q1556" t="s">
        <v>3401</v>
      </c>
    </row>
    <row r="1557" spans="1:17" x14ac:dyDescent="0.3">
      <c r="A1557" t="s">
        <v>73</v>
      </c>
      <c r="B1557" t="str">
        <f>"002252"</f>
        <v>002252</v>
      </c>
      <c r="C1557" t="s">
        <v>3402</v>
      </c>
      <c r="D1557" t="s">
        <v>1538</v>
      </c>
      <c r="E1557">
        <v>707903915</v>
      </c>
      <c r="F1557">
        <v>389918732</v>
      </c>
      <c r="G1557">
        <v>585270861</v>
      </c>
      <c r="H1557">
        <v>829228080</v>
      </c>
      <c r="I1557">
        <v>946531759</v>
      </c>
      <c r="J1557">
        <v>351400516</v>
      </c>
      <c r="K1557">
        <v>135276883</v>
      </c>
      <c r="L1557">
        <v>115183552</v>
      </c>
      <c r="M1557">
        <v>145643387</v>
      </c>
      <c r="N1557">
        <v>83292685</v>
      </c>
      <c r="O1557">
        <v>30249456</v>
      </c>
      <c r="P1557">
        <v>602</v>
      </c>
      <c r="Q1557" t="s">
        <v>3403</v>
      </c>
    </row>
    <row r="1558" spans="1:17" x14ac:dyDescent="0.3">
      <c r="A1558" t="s">
        <v>73</v>
      </c>
      <c r="B1558" t="str">
        <f>"002262"</f>
        <v>002262</v>
      </c>
      <c r="C1558" t="s">
        <v>3404</v>
      </c>
      <c r="D1558" t="s">
        <v>348</v>
      </c>
      <c r="E1558">
        <v>707593642</v>
      </c>
      <c r="F1558">
        <v>501088105</v>
      </c>
      <c r="G1558">
        <v>537319469</v>
      </c>
      <c r="H1558">
        <v>874628136</v>
      </c>
      <c r="I1558">
        <v>732007562</v>
      </c>
      <c r="J1558">
        <v>795096610</v>
      </c>
      <c r="K1558">
        <v>681190459</v>
      </c>
      <c r="L1558">
        <v>625118353</v>
      </c>
      <c r="M1558">
        <v>481920550</v>
      </c>
      <c r="N1558">
        <v>487858924</v>
      </c>
      <c r="O1558">
        <v>334321161</v>
      </c>
      <c r="P1558">
        <v>51365</v>
      </c>
      <c r="Q1558" t="s">
        <v>3405</v>
      </c>
    </row>
    <row r="1559" spans="1:17" x14ac:dyDescent="0.3">
      <c r="A1559" t="s">
        <v>73</v>
      </c>
      <c r="B1559" t="str">
        <f>"002382"</f>
        <v>002382</v>
      </c>
      <c r="C1559" t="s">
        <v>3406</v>
      </c>
      <c r="D1559" t="s">
        <v>1523</v>
      </c>
      <c r="E1559">
        <v>707181095</v>
      </c>
      <c r="F1559">
        <v>1369909705</v>
      </c>
      <c r="G1559">
        <v>703927627</v>
      </c>
      <c r="H1559">
        <v>609654170</v>
      </c>
      <c r="I1559">
        <v>210517433</v>
      </c>
      <c r="J1559">
        <v>232013049</v>
      </c>
      <c r="K1559">
        <v>177763275</v>
      </c>
      <c r="L1559">
        <v>224424351</v>
      </c>
      <c r="M1559">
        <v>232291397</v>
      </c>
      <c r="N1559">
        <v>249444984</v>
      </c>
      <c r="O1559">
        <v>237068215</v>
      </c>
      <c r="P1559">
        <v>849</v>
      </c>
      <c r="Q1559" t="s">
        <v>3407</v>
      </c>
    </row>
    <row r="1560" spans="1:17" x14ac:dyDescent="0.3">
      <c r="A1560" t="s">
        <v>17</v>
      </c>
      <c r="B1560" t="str">
        <f>"688559"</f>
        <v>688559</v>
      </c>
      <c r="C1560" t="s">
        <v>3408</v>
      </c>
      <c r="D1560" t="s">
        <v>499</v>
      </c>
      <c r="E1560">
        <v>706574923</v>
      </c>
      <c r="F1560">
        <v>487817031</v>
      </c>
      <c r="G1560">
        <v>0</v>
      </c>
      <c r="P1560">
        <v>68</v>
      </c>
      <c r="Q1560" t="s">
        <v>3409</v>
      </c>
    </row>
    <row r="1561" spans="1:17" x14ac:dyDescent="0.3">
      <c r="A1561" t="s">
        <v>17</v>
      </c>
      <c r="B1561" t="str">
        <f>"600200"</f>
        <v>600200</v>
      </c>
      <c r="C1561" t="s">
        <v>3410</v>
      </c>
      <c r="D1561" t="s">
        <v>348</v>
      </c>
      <c r="E1561">
        <v>705262707</v>
      </c>
      <c r="F1561">
        <v>614323277</v>
      </c>
      <c r="G1561">
        <v>626048872</v>
      </c>
      <c r="H1561">
        <v>629674761</v>
      </c>
      <c r="I1561">
        <v>426544725</v>
      </c>
      <c r="J1561">
        <v>397342252</v>
      </c>
      <c r="K1561">
        <v>291669266</v>
      </c>
      <c r="L1561">
        <v>275777065</v>
      </c>
      <c r="M1561">
        <v>234780609</v>
      </c>
      <c r="N1561">
        <v>242854342</v>
      </c>
      <c r="O1561">
        <v>296576658</v>
      </c>
      <c r="P1561">
        <v>143</v>
      </c>
      <c r="Q1561" t="s">
        <v>3411</v>
      </c>
    </row>
    <row r="1562" spans="1:17" x14ac:dyDescent="0.3">
      <c r="A1562" t="s">
        <v>73</v>
      </c>
      <c r="B1562" t="str">
        <f>"002870"</f>
        <v>002870</v>
      </c>
      <c r="C1562" t="s">
        <v>3412</v>
      </c>
      <c r="D1562" t="s">
        <v>2280</v>
      </c>
      <c r="E1562">
        <v>704834139</v>
      </c>
      <c r="F1562">
        <v>692999575</v>
      </c>
      <c r="G1562">
        <v>56943111</v>
      </c>
      <c r="H1562">
        <v>63497913</v>
      </c>
      <c r="I1562">
        <v>169749014</v>
      </c>
      <c r="J1562">
        <v>54256471</v>
      </c>
      <c r="P1562">
        <v>91</v>
      </c>
      <c r="Q1562" t="s">
        <v>3413</v>
      </c>
    </row>
    <row r="1563" spans="1:17" x14ac:dyDescent="0.3">
      <c r="A1563" t="s">
        <v>17</v>
      </c>
      <c r="B1563" t="str">
        <f>"600117"</f>
        <v>600117</v>
      </c>
      <c r="C1563" t="s">
        <v>3414</v>
      </c>
      <c r="D1563" t="s">
        <v>928</v>
      </c>
      <c r="E1563">
        <v>704331641</v>
      </c>
      <c r="F1563">
        <v>770934469</v>
      </c>
      <c r="G1563">
        <v>809787092</v>
      </c>
      <c r="H1563">
        <v>813333001</v>
      </c>
      <c r="I1563">
        <v>717110882</v>
      </c>
      <c r="J1563">
        <v>893275075</v>
      </c>
      <c r="K1563">
        <v>755761064</v>
      </c>
      <c r="L1563">
        <v>978645961</v>
      </c>
      <c r="M1563">
        <v>368953482</v>
      </c>
      <c r="N1563">
        <v>293007140</v>
      </c>
      <c r="O1563">
        <v>219132798</v>
      </c>
      <c r="P1563">
        <v>116</v>
      </c>
      <c r="Q1563" t="s">
        <v>3415</v>
      </c>
    </row>
    <row r="1564" spans="1:17" x14ac:dyDescent="0.3">
      <c r="A1564" t="s">
        <v>73</v>
      </c>
      <c r="B1564" t="str">
        <f>"002163"</f>
        <v>002163</v>
      </c>
      <c r="C1564" t="s">
        <v>3416</v>
      </c>
      <c r="D1564" t="s">
        <v>2655</v>
      </c>
      <c r="E1564">
        <v>704053841</v>
      </c>
      <c r="F1564">
        <v>854754745</v>
      </c>
      <c r="G1564">
        <v>950541293</v>
      </c>
      <c r="H1564">
        <v>724337398</v>
      </c>
      <c r="I1564">
        <v>795231731</v>
      </c>
      <c r="J1564">
        <v>700481814</v>
      </c>
      <c r="K1564">
        <v>768843353</v>
      </c>
      <c r="L1564">
        <v>713507124</v>
      </c>
      <c r="M1564">
        <v>652715867</v>
      </c>
      <c r="N1564">
        <v>586635034</v>
      </c>
      <c r="O1564">
        <v>499904788</v>
      </c>
      <c r="P1564">
        <v>170</v>
      </c>
      <c r="Q1564" t="s">
        <v>3417</v>
      </c>
    </row>
    <row r="1565" spans="1:17" x14ac:dyDescent="0.3">
      <c r="A1565" t="s">
        <v>17</v>
      </c>
      <c r="B1565" t="str">
        <f>"600850"</f>
        <v>600850</v>
      </c>
      <c r="C1565" t="s">
        <v>3418</v>
      </c>
      <c r="D1565" t="s">
        <v>302</v>
      </c>
      <c r="E1565">
        <v>703778030</v>
      </c>
      <c r="F1565">
        <v>872841117</v>
      </c>
      <c r="G1565">
        <v>927570568</v>
      </c>
      <c r="H1565">
        <v>1160073797</v>
      </c>
      <c r="I1565">
        <v>1071955985</v>
      </c>
      <c r="J1565">
        <v>1314493388</v>
      </c>
      <c r="K1565">
        <v>1312963316</v>
      </c>
      <c r="L1565">
        <v>925185637</v>
      </c>
      <c r="M1565">
        <v>677433244</v>
      </c>
      <c r="N1565">
        <v>552389480</v>
      </c>
      <c r="O1565">
        <v>329524136</v>
      </c>
      <c r="P1565">
        <v>322</v>
      </c>
      <c r="Q1565" t="s">
        <v>3419</v>
      </c>
    </row>
    <row r="1566" spans="1:17" x14ac:dyDescent="0.3">
      <c r="A1566" t="s">
        <v>17</v>
      </c>
      <c r="B1566" t="str">
        <f>"605555"</f>
        <v>605555</v>
      </c>
      <c r="C1566" t="s">
        <v>3420</v>
      </c>
      <c r="D1566" t="s">
        <v>1560</v>
      </c>
      <c r="E1566">
        <v>702917550</v>
      </c>
      <c r="P1566">
        <v>34</v>
      </c>
      <c r="Q1566" t="s">
        <v>3421</v>
      </c>
    </row>
    <row r="1567" spans="1:17" x14ac:dyDescent="0.3">
      <c r="A1567" t="s">
        <v>17</v>
      </c>
      <c r="B1567" t="str">
        <f>"603160"</f>
        <v>603160</v>
      </c>
      <c r="C1567" t="s">
        <v>3422</v>
      </c>
      <c r="D1567" t="s">
        <v>3360</v>
      </c>
      <c r="E1567">
        <v>702866465</v>
      </c>
      <c r="F1567">
        <v>650113880</v>
      </c>
      <c r="G1567">
        <v>834183174</v>
      </c>
      <c r="H1567">
        <v>1214105997</v>
      </c>
      <c r="I1567">
        <v>377838530</v>
      </c>
      <c r="J1567">
        <v>548881029</v>
      </c>
      <c r="K1567">
        <v>266335794</v>
      </c>
      <c r="P1567">
        <v>2243</v>
      </c>
      <c r="Q1567" t="s">
        <v>3423</v>
      </c>
    </row>
    <row r="1568" spans="1:17" x14ac:dyDescent="0.3">
      <c r="A1568" t="s">
        <v>17</v>
      </c>
      <c r="B1568" t="str">
        <f>"600758"</f>
        <v>600758</v>
      </c>
      <c r="C1568" t="s">
        <v>3424</v>
      </c>
      <c r="D1568" t="s">
        <v>492</v>
      </c>
      <c r="E1568">
        <v>702624028</v>
      </c>
      <c r="F1568">
        <v>1210834418</v>
      </c>
      <c r="G1568">
        <v>1528937736</v>
      </c>
      <c r="H1568">
        <v>1495273864</v>
      </c>
      <c r="I1568">
        <v>1313762882</v>
      </c>
      <c r="J1568">
        <v>1349184655</v>
      </c>
      <c r="K1568">
        <v>1569760089</v>
      </c>
      <c r="L1568">
        <v>18422074</v>
      </c>
      <c r="M1568">
        <v>41757368</v>
      </c>
      <c r="N1568">
        <v>43366859</v>
      </c>
      <c r="O1568">
        <v>24389807</v>
      </c>
      <c r="P1568">
        <v>126</v>
      </c>
      <c r="Q1568" t="s">
        <v>3425</v>
      </c>
    </row>
    <row r="1569" spans="1:17" x14ac:dyDescent="0.3">
      <c r="A1569" t="s">
        <v>73</v>
      </c>
      <c r="B1569" t="str">
        <f>"300956"</f>
        <v>300956</v>
      </c>
      <c r="C1569" t="s">
        <v>3426</v>
      </c>
      <c r="D1569" t="s">
        <v>42</v>
      </c>
      <c r="E1569">
        <v>701330790</v>
      </c>
      <c r="F1569">
        <v>637601203</v>
      </c>
      <c r="G1569">
        <v>437519581</v>
      </c>
      <c r="P1569">
        <v>45</v>
      </c>
      <c r="Q1569" t="s">
        <v>3427</v>
      </c>
    </row>
    <row r="1570" spans="1:17" x14ac:dyDescent="0.3">
      <c r="A1570" t="s">
        <v>17</v>
      </c>
      <c r="B1570" t="str">
        <f>"600262"</f>
        <v>600262</v>
      </c>
      <c r="C1570" t="s">
        <v>3428</v>
      </c>
      <c r="D1570" t="s">
        <v>311</v>
      </c>
      <c r="E1570">
        <v>700979514</v>
      </c>
      <c r="F1570">
        <v>489214199</v>
      </c>
      <c r="G1570">
        <v>338200022</v>
      </c>
      <c r="H1570">
        <v>327983535</v>
      </c>
      <c r="I1570">
        <v>460945253</v>
      </c>
      <c r="J1570">
        <v>306777468</v>
      </c>
      <c r="K1570">
        <v>300715882</v>
      </c>
      <c r="L1570">
        <v>528407101</v>
      </c>
      <c r="M1570">
        <v>801939314</v>
      </c>
      <c r="N1570">
        <v>817176357</v>
      </c>
      <c r="O1570">
        <v>618562867</v>
      </c>
      <c r="P1570">
        <v>75</v>
      </c>
      <c r="Q1570" t="s">
        <v>3429</v>
      </c>
    </row>
    <row r="1571" spans="1:17" x14ac:dyDescent="0.3">
      <c r="A1571" t="s">
        <v>73</v>
      </c>
      <c r="B1571" t="str">
        <f>"300369"</f>
        <v>300369</v>
      </c>
      <c r="C1571" t="s">
        <v>3430</v>
      </c>
      <c r="D1571" t="s">
        <v>404</v>
      </c>
      <c r="E1571">
        <v>700289352</v>
      </c>
      <c r="F1571">
        <v>434290061</v>
      </c>
      <c r="G1571">
        <v>666158934</v>
      </c>
      <c r="H1571">
        <v>783535303</v>
      </c>
      <c r="I1571">
        <v>817025148</v>
      </c>
      <c r="J1571">
        <v>658904187</v>
      </c>
      <c r="K1571">
        <v>550089539</v>
      </c>
      <c r="L1571">
        <v>387942446</v>
      </c>
      <c r="M1571">
        <v>344743306</v>
      </c>
      <c r="N1571">
        <v>0</v>
      </c>
      <c r="P1571">
        <v>418</v>
      </c>
      <c r="Q1571" t="s">
        <v>3431</v>
      </c>
    </row>
    <row r="1572" spans="1:17" x14ac:dyDescent="0.3">
      <c r="A1572" t="s">
        <v>17</v>
      </c>
      <c r="B1572" t="str">
        <f>"603668"</f>
        <v>603668</v>
      </c>
      <c r="C1572" t="s">
        <v>3432</v>
      </c>
      <c r="D1572" t="s">
        <v>1427</v>
      </c>
      <c r="E1572">
        <v>698939539</v>
      </c>
      <c r="F1572">
        <v>695559506</v>
      </c>
      <c r="G1572">
        <v>571956854</v>
      </c>
      <c r="H1572">
        <v>479394870</v>
      </c>
      <c r="I1572">
        <v>300094331</v>
      </c>
      <c r="J1572">
        <v>226647290</v>
      </c>
      <c r="P1572">
        <v>126</v>
      </c>
      <c r="Q1572" t="s">
        <v>3433</v>
      </c>
    </row>
    <row r="1573" spans="1:17" x14ac:dyDescent="0.3">
      <c r="A1573" t="s">
        <v>17</v>
      </c>
      <c r="B1573" t="str">
        <f>"601339"</f>
        <v>601339</v>
      </c>
      <c r="C1573" t="s">
        <v>3434</v>
      </c>
      <c r="D1573" t="s">
        <v>2052</v>
      </c>
      <c r="E1573">
        <v>698469720</v>
      </c>
      <c r="F1573">
        <v>686302864</v>
      </c>
      <c r="G1573">
        <v>565274948</v>
      </c>
      <c r="H1573">
        <v>651559498</v>
      </c>
      <c r="I1573">
        <v>490331507</v>
      </c>
      <c r="J1573">
        <v>642031842</v>
      </c>
      <c r="K1573">
        <v>473250864</v>
      </c>
      <c r="L1573">
        <v>519658866</v>
      </c>
      <c r="M1573">
        <v>461749894</v>
      </c>
      <c r="N1573">
        <v>425336023</v>
      </c>
      <c r="O1573">
        <v>0</v>
      </c>
      <c r="P1573">
        <v>207</v>
      </c>
      <c r="Q1573" t="s">
        <v>3435</v>
      </c>
    </row>
    <row r="1574" spans="1:17" x14ac:dyDescent="0.3">
      <c r="A1574" t="s">
        <v>73</v>
      </c>
      <c r="B1574" t="str">
        <f>"300994"</f>
        <v>300994</v>
      </c>
      <c r="C1574" t="s">
        <v>3436</v>
      </c>
      <c r="D1574" t="s">
        <v>3193</v>
      </c>
      <c r="E1574">
        <v>696200890</v>
      </c>
      <c r="F1574">
        <v>577067802</v>
      </c>
      <c r="P1574">
        <v>21</v>
      </c>
      <c r="Q1574" t="s">
        <v>3437</v>
      </c>
    </row>
    <row r="1575" spans="1:17" x14ac:dyDescent="0.3">
      <c r="A1575" t="s">
        <v>73</v>
      </c>
      <c r="B1575" t="str">
        <f>"300307"</f>
        <v>300307</v>
      </c>
      <c r="C1575" t="s">
        <v>3438</v>
      </c>
      <c r="D1575" t="s">
        <v>792</v>
      </c>
      <c r="E1575">
        <v>695482219</v>
      </c>
      <c r="F1575">
        <v>576246067</v>
      </c>
      <c r="G1575">
        <v>557825018</v>
      </c>
      <c r="H1575">
        <v>802310654</v>
      </c>
      <c r="I1575">
        <v>594351632</v>
      </c>
      <c r="J1575">
        <v>575387990</v>
      </c>
      <c r="K1575">
        <v>435575142</v>
      </c>
      <c r="L1575">
        <v>294555748</v>
      </c>
      <c r="M1575">
        <v>280536839</v>
      </c>
      <c r="N1575">
        <v>199130136</v>
      </c>
      <c r="O1575">
        <v>161770618</v>
      </c>
      <c r="P1575">
        <v>2981</v>
      </c>
      <c r="Q1575" t="s">
        <v>3439</v>
      </c>
    </row>
    <row r="1576" spans="1:17" x14ac:dyDescent="0.3">
      <c r="A1576" t="s">
        <v>73</v>
      </c>
      <c r="B1576" t="str">
        <f>"002409"</f>
        <v>002409</v>
      </c>
      <c r="C1576" t="s">
        <v>3440</v>
      </c>
      <c r="D1576" t="s">
        <v>354</v>
      </c>
      <c r="E1576">
        <v>695185095</v>
      </c>
      <c r="F1576">
        <v>499379432</v>
      </c>
      <c r="G1576">
        <v>325905709</v>
      </c>
      <c r="H1576">
        <v>371002815</v>
      </c>
      <c r="I1576">
        <v>200571008</v>
      </c>
      <c r="J1576">
        <v>211539417</v>
      </c>
      <c r="K1576">
        <v>152301596</v>
      </c>
      <c r="L1576">
        <v>195774271</v>
      </c>
      <c r="M1576">
        <v>221908319</v>
      </c>
      <c r="N1576">
        <v>188101741</v>
      </c>
      <c r="O1576">
        <v>173669588</v>
      </c>
      <c r="P1576">
        <v>496</v>
      </c>
      <c r="Q1576" t="s">
        <v>3441</v>
      </c>
    </row>
    <row r="1577" spans="1:17" x14ac:dyDescent="0.3">
      <c r="A1577" t="s">
        <v>73</v>
      </c>
      <c r="B1577" t="str">
        <f>"300048"</f>
        <v>300048</v>
      </c>
      <c r="C1577" t="s">
        <v>3442</v>
      </c>
      <c r="D1577" t="s">
        <v>626</v>
      </c>
      <c r="E1577">
        <v>695172628</v>
      </c>
      <c r="F1577">
        <v>693998265</v>
      </c>
      <c r="G1577">
        <v>783155034</v>
      </c>
      <c r="H1577">
        <v>906355937</v>
      </c>
      <c r="I1577">
        <v>1087774987</v>
      </c>
      <c r="J1577">
        <v>936050534</v>
      </c>
      <c r="K1577">
        <v>880508276</v>
      </c>
      <c r="L1577">
        <v>726826283</v>
      </c>
      <c r="M1577">
        <v>684198985</v>
      </c>
      <c r="N1577">
        <v>580929008</v>
      </c>
      <c r="O1577">
        <v>398511888</v>
      </c>
      <c r="P1577">
        <v>119</v>
      </c>
      <c r="Q1577" t="s">
        <v>3443</v>
      </c>
    </row>
    <row r="1578" spans="1:17" x14ac:dyDescent="0.3">
      <c r="A1578" t="s">
        <v>17</v>
      </c>
      <c r="B1578" t="str">
        <f>"603026"</f>
        <v>603026</v>
      </c>
      <c r="C1578" t="s">
        <v>3444</v>
      </c>
      <c r="D1578" t="s">
        <v>561</v>
      </c>
      <c r="E1578">
        <v>694764487</v>
      </c>
      <c r="F1578">
        <v>549080621</v>
      </c>
      <c r="G1578">
        <v>230467363</v>
      </c>
      <c r="H1578">
        <v>372256724</v>
      </c>
      <c r="I1578">
        <v>236029111</v>
      </c>
      <c r="J1578">
        <v>160761707</v>
      </c>
      <c r="K1578">
        <v>115097125</v>
      </c>
      <c r="L1578">
        <v>137772678</v>
      </c>
      <c r="P1578">
        <v>420</v>
      </c>
      <c r="Q1578" t="s">
        <v>3445</v>
      </c>
    </row>
    <row r="1579" spans="1:17" x14ac:dyDescent="0.3">
      <c r="A1579" t="s">
        <v>17</v>
      </c>
      <c r="B1579" t="str">
        <f>"603113"</f>
        <v>603113</v>
      </c>
      <c r="C1579" t="s">
        <v>3446</v>
      </c>
      <c r="D1579" t="s">
        <v>1651</v>
      </c>
      <c r="E1579">
        <v>694192455</v>
      </c>
      <c r="F1579">
        <v>468301518</v>
      </c>
      <c r="G1579">
        <v>425814666</v>
      </c>
      <c r="H1579">
        <v>422775082</v>
      </c>
      <c r="I1579">
        <v>498377157</v>
      </c>
      <c r="J1579">
        <v>432076913</v>
      </c>
      <c r="P1579">
        <v>302</v>
      </c>
      <c r="Q1579" t="s">
        <v>3447</v>
      </c>
    </row>
    <row r="1580" spans="1:17" x14ac:dyDescent="0.3">
      <c r="A1580" t="s">
        <v>73</v>
      </c>
      <c r="B1580" t="str">
        <f>"300019"</f>
        <v>300019</v>
      </c>
      <c r="C1580" t="s">
        <v>3448</v>
      </c>
      <c r="D1580" t="s">
        <v>1309</v>
      </c>
      <c r="E1580">
        <v>693976237</v>
      </c>
      <c r="F1580">
        <v>336692844</v>
      </c>
      <c r="G1580">
        <v>199161994</v>
      </c>
      <c r="H1580">
        <v>222978642</v>
      </c>
      <c r="I1580">
        <v>154414843</v>
      </c>
      <c r="J1580">
        <v>148976649</v>
      </c>
      <c r="K1580">
        <v>147440198</v>
      </c>
      <c r="L1580">
        <v>139254288</v>
      </c>
      <c r="M1580">
        <v>90763454</v>
      </c>
      <c r="N1580">
        <v>86696619</v>
      </c>
      <c r="O1580">
        <v>62021096</v>
      </c>
      <c r="P1580">
        <v>295</v>
      </c>
      <c r="Q1580" t="s">
        <v>3449</v>
      </c>
    </row>
    <row r="1581" spans="1:17" x14ac:dyDescent="0.3">
      <c r="A1581" t="s">
        <v>17</v>
      </c>
      <c r="B1581" t="str">
        <f>"603456"</f>
        <v>603456</v>
      </c>
      <c r="C1581" t="s">
        <v>3450</v>
      </c>
      <c r="D1581" t="s">
        <v>459</v>
      </c>
      <c r="E1581">
        <v>692378554</v>
      </c>
      <c r="F1581">
        <v>709399360</v>
      </c>
      <c r="G1581">
        <v>387184339</v>
      </c>
      <c r="H1581">
        <v>367565744</v>
      </c>
      <c r="I1581">
        <v>397975867</v>
      </c>
      <c r="J1581">
        <v>283696628</v>
      </c>
      <c r="K1581">
        <v>207198912</v>
      </c>
      <c r="L1581">
        <v>189255443</v>
      </c>
      <c r="M1581">
        <v>0</v>
      </c>
      <c r="P1581">
        <v>453</v>
      </c>
      <c r="Q1581" t="s">
        <v>3451</v>
      </c>
    </row>
    <row r="1582" spans="1:17" x14ac:dyDescent="0.3">
      <c r="A1582" t="s">
        <v>17</v>
      </c>
      <c r="B1582" t="str">
        <f>"601698"</f>
        <v>601698</v>
      </c>
      <c r="C1582" t="s">
        <v>3452</v>
      </c>
      <c r="D1582" t="s">
        <v>433</v>
      </c>
      <c r="E1582">
        <v>691867468</v>
      </c>
      <c r="F1582">
        <v>632022893</v>
      </c>
      <c r="G1582">
        <v>557567682</v>
      </c>
      <c r="H1582">
        <v>0</v>
      </c>
      <c r="P1582">
        <v>316</v>
      </c>
      <c r="Q1582" t="s">
        <v>3453</v>
      </c>
    </row>
    <row r="1583" spans="1:17" x14ac:dyDescent="0.3">
      <c r="A1583" t="s">
        <v>73</v>
      </c>
      <c r="B1583" t="str">
        <f>"300134"</f>
        <v>300134</v>
      </c>
      <c r="C1583" t="s">
        <v>3454</v>
      </c>
      <c r="D1583" t="s">
        <v>189</v>
      </c>
      <c r="E1583">
        <v>690610723</v>
      </c>
      <c r="F1583">
        <v>673606909</v>
      </c>
      <c r="G1583">
        <v>676063805</v>
      </c>
      <c r="H1583">
        <v>589074974</v>
      </c>
      <c r="I1583">
        <v>583839743</v>
      </c>
      <c r="J1583">
        <v>686819804</v>
      </c>
      <c r="K1583">
        <v>628506875</v>
      </c>
      <c r="L1583">
        <v>533345961</v>
      </c>
      <c r="M1583">
        <v>723140994</v>
      </c>
      <c r="N1583">
        <v>440351451</v>
      </c>
      <c r="O1583">
        <v>269425377</v>
      </c>
      <c r="P1583">
        <v>342</v>
      </c>
      <c r="Q1583" t="s">
        <v>3455</v>
      </c>
    </row>
    <row r="1584" spans="1:17" x14ac:dyDescent="0.3">
      <c r="A1584" t="s">
        <v>73</v>
      </c>
      <c r="B1584" t="str">
        <f>"300337"</f>
        <v>300337</v>
      </c>
      <c r="C1584" t="s">
        <v>3456</v>
      </c>
      <c r="D1584" t="s">
        <v>616</v>
      </c>
      <c r="E1584">
        <v>690603305</v>
      </c>
      <c r="F1584">
        <v>772736752</v>
      </c>
      <c r="G1584">
        <v>519647840</v>
      </c>
      <c r="H1584">
        <v>411108514</v>
      </c>
      <c r="I1584">
        <v>386637811</v>
      </c>
      <c r="J1584">
        <v>398615874</v>
      </c>
      <c r="K1584">
        <v>343159610</v>
      </c>
      <c r="L1584">
        <v>387212415</v>
      </c>
      <c r="M1584">
        <v>371054621</v>
      </c>
      <c r="N1584">
        <v>447505479</v>
      </c>
      <c r="O1584">
        <v>0</v>
      </c>
      <c r="P1584">
        <v>142</v>
      </c>
      <c r="Q1584" t="s">
        <v>3457</v>
      </c>
    </row>
    <row r="1585" spans="1:17" x14ac:dyDescent="0.3">
      <c r="A1585" t="s">
        <v>73</v>
      </c>
      <c r="B1585" t="str">
        <f>"300102"</f>
        <v>300102</v>
      </c>
      <c r="C1585" t="s">
        <v>3458</v>
      </c>
      <c r="D1585" t="s">
        <v>737</v>
      </c>
      <c r="E1585">
        <v>690020443</v>
      </c>
      <c r="F1585">
        <v>851226279</v>
      </c>
      <c r="G1585">
        <v>698579771</v>
      </c>
      <c r="H1585">
        <v>559372845</v>
      </c>
      <c r="I1585">
        <v>531466202</v>
      </c>
      <c r="J1585">
        <v>619358565</v>
      </c>
      <c r="K1585">
        <v>401203524</v>
      </c>
      <c r="L1585">
        <v>295047789</v>
      </c>
      <c r="M1585">
        <v>356585722</v>
      </c>
      <c r="N1585">
        <v>332347950</v>
      </c>
      <c r="O1585">
        <v>261253306</v>
      </c>
      <c r="P1585">
        <v>158</v>
      </c>
      <c r="Q1585" t="s">
        <v>3459</v>
      </c>
    </row>
    <row r="1586" spans="1:17" x14ac:dyDescent="0.3">
      <c r="A1586" t="s">
        <v>17</v>
      </c>
      <c r="B1586" t="str">
        <f>"600125"</f>
        <v>600125</v>
      </c>
      <c r="C1586" t="s">
        <v>3460</v>
      </c>
      <c r="D1586" t="s">
        <v>524</v>
      </c>
      <c r="E1586">
        <v>689157500</v>
      </c>
      <c r="F1586">
        <v>685943436</v>
      </c>
      <c r="G1586">
        <v>285538386</v>
      </c>
      <c r="H1586">
        <v>292384441</v>
      </c>
      <c r="I1586">
        <v>170870186</v>
      </c>
      <c r="J1586">
        <v>114927199</v>
      </c>
      <c r="K1586">
        <v>98630576</v>
      </c>
      <c r="L1586">
        <v>110672592</v>
      </c>
      <c r="M1586">
        <v>242621495</v>
      </c>
      <c r="N1586">
        <v>86580494</v>
      </c>
      <c r="O1586">
        <v>79598576</v>
      </c>
      <c r="P1586">
        <v>203</v>
      </c>
      <c r="Q1586" t="s">
        <v>3461</v>
      </c>
    </row>
    <row r="1587" spans="1:17" x14ac:dyDescent="0.3">
      <c r="A1587" t="s">
        <v>73</v>
      </c>
      <c r="B1587" t="str">
        <f>"003037"</f>
        <v>003037</v>
      </c>
      <c r="C1587" t="s">
        <v>3462</v>
      </c>
      <c r="D1587" t="s">
        <v>1836</v>
      </c>
      <c r="E1587">
        <v>687216130</v>
      </c>
      <c r="F1587">
        <v>520798304</v>
      </c>
      <c r="P1587">
        <v>40</v>
      </c>
      <c r="Q1587" t="s">
        <v>3463</v>
      </c>
    </row>
    <row r="1588" spans="1:17" x14ac:dyDescent="0.3">
      <c r="A1588" t="s">
        <v>17</v>
      </c>
      <c r="B1588" t="str">
        <f>"688383"</f>
        <v>688383</v>
      </c>
      <c r="C1588" t="s">
        <v>3464</v>
      </c>
      <c r="D1588" t="s">
        <v>1451</v>
      </c>
      <c r="E1588">
        <v>687125505</v>
      </c>
      <c r="F1588">
        <v>408085078</v>
      </c>
      <c r="P1588">
        <v>49</v>
      </c>
      <c r="Q1588" t="s">
        <v>3465</v>
      </c>
    </row>
    <row r="1589" spans="1:17" x14ac:dyDescent="0.3">
      <c r="A1589" t="s">
        <v>73</v>
      </c>
      <c r="B1589" t="str">
        <f>"003001"</f>
        <v>003001</v>
      </c>
      <c r="C1589" t="s">
        <v>3466</v>
      </c>
      <c r="D1589" t="s">
        <v>39</v>
      </c>
      <c r="E1589">
        <v>686693509</v>
      </c>
      <c r="F1589">
        <v>504255144</v>
      </c>
      <c r="P1589">
        <v>95</v>
      </c>
      <c r="Q1589" t="s">
        <v>3467</v>
      </c>
    </row>
    <row r="1590" spans="1:17" x14ac:dyDescent="0.3">
      <c r="A1590" t="s">
        <v>73</v>
      </c>
      <c r="B1590" t="str">
        <f>"300161"</f>
        <v>300161</v>
      </c>
      <c r="C1590" t="s">
        <v>3468</v>
      </c>
      <c r="D1590" t="s">
        <v>2332</v>
      </c>
      <c r="E1590">
        <v>686677993</v>
      </c>
      <c r="F1590">
        <v>651136176</v>
      </c>
      <c r="G1590">
        <v>610860278</v>
      </c>
      <c r="H1590">
        <v>537564219</v>
      </c>
      <c r="I1590">
        <v>556879407</v>
      </c>
      <c r="J1590">
        <v>571922573</v>
      </c>
      <c r="K1590">
        <v>382527906</v>
      </c>
      <c r="L1590">
        <v>302414641</v>
      </c>
      <c r="M1590">
        <v>270125857</v>
      </c>
      <c r="N1590">
        <v>251012415</v>
      </c>
      <c r="O1590">
        <v>189217830</v>
      </c>
      <c r="P1590">
        <v>159</v>
      </c>
      <c r="Q1590" t="s">
        <v>3469</v>
      </c>
    </row>
    <row r="1591" spans="1:17" x14ac:dyDescent="0.3">
      <c r="A1591" t="s">
        <v>17</v>
      </c>
      <c r="B1591" t="str">
        <f>"601015"</f>
        <v>601015</v>
      </c>
      <c r="C1591" t="s">
        <v>3470</v>
      </c>
      <c r="D1591" t="s">
        <v>1651</v>
      </c>
      <c r="E1591">
        <v>685233613</v>
      </c>
      <c r="F1591">
        <v>402625086</v>
      </c>
      <c r="G1591">
        <v>346475141</v>
      </c>
      <c r="H1591">
        <v>440288213</v>
      </c>
      <c r="I1591">
        <v>333433582</v>
      </c>
      <c r="J1591">
        <v>786895596</v>
      </c>
      <c r="K1591">
        <v>1042382419</v>
      </c>
      <c r="L1591">
        <v>547133188</v>
      </c>
      <c r="M1591">
        <v>0</v>
      </c>
      <c r="P1591">
        <v>212</v>
      </c>
      <c r="Q1591" t="s">
        <v>3471</v>
      </c>
    </row>
    <row r="1592" spans="1:17" x14ac:dyDescent="0.3">
      <c r="A1592" t="s">
        <v>73</v>
      </c>
      <c r="B1592" t="str">
        <f>"300331"</f>
        <v>300331</v>
      </c>
      <c r="C1592" t="s">
        <v>3472</v>
      </c>
      <c r="D1592" t="s">
        <v>97</v>
      </c>
      <c r="E1592">
        <v>685119889</v>
      </c>
      <c r="F1592">
        <v>684343344</v>
      </c>
      <c r="G1592">
        <v>594870988</v>
      </c>
      <c r="H1592">
        <v>484527306</v>
      </c>
      <c r="I1592">
        <v>434783467</v>
      </c>
      <c r="J1592">
        <v>332916416</v>
      </c>
      <c r="K1592">
        <v>173870684</v>
      </c>
      <c r="L1592">
        <v>161110170</v>
      </c>
      <c r="M1592">
        <v>141229203</v>
      </c>
      <c r="N1592">
        <v>108565490</v>
      </c>
      <c r="O1592">
        <v>81625004</v>
      </c>
      <c r="P1592">
        <v>164</v>
      </c>
      <c r="Q1592" t="s">
        <v>3473</v>
      </c>
    </row>
    <row r="1593" spans="1:17" x14ac:dyDescent="0.3">
      <c r="A1593" t="s">
        <v>17</v>
      </c>
      <c r="B1593" t="str">
        <f>"688399"</f>
        <v>688399</v>
      </c>
      <c r="C1593" t="s">
        <v>3474</v>
      </c>
      <c r="D1593" t="s">
        <v>773</v>
      </c>
      <c r="E1593">
        <v>685085075</v>
      </c>
      <c r="F1593">
        <v>320314048</v>
      </c>
      <c r="G1593">
        <v>68076102</v>
      </c>
      <c r="P1593">
        <v>373</v>
      </c>
      <c r="Q1593" t="s">
        <v>3475</v>
      </c>
    </row>
    <row r="1594" spans="1:17" x14ac:dyDescent="0.3">
      <c r="A1594" t="s">
        <v>17</v>
      </c>
      <c r="B1594" t="str">
        <f>"688186"</f>
        <v>688186</v>
      </c>
      <c r="C1594" t="s">
        <v>3476</v>
      </c>
      <c r="D1594" t="s">
        <v>928</v>
      </c>
      <c r="E1594">
        <v>684974714</v>
      </c>
      <c r="F1594">
        <v>466859658</v>
      </c>
      <c r="G1594">
        <v>278593689</v>
      </c>
      <c r="P1594">
        <v>110</v>
      </c>
      <c r="Q1594" t="s">
        <v>3477</v>
      </c>
    </row>
    <row r="1595" spans="1:17" x14ac:dyDescent="0.3">
      <c r="A1595" t="s">
        <v>17</v>
      </c>
      <c r="B1595" t="str">
        <f>"688151"</f>
        <v>688151</v>
      </c>
      <c r="C1595" t="s">
        <v>3478</v>
      </c>
      <c r="D1595" t="s">
        <v>1743</v>
      </c>
      <c r="E1595">
        <v>683905346</v>
      </c>
      <c r="P1595">
        <v>13</v>
      </c>
      <c r="Q1595" t="s">
        <v>3479</v>
      </c>
    </row>
    <row r="1596" spans="1:17" x14ac:dyDescent="0.3">
      <c r="A1596" t="s">
        <v>17</v>
      </c>
      <c r="B1596" t="str">
        <f>"603260"</f>
        <v>603260</v>
      </c>
      <c r="C1596" t="s">
        <v>3480</v>
      </c>
      <c r="D1596" t="s">
        <v>1674</v>
      </c>
      <c r="E1596">
        <v>683723044</v>
      </c>
      <c r="F1596">
        <v>537868852</v>
      </c>
      <c r="G1596">
        <v>460478408</v>
      </c>
      <c r="H1596">
        <v>470960870</v>
      </c>
      <c r="I1596">
        <v>396282559</v>
      </c>
      <c r="J1596">
        <v>300854740</v>
      </c>
      <c r="P1596">
        <v>700</v>
      </c>
      <c r="Q1596" t="s">
        <v>3481</v>
      </c>
    </row>
    <row r="1597" spans="1:17" x14ac:dyDescent="0.3">
      <c r="A1597" t="s">
        <v>73</v>
      </c>
      <c r="B1597" t="str">
        <f>"002334"</f>
        <v>002334</v>
      </c>
      <c r="C1597" t="s">
        <v>3482</v>
      </c>
      <c r="D1597" t="s">
        <v>626</v>
      </c>
      <c r="E1597">
        <v>683060330</v>
      </c>
      <c r="F1597">
        <v>560613435</v>
      </c>
      <c r="G1597">
        <v>589134641</v>
      </c>
      <c r="H1597">
        <v>870364274</v>
      </c>
      <c r="I1597">
        <v>900011512</v>
      </c>
      <c r="J1597">
        <v>452125089</v>
      </c>
      <c r="K1597">
        <v>377748726</v>
      </c>
      <c r="L1597">
        <v>246425926</v>
      </c>
      <c r="M1597">
        <v>212948399</v>
      </c>
      <c r="N1597">
        <v>155051742</v>
      </c>
      <c r="O1597">
        <v>126848054</v>
      </c>
      <c r="P1597">
        <v>222</v>
      </c>
      <c r="Q1597" t="s">
        <v>3483</v>
      </c>
    </row>
    <row r="1598" spans="1:17" x14ac:dyDescent="0.3">
      <c r="A1598" t="s">
        <v>17</v>
      </c>
      <c r="B1598" t="str">
        <f>"600288"</f>
        <v>600288</v>
      </c>
      <c r="C1598" t="s">
        <v>3484</v>
      </c>
      <c r="D1598" t="s">
        <v>651</v>
      </c>
      <c r="E1598">
        <v>682565888</v>
      </c>
      <c r="F1598">
        <v>668826360</v>
      </c>
      <c r="G1598">
        <v>684776047</v>
      </c>
      <c r="H1598">
        <v>736472516</v>
      </c>
      <c r="I1598">
        <v>569155427</v>
      </c>
      <c r="J1598">
        <v>502184932</v>
      </c>
      <c r="K1598">
        <v>541385981</v>
      </c>
      <c r="L1598">
        <v>473334082</v>
      </c>
      <c r="M1598">
        <v>450360267</v>
      </c>
      <c r="N1598">
        <v>354846270</v>
      </c>
      <c r="O1598">
        <v>353247137</v>
      </c>
      <c r="P1598">
        <v>95</v>
      </c>
      <c r="Q1598" t="s">
        <v>3485</v>
      </c>
    </row>
    <row r="1599" spans="1:17" x14ac:dyDescent="0.3">
      <c r="A1599" t="s">
        <v>17</v>
      </c>
      <c r="B1599" t="str">
        <f>"601233"</f>
        <v>601233</v>
      </c>
      <c r="C1599" t="s">
        <v>3486</v>
      </c>
      <c r="D1599" t="s">
        <v>998</v>
      </c>
      <c r="E1599">
        <v>681168564</v>
      </c>
      <c r="F1599">
        <v>325482015</v>
      </c>
      <c r="G1599">
        <v>361112365</v>
      </c>
      <c r="H1599">
        <v>447372080</v>
      </c>
      <c r="I1599">
        <v>243108141</v>
      </c>
      <c r="J1599">
        <v>500519329</v>
      </c>
      <c r="K1599">
        <v>330120062</v>
      </c>
      <c r="L1599">
        <v>120246274</v>
      </c>
      <c r="M1599">
        <v>122298874</v>
      </c>
      <c r="N1599">
        <v>53608376</v>
      </c>
      <c r="O1599">
        <v>134938654</v>
      </c>
      <c r="P1599">
        <v>807</v>
      </c>
      <c r="Q1599" t="s">
        <v>3487</v>
      </c>
    </row>
    <row r="1600" spans="1:17" x14ac:dyDescent="0.3">
      <c r="A1600" t="s">
        <v>17</v>
      </c>
      <c r="B1600" t="str">
        <f>"603661"</f>
        <v>603661</v>
      </c>
      <c r="C1600" t="s">
        <v>3488</v>
      </c>
      <c r="D1600" t="s">
        <v>1111</v>
      </c>
      <c r="E1600">
        <v>680529322</v>
      </c>
      <c r="F1600">
        <v>548757332</v>
      </c>
      <c r="G1600">
        <v>444057591</v>
      </c>
      <c r="H1600">
        <v>385341315</v>
      </c>
      <c r="I1600">
        <v>286079972</v>
      </c>
      <c r="P1600">
        <v>148</v>
      </c>
      <c r="Q1600" t="s">
        <v>3489</v>
      </c>
    </row>
    <row r="1601" spans="1:17" x14ac:dyDescent="0.3">
      <c r="A1601" t="s">
        <v>73</v>
      </c>
      <c r="B1601" t="str">
        <f>"002611"</f>
        <v>002611</v>
      </c>
      <c r="C1601" t="s">
        <v>3490</v>
      </c>
      <c r="D1601" t="s">
        <v>2099</v>
      </c>
      <c r="E1601">
        <v>678271472</v>
      </c>
      <c r="F1601">
        <v>479522268</v>
      </c>
      <c r="G1601">
        <v>673374745</v>
      </c>
      <c r="H1601">
        <v>1391763682</v>
      </c>
      <c r="I1601">
        <v>1555027907</v>
      </c>
      <c r="J1601">
        <v>218043606</v>
      </c>
      <c r="K1601">
        <v>236381921</v>
      </c>
      <c r="L1601">
        <v>176727037</v>
      </c>
      <c r="M1601">
        <v>329091350</v>
      </c>
      <c r="N1601">
        <v>42044768</v>
      </c>
      <c r="O1601">
        <v>44875854</v>
      </c>
      <c r="P1601">
        <v>208</v>
      </c>
      <c r="Q1601" t="s">
        <v>3491</v>
      </c>
    </row>
    <row r="1602" spans="1:17" x14ac:dyDescent="0.3">
      <c r="A1602" t="s">
        <v>73</v>
      </c>
      <c r="B1602" t="str">
        <f>"002267"</f>
        <v>002267</v>
      </c>
      <c r="C1602" t="s">
        <v>3492</v>
      </c>
      <c r="D1602" t="s">
        <v>469</v>
      </c>
      <c r="E1602">
        <v>678016313</v>
      </c>
      <c r="F1602">
        <v>640640272</v>
      </c>
      <c r="G1602">
        <v>343710482</v>
      </c>
      <c r="H1602">
        <v>348335955</v>
      </c>
      <c r="I1602">
        <v>760671191</v>
      </c>
      <c r="J1602">
        <v>845541796</v>
      </c>
      <c r="K1602">
        <v>642252909</v>
      </c>
      <c r="L1602">
        <v>487056845</v>
      </c>
      <c r="M1602">
        <v>228542207</v>
      </c>
      <c r="N1602">
        <v>186419468</v>
      </c>
      <c r="O1602">
        <v>278038993</v>
      </c>
      <c r="P1602">
        <v>202</v>
      </c>
      <c r="Q1602" t="s">
        <v>3493</v>
      </c>
    </row>
    <row r="1603" spans="1:17" x14ac:dyDescent="0.3">
      <c r="A1603" t="s">
        <v>73</v>
      </c>
      <c r="B1603" t="str">
        <f>"300455"</f>
        <v>300455</v>
      </c>
      <c r="C1603" t="s">
        <v>3494</v>
      </c>
      <c r="D1603" t="s">
        <v>158</v>
      </c>
      <c r="E1603">
        <v>677924320</v>
      </c>
      <c r="F1603">
        <v>510669313</v>
      </c>
      <c r="G1603">
        <v>534345137</v>
      </c>
      <c r="H1603">
        <v>309524635</v>
      </c>
      <c r="I1603">
        <v>234193580</v>
      </c>
      <c r="J1603">
        <v>263622513</v>
      </c>
      <c r="K1603">
        <v>217090830</v>
      </c>
      <c r="L1603">
        <v>0</v>
      </c>
      <c r="P1603">
        <v>137</v>
      </c>
      <c r="Q1603" t="s">
        <v>3495</v>
      </c>
    </row>
    <row r="1604" spans="1:17" x14ac:dyDescent="0.3">
      <c r="A1604" t="s">
        <v>73</v>
      </c>
      <c r="B1604" t="str">
        <f>"300253"</f>
        <v>300253</v>
      </c>
      <c r="C1604" t="s">
        <v>3496</v>
      </c>
      <c r="D1604" t="s">
        <v>795</v>
      </c>
      <c r="E1604">
        <v>677597062</v>
      </c>
      <c r="F1604">
        <v>592145527</v>
      </c>
      <c r="G1604">
        <v>555596712</v>
      </c>
      <c r="H1604">
        <v>1252868368</v>
      </c>
      <c r="I1604">
        <v>1015981607</v>
      </c>
      <c r="J1604">
        <v>804386851</v>
      </c>
      <c r="K1604">
        <v>600282832</v>
      </c>
      <c r="L1604">
        <v>384360291</v>
      </c>
      <c r="M1604">
        <v>187773154</v>
      </c>
      <c r="N1604">
        <v>118638193</v>
      </c>
      <c r="O1604">
        <v>80153653</v>
      </c>
      <c r="P1604">
        <v>935</v>
      </c>
      <c r="Q1604" t="s">
        <v>3497</v>
      </c>
    </row>
    <row r="1605" spans="1:17" x14ac:dyDescent="0.3">
      <c r="A1605" t="s">
        <v>73</v>
      </c>
      <c r="B1605" t="str">
        <f>"002054"</f>
        <v>002054</v>
      </c>
      <c r="C1605" t="s">
        <v>3498</v>
      </c>
      <c r="D1605" t="s">
        <v>1001</v>
      </c>
      <c r="E1605">
        <v>677471651</v>
      </c>
      <c r="F1605">
        <v>572760251</v>
      </c>
      <c r="G1605">
        <v>478522570</v>
      </c>
      <c r="H1605">
        <v>479731146</v>
      </c>
      <c r="I1605">
        <v>437836996</v>
      </c>
      <c r="J1605">
        <v>452942780</v>
      </c>
      <c r="K1605">
        <v>467519310</v>
      </c>
      <c r="L1605">
        <v>346009660</v>
      </c>
      <c r="M1605">
        <v>342628792</v>
      </c>
      <c r="N1605">
        <v>333018584</v>
      </c>
      <c r="O1605">
        <v>307166261</v>
      </c>
      <c r="P1605">
        <v>110</v>
      </c>
      <c r="Q1605" t="s">
        <v>3499</v>
      </c>
    </row>
    <row r="1606" spans="1:17" x14ac:dyDescent="0.3">
      <c r="A1606" t="s">
        <v>73</v>
      </c>
      <c r="B1606" t="str">
        <f>"002079"</f>
        <v>002079</v>
      </c>
      <c r="C1606" t="s">
        <v>3500</v>
      </c>
      <c r="D1606" t="s">
        <v>1479</v>
      </c>
      <c r="E1606">
        <v>676319096</v>
      </c>
      <c r="F1606">
        <v>485763461</v>
      </c>
      <c r="G1606">
        <v>409636176</v>
      </c>
      <c r="H1606">
        <v>375294357</v>
      </c>
      <c r="I1606">
        <v>353435032</v>
      </c>
      <c r="J1606">
        <v>270788586</v>
      </c>
      <c r="K1606">
        <v>204905745</v>
      </c>
      <c r="L1606">
        <v>148806277</v>
      </c>
      <c r="M1606">
        <v>141768707</v>
      </c>
      <c r="N1606">
        <v>128750240</v>
      </c>
      <c r="O1606">
        <v>122150715</v>
      </c>
      <c r="P1606">
        <v>372</v>
      </c>
      <c r="Q1606" t="s">
        <v>3501</v>
      </c>
    </row>
    <row r="1607" spans="1:17" x14ac:dyDescent="0.3">
      <c r="A1607" t="s">
        <v>17</v>
      </c>
      <c r="B1607" t="str">
        <f>"603158"</f>
        <v>603158</v>
      </c>
      <c r="C1607" t="s">
        <v>3502</v>
      </c>
      <c r="D1607" t="s">
        <v>122</v>
      </c>
      <c r="E1607">
        <v>676289475</v>
      </c>
      <c r="F1607">
        <v>568925208</v>
      </c>
      <c r="G1607">
        <v>414434234</v>
      </c>
      <c r="H1607">
        <v>257445663</v>
      </c>
      <c r="I1607">
        <v>252595840</v>
      </c>
      <c r="J1607">
        <v>220628465</v>
      </c>
      <c r="K1607">
        <v>129257634</v>
      </c>
      <c r="L1607">
        <v>149412964</v>
      </c>
      <c r="M1607">
        <v>0</v>
      </c>
      <c r="P1607">
        <v>145</v>
      </c>
      <c r="Q1607" t="s">
        <v>3503</v>
      </c>
    </row>
    <row r="1608" spans="1:17" x14ac:dyDescent="0.3">
      <c r="A1608" t="s">
        <v>17</v>
      </c>
      <c r="B1608" t="str">
        <f>"600817"</f>
        <v>600817</v>
      </c>
      <c r="C1608" t="s">
        <v>3504</v>
      </c>
      <c r="D1608" t="s">
        <v>75</v>
      </c>
      <c r="E1608">
        <v>676121619</v>
      </c>
      <c r="F1608">
        <v>476445311</v>
      </c>
      <c r="G1608">
        <v>7326683</v>
      </c>
      <c r="H1608">
        <v>27476118</v>
      </c>
      <c r="I1608">
        <v>148800</v>
      </c>
      <c r="J1608">
        <v>0</v>
      </c>
      <c r="K1608">
        <v>0</v>
      </c>
      <c r="L1608">
        <v>0</v>
      </c>
      <c r="M1608">
        <v>522958</v>
      </c>
      <c r="N1608">
        <v>4135934</v>
      </c>
      <c r="O1608">
        <v>1666274</v>
      </c>
      <c r="P1608">
        <v>102</v>
      </c>
      <c r="Q1608" t="s">
        <v>3505</v>
      </c>
    </row>
    <row r="1609" spans="1:17" x14ac:dyDescent="0.3">
      <c r="A1609" t="s">
        <v>17</v>
      </c>
      <c r="B1609" t="str">
        <f>"688339"</f>
        <v>688339</v>
      </c>
      <c r="C1609" t="s">
        <v>3506</v>
      </c>
      <c r="D1609" t="s">
        <v>3507</v>
      </c>
      <c r="E1609">
        <v>675988276</v>
      </c>
      <c r="F1609">
        <v>822832972</v>
      </c>
      <c r="G1609">
        <v>0</v>
      </c>
      <c r="H1609">
        <v>386872462</v>
      </c>
      <c r="P1609">
        <v>153</v>
      </c>
      <c r="Q1609" t="s">
        <v>3508</v>
      </c>
    </row>
    <row r="1610" spans="1:17" x14ac:dyDescent="0.3">
      <c r="A1610" t="s">
        <v>73</v>
      </c>
      <c r="B1610" t="str">
        <f>"300517"</f>
        <v>300517</v>
      </c>
      <c r="C1610" t="s">
        <v>3509</v>
      </c>
      <c r="D1610" t="s">
        <v>711</v>
      </c>
      <c r="E1610">
        <v>675817511</v>
      </c>
      <c r="F1610">
        <v>629731658</v>
      </c>
      <c r="G1610">
        <v>339345099</v>
      </c>
      <c r="H1610">
        <v>352083914</v>
      </c>
      <c r="I1610">
        <v>284075682</v>
      </c>
      <c r="J1610">
        <v>237186848</v>
      </c>
      <c r="K1610">
        <v>324001221</v>
      </c>
      <c r="L1610">
        <v>0</v>
      </c>
      <c r="P1610">
        <v>76</v>
      </c>
      <c r="Q1610" t="s">
        <v>3510</v>
      </c>
    </row>
    <row r="1611" spans="1:17" x14ac:dyDescent="0.3">
      <c r="A1611" t="s">
        <v>17</v>
      </c>
      <c r="B1611" t="str">
        <f>"600436"</f>
        <v>600436</v>
      </c>
      <c r="C1611" t="s">
        <v>3511</v>
      </c>
      <c r="D1611" t="s">
        <v>215</v>
      </c>
      <c r="E1611">
        <v>675580099</v>
      </c>
      <c r="F1611">
        <v>593041950</v>
      </c>
      <c r="G1611">
        <v>558630452</v>
      </c>
      <c r="H1611">
        <v>552690709</v>
      </c>
      <c r="I1611">
        <v>481272530</v>
      </c>
      <c r="J1611">
        <v>374340409</v>
      </c>
      <c r="K1611">
        <v>293162510</v>
      </c>
      <c r="L1611">
        <v>188977308</v>
      </c>
      <c r="M1611">
        <v>212647839</v>
      </c>
      <c r="N1611">
        <v>181412585</v>
      </c>
      <c r="O1611">
        <v>150217091</v>
      </c>
      <c r="P1611">
        <v>64361</v>
      </c>
      <c r="Q1611" t="s">
        <v>3512</v>
      </c>
    </row>
    <row r="1612" spans="1:17" x14ac:dyDescent="0.3">
      <c r="A1612" t="s">
        <v>73</v>
      </c>
      <c r="B1612" t="str">
        <f>"300510"</f>
        <v>300510</v>
      </c>
      <c r="C1612" t="s">
        <v>3513</v>
      </c>
      <c r="D1612" t="s">
        <v>161</v>
      </c>
      <c r="E1612">
        <v>675394268</v>
      </c>
      <c r="F1612">
        <v>491297930</v>
      </c>
      <c r="G1612">
        <v>722303014</v>
      </c>
      <c r="H1612">
        <v>784485799</v>
      </c>
      <c r="I1612">
        <v>688666366</v>
      </c>
      <c r="J1612">
        <v>222596679</v>
      </c>
      <c r="K1612">
        <v>151742507</v>
      </c>
      <c r="L1612">
        <v>0</v>
      </c>
      <c r="P1612">
        <v>115</v>
      </c>
      <c r="Q1612" t="s">
        <v>3514</v>
      </c>
    </row>
    <row r="1613" spans="1:17" x14ac:dyDescent="0.3">
      <c r="A1613" t="s">
        <v>17</v>
      </c>
      <c r="B1613" t="str">
        <f>"688326"</f>
        <v>688326</v>
      </c>
      <c r="C1613" t="s">
        <v>3515</v>
      </c>
      <c r="E1613">
        <v>675344367</v>
      </c>
      <c r="P1613">
        <v>3</v>
      </c>
      <c r="Q1613" t="s">
        <v>3516</v>
      </c>
    </row>
    <row r="1614" spans="1:17" x14ac:dyDescent="0.3">
      <c r="A1614" t="s">
        <v>17</v>
      </c>
      <c r="B1614" t="str">
        <f>"603301"</f>
        <v>603301</v>
      </c>
      <c r="C1614" t="s">
        <v>3517</v>
      </c>
      <c r="D1614" t="s">
        <v>1523</v>
      </c>
      <c r="E1614">
        <v>674940937</v>
      </c>
      <c r="F1614">
        <v>659817933</v>
      </c>
      <c r="G1614">
        <v>338523409</v>
      </c>
      <c r="H1614">
        <v>270573128</v>
      </c>
      <c r="I1614">
        <v>191127108</v>
      </c>
      <c r="P1614">
        <v>1533</v>
      </c>
      <c r="Q1614" t="s">
        <v>3518</v>
      </c>
    </row>
    <row r="1615" spans="1:17" x14ac:dyDescent="0.3">
      <c r="A1615" t="s">
        <v>73</v>
      </c>
      <c r="B1615" t="str">
        <f>"002965"</f>
        <v>002965</v>
      </c>
      <c r="C1615" t="s">
        <v>3519</v>
      </c>
      <c r="D1615" t="s">
        <v>146</v>
      </c>
      <c r="E1615">
        <v>674858410</v>
      </c>
      <c r="F1615">
        <v>450446290</v>
      </c>
      <c r="G1615">
        <v>357350248</v>
      </c>
      <c r="P1615">
        <v>400</v>
      </c>
      <c r="Q1615" t="s">
        <v>3520</v>
      </c>
    </row>
    <row r="1616" spans="1:17" x14ac:dyDescent="0.3">
      <c r="A1616" t="s">
        <v>73</v>
      </c>
      <c r="B1616" t="str">
        <f>"300273"</f>
        <v>300273</v>
      </c>
      <c r="C1616" t="s">
        <v>3521</v>
      </c>
      <c r="D1616" t="s">
        <v>692</v>
      </c>
      <c r="E1616">
        <v>674663439</v>
      </c>
      <c r="F1616">
        <v>776245812</v>
      </c>
      <c r="G1616">
        <v>1045072786</v>
      </c>
      <c r="H1616">
        <v>1174023577</v>
      </c>
      <c r="I1616">
        <v>1004216316</v>
      </c>
      <c r="J1616">
        <v>775129508</v>
      </c>
      <c r="K1616">
        <v>675639566</v>
      </c>
      <c r="L1616">
        <v>571426771</v>
      </c>
      <c r="M1616">
        <v>491837562</v>
      </c>
      <c r="N1616">
        <v>366678124</v>
      </c>
      <c r="O1616">
        <v>206932277</v>
      </c>
      <c r="P1616">
        <v>143</v>
      </c>
      <c r="Q1616" t="s">
        <v>3522</v>
      </c>
    </row>
    <row r="1617" spans="1:17" x14ac:dyDescent="0.3">
      <c r="A1617" t="s">
        <v>17</v>
      </c>
      <c r="B1617" t="str">
        <f>"600428"</f>
        <v>600428</v>
      </c>
      <c r="C1617" t="s">
        <v>3523</v>
      </c>
      <c r="D1617" t="s">
        <v>246</v>
      </c>
      <c r="E1617">
        <v>674629517</v>
      </c>
      <c r="F1617">
        <v>462661929</v>
      </c>
      <c r="G1617">
        <v>421651601</v>
      </c>
      <c r="H1617">
        <v>1022004795</v>
      </c>
      <c r="I1617">
        <v>793290928</v>
      </c>
      <c r="J1617">
        <v>833687516</v>
      </c>
      <c r="K1617">
        <v>459885238</v>
      </c>
      <c r="L1617">
        <v>497796523</v>
      </c>
      <c r="M1617">
        <v>581650503</v>
      </c>
      <c r="N1617">
        <v>494106362</v>
      </c>
      <c r="O1617">
        <v>343622785</v>
      </c>
      <c r="P1617">
        <v>199</v>
      </c>
      <c r="Q1617" t="s">
        <v>3524</v>
      </c>
    </row>
    <row r="1618" spans="1:17" x14ac:dyDescent="0.3">
      <c r="A1618" t="s">
        <v>17</v>
      </c>
      <c r="B1618" t="str">
        <f>"600966"</f>
        <v>600966</v>
      </c>
      <c r="C1618" t="s">
        <v>3525</v>
      </c>
      <c r="D1618" t="s">
        <v>644</v>
      </c>
      <c r="E1618">
        <v>674299655</v>
      </c>
      <c r="F1618">
        <v>516216105</v>
      </c>
      <c r="G1618">
        <v>810889768</v>
      </c>
      <c r="H1618">
        <v>1142617133</v>
      </c>
      <c r="I1618">
        <v>873544952</v>
      </c>
      <c r="J1618">
        <v>693998395</v>
      </c>
      <c r="K1618">
        <v>830117627</v>
      </c>
      <c r="L1618">
        <v>697910688</v>
      </c>
      <c r="M1618">
        <v>509953717</v>
      </c>
      <c r="N1618">
        <v>445099219</v>
      </c>
      <c r="O1618">
        <v>479666886</v>
      </c>
      <c r="P1618">
        <v>396</v>
      </c>
      <c r="Q1618" t="s">
        <v>3526</v>
      </c>
    </row>
    <row r="1619" spans="1:17" x14ac:dyDescent="0.3">
      <c r="A1619" t="s">
        <v>17</v>
      </c>
      <c r="B1619" t="str">
        <f>"600976"</f>
        <v>600976</v>
      </c>
      <c r="C1619" t="s">
        <v>3527</v>
      </c>
      <c r="D1619" t="s">
        <v>215</v>
      </c>
      <c r="E1619">
        <v>674004102</v>
      </c>
      <c r="F1619">
        <v>491544747</v>
      </c>
      <c r="G1619">
        <v>411511922</v>
      </c>
      <c r="H1619">
        <v>357021835</v>
      </c>
      <c r="I1619">
        <v>421729682</v>
      </c>
      <c r="J1619">
        <v>509479386</v>
      </c>
      <c r="K1619">
        <v>428668652</v>
      </c>
      <c r="L1619">
        <v>390614590</v>
      </c>
      <c r="M1619">
        <v>345844518</v>
      </c>
      <c r="N1619">
        <v>384702191</v>
      </c>
      <c r="O1619">
        <v>241959591</v>
      </c>
      <c r="P1619">
        <v>249</v>
      </c>
      <c r="Q1619" t="s">
        <v>3528</v>
      </c>
    </row>
    <row r="1620" spans="1:17" x14ac:dyDescent="0.3">
      <c r="A1620" t="s">
        <v>73</v>
      </c>
      <c r="B1620" t="str">
        <f>"300257"</f>
        <v>300257</v>
      </c>
      <c r="C1620" t="s">
        <v>3529</v>
      </c>
      <c r="D1620" t="s">
        <v>873</v>
      </c>
      <c r="E1620">
        <v>673969711</v>
      </c>
      <c r="F1620">
        <v>563690226</v>
      </c>
      <c r="G1620">
        <v>625817890</v>
      </c>
      <c r="H1620">
        <v>636456704</v>
      </c>
      <c r="I1620">
        <v>647512314</v>
      </c>
      <c r="J1620">
        <v>673376426</v>
      </c>
      <c r="K1620">
        <v>612270604</v>
      </c>
      <c r="L1620">
        <v>621934134</v>
      </c>
      <c r="M1620">
        <v>373167999</v>
      </c>
      <c r="N1620">
        <v>315437301</v>
      </c>
      <c r="O1620">
        <v>261157755</v>
      </c>
      <c r="P1620">
        <v>148</v>
      </c>
      <c r="Q1620" t="s">
        <v>3530</v>
      </c>
    </row>
    <row r="1621" spans="1:17" x14ac:dyDescent="0.3">
      <c r="A1621" t="s">
        <v>17</v>
      </c>
      <c r="B1621" t="str">
        <f>"688033"</f>
        <v>688033</v>
      </c>
      <c r="C1621" t="s">
        <v>3531</v>
      </c>
      <c r="D1621" t="s">
        <v>47</v>
      </c>
      <c r="E1621">
        <v>672948059</v>
      </c>
      <c r="F1621">
        <v>309937295</v>
      </c>
      <c r="G1621">
        <v>386632856</v>
      </c>
      <c r="H1621">
        <v>389502252</v>
      </c>
      <c r="P1621">
        <v>86</v>
      </c>
      <c r="Q1621" t="s">
        <v>3532</v>
      </c>
    </row>
    <row r="1622" spans="1:17" x14ac:dyDescent="0.3">
      <c r="A1622" t="s">
        <v>73</v>
      </c>
      <c r="B1622" t="str">
        <f>"301235"</f>
        <v>301235</v>
      </c>
      <c r="C1622" t="s">
        <v>3533</v>
      </c>
      <c r="E1622">
        <v>672820929</v>
      </c>
      <c r="P1622">
        <v>11</v>
      </c>
      <c r="Q1622" t="s">
        <v>3534</v>
      </c>
    </row>
    <row r="1623" spans="1:17" x14ac:dyDescent="0.3">
      <c r="A1623" t="s">
        <v>73</v>
      </c>
      <c r="B1623" t="str">
        <f>"300677"</f>
        <v>300677</v>
      </c>
      <c r="C1623" t="s">
        <v>3535</v>
      </c>
      <c r="D1623" t="s">
        <v>1523</v>
      </c>
      <c r="E1623">
        <v>672430856</v>
      </c>
      <c r="F1623">
        <v>1595992425</v>
      </c>
      <c r="G1623">
        <v>322951697</v>
      </c>
      <c r="H1623">
        <v>300197880</v>
      </c>
      <c r="I1623">
        <v>215935189</v>
      </c>
      <c r="J1623">
        <v>0</v>
      </c>
      <c r="P1623">
        <v>1821</v>
      </c>
      <c r="Q1623" t="s">
        <v>3536</v>
      </c>
    </row>
    <row r="1624" spans="1:17" x14ac:dyDescent="0.3">
      <c r="A1624" t="s">
        <v>17</v>
      </c>
      <c r="B1624" t="str">
        <f>"601999"</f>
        <v>601999</v>
      </c>
      <c r="C1624" t="s">
        <v>3537</v>
      </c>
      <c r="D1624" t="s">
        <v>1921</v>
      </c>
      <c r="E1624">
        <v>671604314</v>
      </c>
      <c r="F1624">
        <v>530777876</v>
      </c>
      <c r="G1624">
        <v>727531622</v>
      </c>
      <c r="H1624">
        <v>770441891</v>
      </c>
      <c r="I1624">
        <v>583698521</v>
      </c>
      <c r="J1624">
        <v>666333656</v>
      </c>
      <c r="K1624">
        <v>373313517</v>
      </c>
      <c r="L1624">
        <v>362630658</v>
      </c>
      <c r="M1624">
        <v>444941975</v>
      </c>
      <c r="N1624">
        <v>355761060</v>
      </c>
      <c r="O1624">
        <v>364373940</v>
      </c>
      <c r="P1624">
        <v>82</v>
      </c>
      <c r="Q1624" t="s">
        <v>3538</v>
      </c>
    </row>
    <row r="1625" spans="1:17" x14ac:dyDescent="0.3">
      <c r="A1625" t="s">
        <v>73</v>
      </c>
      <c r="B1625" t="str">
        <f>"300233"</f>
        <v>300233</v>
      </c>
      <c r="C1625" t="s">
        <v>3539</v>
      </c>
      <c r="D1625" t="s">
        <v>348</v>
      </c>
      <c r="E1625">
        <v>671368827</v>
      </c>
      <c r="F1625">
        <v>565576601</v>
      </c>
      <c r="G1625">
        <v>688646131</v>
      </c>
      <c r="H1625">
        <v>666682333</v>
      </c>
      <c r="I1625">
        <v>667608487</v>
      </c>
      <c r="J1625">
        <v>432384826</v>
      </c>
      <c r="K1625">
        <v>323780815</v>
      </c>
      <c r="L1625">
        <v>251601239</v>
      </c>
      <c r="M1625">
        <v>277076081</v>
      </c>
      <c r="N1625">
        <v>281377924</v>
      </c>
      <c r="O1625">
        <v>226548378</v>
      </c>
      <c r="P1625">
        <v>202</v>
      </c>
      <c r="Q1625" t="s">
        <v>3540</v>
      </c>
    </row>
    <row r="1626" spans="1:17" x14ac:dyDescent="0.3">
      <c r="A1626" t="s">
        <v>73</v>
      </c>
      <c r="B1626" t="str">
        <f>"002551"</f>
        <v>002551</v>
      </c>
      <c r="C1626" t="s">
        <v>3541</v>
      </c>
      <c r="D1626" t="s">
        <v>1523</v>
      </c>
      <c r="E1626">
        <v>671341007</v>
      </c>
      <c r="F1626">
        <v>758143144</v>
      </c>
      <c r="G1626">
        <v>895905305</v>
      </c>
      <c r="H1626">
        <v>0</v>
      </c>
      <c r="I1626">
        <v>1174003049</v>
      </c>
      <c r="J1626">
        <v>1387538016</v>
      </c>
      <c r="K1626">
        <v>1092412460</v>
      </c>
      <c r="L1626">
        <v>690292216</v>
      </c>
      <c r="M1626">
        <v>523405589</v>
      </c>
      <c r="N1626">
        <v>328510223</v>
      </c>
      <c r="O1626">
        <v>191672680</v>
      </c>
      <c r="P1626">
        <v>242</v>
      </c>
      <c r="Q1626" t="s">
        <v>3542</v>
      </c>
    </row>
    <row r="1627" spans="1:17" x14ac:dyDescent="0.3">
      <c r="A1627" t="s">
        <v>17</v>
      </c>
      <c r="B1627" t="str">
        <f>"600877"</f>
        <v>600877</v>
      </c>
      <c r="C1627" t="s">
        <v>3543</v>
      </c>
      <c r="D1627" t="s">
        <v>125</v>
      </c>
      <c r="E1627">
        <v>670280774</v>
      </c>
      <c r="F1627">
        <v>122041483</v>
      </c>
      <c r="G1627">
        <v>167911943</v>
      </c>
      <c r="H1627">
        <v>76603141</v>
      </c>
      <c r="I1627">
        <v>102109026</v>
      </c>
      <c r="J1627">
        <v>110038101</v>
      </c>
      <c r="K1627">
        <v>122323315</v>
      </c>
      <c r="L1627">
        <v>215999396</v>
      </c>
      <c r="M1627">
        <v>132732675</v>
      </c>
      <c r="N1627">
        <v>156665632</v>
      </c>
      <c r="O1627">
        <v>245477949</v>
      </c>
      <c r="P1627">
        <v>119</v>
      </c>
      <c r="Q1627" t="s">
        <v>3544</v>
      </c>
    </row>
    <row r="1628" spans="1:17" x14ac:dyDescent="0.3">
      <c r="A1628" t="s">
        <v>73</v>
      </c>
      <c r="B1628" t="str">
        <f>"000989"</f>
        <v>000989</v>
      </c>
      <c r="C1628" t="s">
        <v>3545</v>
      </c>
      <c r="D1628" t="s">
        <v>215</v>
      </c>
      <c r="E1628">
        <v>668128119</v>
      </c>
      <c r="F1628">
        <v>568682258</v>
      </c>
      <c r="G1628">
        <v>537778425</v>
      </c>
      <c r="H1628">
        <v>867636441</v>
      </c>
      <c r="I1628">
        <v>1168985335</v>
      </c>
      <c r="J1628">
        <v>310199156</v>
      </c>
      <c r="K1628">
        <v>219766297</v>
      </c>
      <c r="L1628">
        <v>129320129</v>
      </c>
      <c r="M1628">
        <v>110412696</v>
      </c>
      <c r="N1628">
        <v>89099142</v>
      </c>
      <c r="O1628">
        <v>85993714</v>
      </c>
      <c r="P1628">
        <v>370</v>
      </c>
      <c r="Q1628" t="s">
        <v>3546</v>
      </c>
    </row>
    <row r="1629" spans="1:17" x14ac:dyDescent="0.3">
      <c r="A1629" t="s">
        <v>73</v>
      </c>
      <c r="B1629" t="str">
        <f>"002753"</f>
        <v>002753</v>
      </c>
      <c r="C1629" t="s">
        <v>3547</v>
      </c>
      <c r="D1629" t="s">
        <v>1698</v>
      </c>
      <c r="E1629">
        <v>667951259</v>
      </c>
      <c r="F1629">
        <v>658821842</v>
      </c>
      <c r="G1629">
        <v>378878370</v>
      </c>
      <c r="H1629">
        <v>385501829</v>
      </c>
      <c r="I1629">
        <v>376232060</v>
      </c>
      <c r="J1629">
        <v>251600211</v>
      </c>
      <c r="K1629">
        <v>145951281</v>
      </c>
      <c r="L1629">
        <v>0</v>
      </c>
      <c r="M1629">
        <v>0</v>
      </c>
      <c r="P1629">
        <v>170</v>
      </c>
      <c r="Q1629" t="s">
        <v>3548</v>
      </c>
    </row>
    <row r="1630" spans="1:17" x14ac:dyDescent="0.3">
      <c r="A1630" t="s">
        <v>17</v>
      </c>
      <c r="B1630" t="str">
        <f>"603700"</f>
        <v>603700</v>
      </c>
      <c r="C1630" t="s">
        <v>3549</v>
      </c>
      <c r="D1630" t="s">
        <v>2280</v>
      </c>
      <c r="E1630">
        <v>667192697</v>
      </c>
      <c r="F1630">
        <v>580758428</v>
      </c>
      <c r="G1630">
        <v>443124607</v>
      </c>
      <c r="H1630">
        <v>307072037</v>
      </c>
      <c r="I1630">
        <v>225706060</v>
      </c>
      <c r="P1630">
        <v>395</v>
      </c>
      <c r="Q1630" t="s">
        <v>3550</v>
      </c>
    </row>
    <row r="1631" spans="1:17" x14ac:dyDescent="0.3">
      <c r="A1631" t="s">
        <v>73</v>
      </c>
      <c r="B1631" t="str">
        <f>"300424"</f>
        <v>300424</v>
      </c>
      <c r="C1631" t="s">
        <v>3551</v>
      </c>
      <c r="D1631" t="s">
        <v>130</v>
      </c>
      <c r="E1631">
        <v>667057476</v>
      </c>
      <c r="F1631">
        <v>510038946</v>
      </c>
      <c r="G1631">
        <v>493907661</v>
      </c>
      <c r="H1631">
        <v>480865618</v>
      </c>
      <c r="I1631">
        <v>280359680</v>
      </c>
      <c r="J1631">
        <v>239390058</v>
      </c>
      <c r="K1631">
        <v>165056528</v>
      </c>
      <c r="L1631">
        <v>171365564</v>
      </c>
      <c r="M1631">
        <v>0</v>
      </c>
      <c r="P1631">
        <v>133</v>
      </c>
      <c r="Q1631" t="s">
        <v>3552</v>
      </c>
    </row>
    <row r="1632" spans="1:17" x14ac:dyDescent="0.3">
      <c r="A1632" t="s">
        <v>73</v>
      </c>
      <c r="B1632" t="str">
        <f>"002984"</f>
        <v>002984</v>
      </c>
      <c r="C1632" t="s">
        <v>3553</v>
      </c>
      <c r="D1632" t="s">
        <v>781</v>
      </c>
      <c r="E1632">
        <v>666544468</v>
      </c>
      <c r="F1632">
        <v>595880893</v>
      </c>
      <c r="P1632">
        <v>203</v>
      </c>
      <c r="Q1632" t="s">
        <v>3554</v>
      </c>
    </row>
    <row r="1633" spans="1:17" x14ac:dyDescent="0.3">
      <c r="A1633" t="s">
        <v>73</v>
      </c>
      <c r="B1633" t="str">
        <f>"000726"</f>
        <v>000726</v>
      </c>
      <c r="C1633" t="s">
        <v>3555</v>
      </c>
      <c r="D1633" t="s">
        <v>2052</v>
      </c>
      <c r="E1633">
        <v>665112339</v>
      </c>
      <c r="F1633">
        <v>368598618</v>
      </c>
      <c r="G1633">
        <v>402047763</v>
      </c>
      <c r="H1633">
        <v>431846386</v>
      </c>
      <c r="I1633">
        <v>330299611</v>
      </c>
      <c r="J1633">
        <v>226420328</v>
      </c>
      <c r="K1633">
        <v>242898968</v>
      </c>
      <c r="L1633">
        <v>239235353</v>
      </c>
      <c r="M1633">
        <v>193456631</v>
      </c>
      <c r="N1633">
        <v>195924230</v>
      </c>
      <c r="O1633">
        <v>154212356</v>
      </c>
      <c r="P1633">
        <v>980</v>
      </c>
      <c r="Q1633" t="s">
        <v>3556</v>
      </c>
    </row>
    <row r="1634" spans="1:17" x14ac:dyDescent="0.3">
      <c r="A1634" t="s">
        <v>73</v>
      </c>
      <c r="B1634" t="str">
        <f>"000619"</f>
        <v>000619</v>
      </c>
      <c r="C1634" t="s">
        <v>3557</v>
      </c>
      <c r="D1634" t="s">
        <v>808</v>
      </c>
      <c r="E1634">
        <v>663542963</v>
      </c>
      <c r="F1634">
        <v>429733394</v>
      </c>
      <c r="G1634">
        <v>212815261</v>
      </c>
      <c r="H1634">
        <v>248960001</v>
      </c>
      <c r="I1634">
        <v>180547936</v>
      </c>
      <c r="J1634">
        <v>187390108</v>
      </c>
      <c r="K1634">
        <v>119481982</v>
      </c>
      <c r="L1634">
        <v>88412254</v>
      </c>
      <c r="M1634">
        <v>56527514</v>
      </c>
      <c r="N1634">
        <v>25291625</v>
      </c>
      <c r="O1634">
        <v>14829093</v>
      </c>
      <c r="P1634">
        <v>98</v>
      </c>
      <c r="Q1634" t="s">
        <v>3558</v>
      </c>
    </row>
    <row r="1635" spans="1:17" x14ac:dyDescent="0.3">
      <c r="A1635" t="s">
        <v>17</v>
      </c>
      <c r="B1635" t="str">
        <f>"603616"</f>
        <v>603616</v>
      </c>
      <c r="C1635" t="s">
        <v>3559</v>
      </c>
      <c r="D1635" t="s">
        <v>153</v>
      </c>
      <c r="E1635">
        <v>663467367</v>
      </c>
      <c r="F1635">
        <v>473720604</v>
      </c>
      <c r="G1635">
        <v>735543599</v>
      </c>
      <c r="H1635">
        <v>763054289</v>
      </c>
      <c r="I1635">
        <v>539487592</v>
      </c>
      <c r="J1635">
        <v>534752555</v>
      </c>
      <c r="K1635">
        <v>600921298</v>
      </c>
      <c r="L1635">
        <v>445029135</v>
      </c>
      <c r="M1635">
        <v>0</v>
      </c>
      <c r="P1635">
        <v>71</v>
      </c>
      <c r="Q1635" t="s">
        <v>3560</v>
      </c>
    </row>
    <row r="1636" spans="1:17" x14ac:dyDescent="0.3">
      <c r="A1636" t="s">
        <v>73</v>
      </c>
      <c r="B1636" t="str">
        <f>"002059"</f>
        <v>002059</v>
      </c>
      <c r="C1636" t="s">
        <v>3561</v>
      </c>
      <c r="D1636" t="s">
        <v>1456</v>
      </c>
      <c r="E1636">
        <v>663411170</v>
      </c>
      <c r="F1636">
        <v>561721053</v>
      </c>
      <c r="G1636">
        <v>536826454</v>
      </c>
      <c r="H1636">
        <v>569851575</v>
      </c>
      <c r="I1636">
        <v>321929334</v>
      </c>
      <c r="J1636">
        <v>377738680</v>
      </c>
      <c r="K1636">
        <v>390259690</v>
      </c>
      <c r="L1636">
        <v>358983638</v>
      </c>
      <c r="M1636">
        <v>45278055</v>
      </c>
      <c r="N1636">
        <v>13378438</v>
      </c>
      <c r="O1636">
        <v>2589337</v>
      </c>
      <c r="P1636">
        <v>160</v>
      </c>
      <c r="Q1636" t="s">
        <v>3562</v>
      </c>
    </row>
    <row r="1637" spans="1:17" x14ac:dyDescent="0.3">
      <c r="A1637" t="s">
        <v>73</v>
      </c>
      <c r="B1637" t="str">
        <f>"002902"</f>
        <v>002902</v>
      </c>
      <c r="C1637" t="s">
        <v>3563</v>
      </c>
      <c r="D1637" t="s">
        <v>189</v>
      </c>
      <c r="E1637">
        <v>663105156</v>
      </c>
      <c r="F1637">
        <v>637090821</v>
      </c>
      <c r="G1637">
        <v>338842460</v>
      </c>
      <c r="H1637">
        <v>553170099</v>
      </c>
      <c r="I1637">
        <v>514397813</v>
      </c>
      <c r="P1637">
        <v>216</v>
      </c>
      <c r="Q1637" t="s">
        <v>3564</v>
      </c>
    </row>
    <row r="1638" spans="1:17" x14ac:dyDescent="0.3">
      <c r="A1638" t="s">
        <v>73</v>
      </c>
      <c r="B1638" t="str">
        <f>"000023"</f>
        <v>000023</v>
      </c>
      <c r="C1638" t="s">
        <v>3565</v>
      </c>
      <c r="D1638" t="s">
        <v>153</v>
      </c>
      <c r="E1638">
        <v>662929471</v>
      </c>
      <c r="F1638">
        <v>820559537</v>
      </c>
      <c r="G1638">
        <v>947012401</v>
      </c>
      <c r="H1638">
        <v>843623574</v>
      </c>
      <c r="I1638">
        <v>653176422</v>
      </c>
      <c r="J1638">
        <v>645080004</v>
      </c>
      <c r="K1638">
        <v>651506929</v>
      </c>
      <c r="L1638">
        <v>545125781</v>
      </c>
      <c r="M1638">
        <v>514898783</v>
      </c>
      <c r="N1638">
        <v>468285416</v>
      </c>
      <c r="O1638">
        <v>368663287</v>
      </c>
      <c r="P1638">
        <v>78</v>
      </c>
      <c r="Q1638" t="s">
        <v>3566</v>
      </c>
    </row>
    <row r="1639" spans="1:17" x14ac:dyDescent="0.3">
      <c r="A1639" t="s">
        <v>73</v>
      </c>
      <c r="B1639" t="str">
        <f>"300351"</f>
        <v>300351</v>
      </c>
      <c r="C1639" t="s">
        <v>3567</v>
      </c>
      <c r="D1639" t="s">
        <v>47</v>
      </c>
      <c r="E1639">
        <v>662926464</v>
      </c>
      <c r="F1639">
        <v>474222418</v>
      </c>
      <c r="G1639">
        <v>520419856</v>
      </c>
      <c r="H1639">
        <v>730475219</v>
      </c>
      <c r="I1639">
        <v>769886199</v>
      </c>
      <c r="J1639">
        <v>539050356</v>
      </c>
      <c r="K1639">
        <v>256458665</v>
      </c>
      <c r="L1639">
        <v>179874443</v>
      </c>
      <c r="M1639">
        <v>143559377</v>
      </c>
      <c r="N1639">
        <v>91696969</v>
      </c>
      <c r="O1639">
        <v>0</v>
      </c>
      <c r="P1639">
        <v>234</v>
      </c>
      <c r="Q1639" t="s">
        <v>3568</v>
      </c>
    </row>
    <row r="1640" spans="1:17" x14ac:dyDescent="0.3">
      <c r="A1640" t="s">
        <v>17</v>
      </c>
      <c r="B1640" t="str">
        <f>"601118"</f>
        <v>601118</v>
      </c>
      <c r="C1640" t="s">
        <v>3569</v>
      </c>
      <c r="D1640" t="s">
        <v>2090</v>
      </c>
      <c r="E1640">
        <v>662858467</v>
      </c>
      <c r="F1640">
        <v>609964502</v>
      </c>
      <c r="G1640">
        <v>725300330</v>
      </c>
      <c r="H1640">
        <v>142618303</v>
      </c>
      <c r="I1640">
        <v>271108179</v>
      </c>
      <c r="J1640">
        <v>426249855</v>
      </c>
      <c r="K1640">
        <v>425801288</v>
      </c>
      <c r="L1640">
        <v>1179061277</v>
      </c>
      <c r="M1640">
        <v>830343484</v>
      </c>
      <c r="N1640">
        <v>764847802</v>
      </c>
      <c r="O1640">
        <v>194020920</v>
      </c>
      <c r="P1640">
        <v>199</v>
      </c>
      <c r="Q1640" t="s">
        <v>3570</v>
      </c>
    </row>
    <row r="1641" spans="1:17" x14ac:dyDescent="0.3">
      <c r="A1641" t="s">
        <v>73</v>
      </c>
      <c r="B1641" t="str">
        <f>"000685"</f>
        <v>000685</v>
      </c>
      <c r="C1641" t="s">
        <v>3571</v>
      </c>
      <c r="D1641" t="s">
        <v>308</v>
      </c>
      <c r="E1641">
        <v>662738665</v>
      </c>
      <c r="F1641">
        <v>631346109</v>
      </c>
      <c r="G1641">
        <v>395263537</v>
      </c>
      <c r="H1641">
        <v>289243107</v>
      </c>
      <c r="I1641">
        <v>213199175</v>
      </c>
      <c r="J1641">
        <v>390279567</v>
      </c>
      <c r="K1641">
        <v>393574305</v>
      </c>
      <c r="L1641">
        <v>93185322</v>
      </c>
      <c r="M1641">
        <v>67231913</v>
      </c>
      <c r="N1641">
        <v>70682538</v>
      </c>
      <c r="O1641">
        <v>83629343</v>
      </c>
      <c r="P1641">
        <v>511</v>
      </c>
      <c r="Q1641" t="s">
        <v>3572</v>
      </c>
    </row>
    <row r="1642" spans="1:17" x14ac:dyDescent="0.3">
      <c r="A1642" t="s">
        <v>73</v>
      </c>
      <c r="B1642" t="str">
        <f>"300410"</f>
        <v>300410</v>
      </c>
      <c r="C1642" t="s">
        <v>3573</v>
      </c>
      <c r="D1642" t="s">
        <v>2280</v>
      </c>
      <c r="E1642">
        <v>661224061</v>
      </c>
      <c r="F1642">
        <v>681670382</v>
      </c>
      <c r="G1642">
        <v>720881478</v>
      </c>
      <c r="H1642">
        <v>834273174</v>
      </c>
      <c r="I1642">
        <v>728414241</v>
      </c>
      <c r="J1642">
        <v>568786992</v>
      </c>
      <c r="K1642">
        <v>236820772</v>
      </c>
      <c r="L1642">
        <v>168412152</v>
      </c>
      <c r="M1642">
        <v>0</v>
      </c>
      <c r="P1642">
        <v>215</v>
      </c>
      <c r="Q1642" t="s">
        <v>3574</v>
      </c>
    </row>
    <row r="1643" spans="1:17" x14ac:dyDescent="0.3">
      <c r="A1643" t="s">
        <v>73</v>
      </c>
      <c r="B1643" t="str">
        <f>"002640"</f>
        <v>002640</v>
      </c>
      <c r="C1643" t="s">
        <v>3575</v>
      </c>
      <c r="D1643" t="s">
        <v>3100</v>
      </c>
      <c r="E1643">
        <v>660129661</v>
      </c>
      <c r="F1643">
        <v>1011629024</v>
      </c>
      <c r="G1643">
        <v>1526110775</v>
      </c>
      <c r="H1643">
        <v>1839257427</v>
      </c>
      <c r="I1643">
        <v>1152526529</v>
      </c>
      <c r="J1643">
        <v>548273063</v>
      </c>
      <c r="K1643">
        <v>317038626</v>
      </c>
      <c r="L1643">
        <v>341654976</v>
      </c>
      <c r="M1643">
        <v>310625178</v>
      </c>
      <c r="N1643">
        <v>231343204</v>
      </c>
      <c r="O1643">
        <v>126558766</v>
      </c>
      <c r="P1643">
        <v>263</v>
      </c>
      <c r="Q1643" t="s">
        <v>3576</v>
      </c>
    </row>
    <row r="1644" spans="1:17" x14ac:dyDescent="0.3">
      <c r="A1644" t="s">
        <v>73</v>
      </c>
      <c r="B1644" t="str">
        <f>"300712"</f>
        <v>300712</v>
      </c>
      <c r="C1644" t="s">
        <v>3577</v>
      </c>
      <c r="D1644" t="s">
        <v>39</v>
      </c>
      <c r="E1644">
        <v>659923231</v>
      </c>
      <c r="F1644">
        <v>549064783</v>
      </c>
      <c r="G1644">
        <v>713367599</v>
      </c>
      <c r="H1644">
        <v>401576260</v>
      </c>
      <c r="I1644">
        <v>354171112</v>
      </c>
      <c r="J1644">
        <v>0</v>
      </c>
      <c r="P1644">
        <v>125</v>
      </c>
      <c r="Q1644" t="s">
        <v>3578</v>
      </c>
    </row>
    <row r="1645" spans="1:17" x14ac:dyDescent="0.3">
      <c r="A1645" t="s">
        <v>17</v>
      </c>
      <c r="B1645" t="str">
        <f>"603060"</f>
        <v>603060</v>
      </c>
      <c r="C1645" t="s">
        <v>3579</v>
      </c>
      <c r="D1645" t="s">
        <v>2608</v>
      </c>
      <c r="E1645">
        <v>659364207</v>
      </c>
      <c r="F1645">
        <v>316426446</v>
      </c>
      <c r="G1645">
        <v>166640100</v>
      </c>
      <c r="H1645">
        <v>140501118</v>
      </c>
      <c r="I1645">
        <v>88230107</v>
      </c>
      <c r="J1645">
        <v>67513681</v>
      </c>
      <c r="P1645">
        <v>507</v>
      </c>
      <c r="Q1645" t="s">
        <v>3580</v>
      </c>
    </row>
    <row r="1646" spans="1:17" x14ac:dyDescent="0.3">
      <c r="A1646" t="s">
        <v>73</v>
      </c>
      <c r="B1646" t="str">
        <f>"300348"</f>
        <v>300348</v>
      </c>
      <c r="C1646" t="s">
        <v>3581</v>
      </c>
      <c r="D1646" t="s">
        <v>795</v>
      </c>
      <c r="E1646">
        <v>659327126</v>
      </c>
      <c r="F1646">
        <v>459731189</v>
      </c>
      <c r="G1646">
        <v>441059307</v>
      </c>
      <c r="H1646">
        <v>772801183</v>
      </c>
      <c r="I1646">
        <v>598900065</v>
      </c>
      <c r="J1646">
        <v>483683012</v>
      </c>
      <c r="K1646">
        <v>278754096</v>
      </c>
      <c r="L1646">
        <v>144700657</v>
      </c>
      <c r="M1646">
        <v>85145622</v>
      </c>
      <c r="N1646">
        <v>67209464</v>
      </c>
      <c r="O1646">
        <v>0</v>
      </c>
      <c r="P1646">
        <v>364</v>
      </c>
      <c r="Q1646" t="s">
        <v>3582</v>
      </c>
    </row>
    <row r="1647" spans="1:17" x14ac:dyDescent="0.3">
      <c r="A1647" t="s">
        <v>17</v>
      </c>
      <c r="B1647" t="str">
        <f>"600936"</f>
        <v>600936</v>
      </c>
      <c r="C1647" t="s">
        <v>3583</v>
      </c>
      <c r="D1647" t="s">
        <v>1040</v>
      </c>
      <c r="E1647">
        <v>659059138</v>
      </c>
      <c r="F1647">
        <v>592227623</v>
      </c>
      <c r="G1647">
        <v>603893963</v>
      </c>
      <c r="H1647">
        <v>433743689</v>
      </c>
      <c r="I1647">
        <v>449704832</v>
      </c>
      <c r="J1647">
        <v>279376054</v>
      </c>
      <c r="K1647">
        <v>170488337</v>
      </c>
      <c r="L1647">
        <v>0</v>
      </c>
      <c r="P1647">
        <v>80</v>
      </c>
      <c r="Q1647" t="s">
        <v>3584</v>
      </c>
    </row>
    <row r="1648" spans="1:17" x14ac:dyDescent="0.3">
      <c r="A1648" t="s">
        <v>73</v>
      </c>
      <c r="B1648" t="str">
        <f>"002506"</f>
        <v>002506</v>
      </c>
      <c r="C1648" t="s">
        <v>3585</v>
      </c>
      <c r="D1648" t="s">
        <v>305</v>
      </c>
      <c r="E1648">
        <v>658322277</v>
      </c>
      <c r="F1648">
        <v>1505420707</v>
      </c>
      <c r="G1648">
        <v>1724911660</v>
      </c>
      <c r="H1648">
        <v>2595086074</v>
      </c>
      <c r="I1648">
        <v>7202425356</v>
      </c>
      <c r="J1648">
        <v>6721542504</v>
      </c>
      <c r="K1648">
        <v>7390292290</v>
      </c>
      <c r="L1648">
        <v>3175658050</v>
      </c>
      <c r="M1648">
        <v>1477465858</v>
      </c>
      <c r="N1648">
        <v>2140352587</v>
      </c>
      <c r="O1648">
        <v>2634476738</v>
      </c>
      <c r="P1648">
        <v>315</v>
      </c>
      <c r="Q1648" t="s">
        <v>3586</v>
      </c>
    </row>
    <row r="1649" spans="1:17" x14ac:dyDescent="0.3">
      <c r="A1649" t="s">
        <v>17</v>
      </c>
      <c r="B1649" t="str">
        <f>"601279"</f>
        <v>601279</v>
      </c>
      <c r="C1649" t="s">
        <v>3587</v>
      </c>
      <c r="D1649" t="s">
        <v>722</v>
      </c>
      <c r="E1649">
        <v>658292583</v>
      </c>
      <c r="F1649">
        <v>567869941</v>
      </c>
      <c r="P1649">
        <v>43</v>
      </c>
      <c r="Q1649" t="s">
        <v>3588</v>
      </c>
    </row>
    <row r="1650" spans="1:17" x14ac:dyDescent="0.3">
      <c r="A1650" t="s">
        <v>73</v>
      </c>
      <c r="B1650" t="str">
        <f>"300541"</f>
        <v>300541</v>
      </c>
      <c r="C1650" t="s">
        <v>3589</v>
      </c>
      <c r="D1650" t="s">
        <v>302</v>
      </c>
      <c r="E1650">
        <v>657553113</v>
      </c>
      <c r="F1650">
        <v>849245582</v>
      </c>
      <c r="G1650">
        <v>404668364</v>
      </c>
      <c r="H1650">
        <v>592927753</v>
      </c>
      <c r="I1650">
        <v>489058023</v>
      </c>
      <c r="J1650">
        <v>389715139</v>
      </c>
      <c r="K1650">
        <v>0</v>
      </c>
      <c r="P1650">
        <v>177</v>
      </c>
      <c r="Q1650" t="s">
        <v>3590</v>
      </c>
    </row>
    <row r="1651" spans="1:17" x14ac:dyDescent="0.3">
      <c r="A1651" t="s">
        <v>73</v>
      </c>
      <c r="B1651" t="str">
        <f>"002866"</f>
        <v>002866</v>
      </c>
      <c r="C1651" t="s">
        <v>3591</v>
      </c>
      <c r="D1651" t="s">
        <v>42</v>
      </c>
      <c r="E1651">
        <v>656000674</v>
      </c>
      <c r="F1651">
        <v>626922169</v>
      </c>
      <c r="G1651">
        <v>488923670</v>
      </c>
      <c r="H1651">
        <v>446407963</v>
      </c>
      <c r="I1651">
        <v>229418475</v>
      </c>
      <c r="J1651">
        <v>162499526</v>
      </c>
      <c r="P1651">
        <v>161</v>
      </c>
      <c r="Q1651" t="s">
        <v>3592</v>
      </c>
    </row>
    <row r="1652" spans="1:17" x14ac:dyDescent="0.3">
      <c r="A1652" t="s">
        <v>73</v>
      </c>
      <c r="B1652" t="str">
        <f>"002751"</f>
        <v>002751</v>
      </c>
      <c r="C1652" t="s">
        <v>3593</v>
      </c>
      <c r="D1652" t="s">
        <v>3335</v>
      </c>
      <c r="E1652">
        <v>655883482</v>
      </c>
      <c r="F1652">
        <v>663601439</v>
      </c>
      <c r="G1652">
        <v>563189931</v>
      </c>
      <c r="H1652">
        <v>487734195</v>
      </c>
      <c r="I1652">
        <v>278661457</v>
      </c>
      <c r="J1652">
        <v>161709336</v>
      </c>
      <c r="K1652">
        <v>245512884</v>
      </c>
      <c r="L1652">
        <v>258050653</v>
      </c>
      <c r="M1652">
        <v>0</v>
      </c>
      <c r="P1652">
        <v>145</v>
      </c>
      <c r="Q1652" t="s">
        <v>3594</v>
      </c>
    </row>
    <row r="1653" spans="1:17" x14ac:dyDescent="0.3">
      <c r="A1653" t="s">
        <v>17</v>
      </c>
      <c r="B1653" t="str">
        <f>"600409"</f>
        <v>600409</v>
      </c>
      <c r="C1653" t="s">
        <v>3595</v>
      </c>
      <c r="D1653" t="s">
        <v>3596</v>
      </c>
      <c r="E1653">
        <v>655398771</v>
      </c>
      <c r="F1653">
        <v>610921136</v>
      </c>
      <c r="G1653">
        <v>708200350</v>
      </c>
      <c r="H1653">
        <v>704101863</v>
      </c>
      <c r="I1653">
        <v>654866355</v>
      </c>
      <c r="J1653">
        <v>644061703</v>
      </c>
      <c r="K1653">
        <v>666223011</v>
      </c>
      <c r="L1653">
        <v>670806361</v>
      </c>
      <c r="M1653">
        <v>536424827</v>
      </c>
      <c r="N1653">
        <v>376954427</v>
      </c>
      <c r="O1653">
        <v>363692184</v>
      </c>
      <c r="P1653">
        <v>733</v>
      </c>
      <c r="Q1653" t="s">
        <v>3597</v>
      </c>
    </row>
    <row r="1654" spans="1:17" x14ac:dyDescent="0.3">
      <c r="A1654" t="s">
        <v>73</v>
      </c>
      <c r="B1654" t="str">
        <f>"300447"</f>
        <v>300447</v>
      </c>
      <c r="C1654" t="s">
        <v>3598</v>
      </c>
      <c r="D1654" t="s">
        <v>502</v>
      </c>
      <c r="E1654">
        <v>654182399</v>
      </c>
      <c r="F1654">
        <v>492767048</v>
      </c>
      <c r="G1654">
        <v>429969982</v>
      </c>
      <c r="H1654">
        <v>403624236</v>
      </c>
      <c r="I1654">
        <v>385350786</v>
      </c>
      <c r="J1654">
        <v>239439372</v>
      </c>
      <c r="K1654">
        <v>121941607</v>
      </c>
      <c r="L1654">
        <v>0</v>
      </c>
      <c r="P1654">
        <v>119</v>
      </c>
      <c r="Q1654" t="s">
        <v>3599</v>
      </c>
    </row>
    <row r="1655" spans="1:17" x14ac:dyDescent="0.3">
      <c r="A1655" t="s">
        <v>73</v>
      </c>
      <c r="B1655" t="str">
        <f>"300223"</f>
        <v>300223</v>
      </c>
      <c r="C1655" t="s">
        <v>3600</v>
      </c>
      <c r="D1655" t="s">
        <v>890</v>
      </c>
      <c r="E1655">
        <v>653506736</v>
      </c>
      <c r="F1655">
        <v>485177773</v>
      </c>
      <c r="G1655">
        <v>12805832</v>
      </c>
      <c r="H1655">
        <v>13192473</v>
      </c>
      <c r="I1655">
        <v>6356443</v>
      </c>
      <c r="J1655">
        <v>14876822</v>
      </c>
      <c r="K1655">
        <v>4305829</v>
      </c>
      <c r="L1655">
        <v>3539866</v>
      </c>
      <c r="M1655">
        <v>6273506</v>
      </c>
      <c r="N1655">
        <v>13485260</v>
      </c>
      <c r="O1655">
        <v>21582198</v>
      </c>
      <c r="P1655">
        <v>612</v>
      </c>
      <c r="Q1655" t="s">
        <v>3601</v>
      </c>
    </row>
    <row r="1656" spans="1:17" x14ac:dyDescent="0.3">
      <c r="A1656" t="s">
        <v>17</v>
      </c>
      <c r="B1656" t="str">
        <f>"603192"</f>
        <v>603192</v>
      </c>
      <c r="C1656" t="s">
        <v>3602</v>
      </c>
      <c r="D1656" t="s">
        <v>267</v>
      </c>
      <c r="E1656">
        <v>653051252</v>
      </c>
      <c r="F1656">
        <v>345498474</v>
      </c>
      <c r="G1656">
        <v>200150640</v>
      </c>
      <c r="H1656">
        <v>258449862</v>
      </c>
      <c r="I1656">
        <v>0</v>
      </c>
      <c r="P1656">
        <v>82</v>
      </c>
      <c r="Q1656" t="s">
        <v>3603</v>
      </c>
    </row>
    <row r="1657" spans="1:17" x14ac:dyDescent="0.3">
      <c r="A1657" t="s">
        <v>73</v>
      </c>
      <c r="B1657" t="str">
        <f>"300120"</f>
        <v>300120</v>
      </c>
      <c r="C1657" t="s">
        <v>3604</v>
      </c>
      <c r="D1657" t="s">
        <v>97</v>
      </c>
      <c r="E1657">
        <v>652221373</v>
      </c>
      <c r="F1657">
        <v>806911948</v>
      </c>
      <c r="G1657">
        <v>696856068</v>
      </c>
      <c r="H1657">
        <v>539005507</v>
      </c>
      <c r="I1657">
        <v>574859470</v>
      </c>
      <c r="J1657">
        <v>160708829</v>
      </c>
      <c r="K1657">
        <v>122174457</v>
      </c>
      <c r="L1657">
        <v>102930033</v>
      </c>
      <c r="M1657">
        <v>122898191</v>
      </c>
      <c r="N1657">
        <v>98913420</v>
      </c>
      <c r="O1657">
        <v>77820216</v>
      </c>
      <c r="P1657">
        <v>105</v>
      </c>
      <c r="Q1657" t="s">
        <v>3605</v>
      </c>
    </row>
    <row r="1658" spans="1:17" x14ac:dyDescent="0.3">
      <c r="A1658" t="s">
        <v>73</v>
      </c>
      <c r="B1658" t="str">
        <f>"002671"</f>
        <v>002671</v>
      </c>
      <c r="C1658" t="s">
        <v>3606</v>
      </c>
      <c r="D1658" t="s">
        <v>153</v>
      </c>
      <c r="E1658">
        <v>651825614</v>
      </c>
      <c r="F1658">
        <v>567625558</v>
      </c>
      <c r="G1658">
        <v>690444654</v>
      </c>
      <c r="H1658">
        <v>835445993</v>
      </c>
      <c r="I1658">
        <v>1124059545</v>
      </c>
      <c r="J1658">
        <v>962378662</v>
      </c>
      <c r="K1658">
        <v>740667940</v>
      </c>
      <c r="L1658">
        <v>603577629</v>
      </c>
      <c r="M1658">
        <v>345434529</v>
      </c>
      <c r="N1658">
        <v>297103097</v>
      </c>
      <c r="O1658">
        <v>139940915</v>
      </c>
      <c r="P1658">
        <v>68</v>
      </c>
      <c r="Q1658" t="s">
        <v>3607</v>
      </c>
    </row>
    <row r="1659" spans="1:17" x14ac:dyDescent="0.3">
      <c r="A1659" t="s">
        <v>17</v>
      </c>
      <c r="B1659" t="str">
        <f>"603909"</f>
        <v>603909</v>
      </c>
      <c r="C1659" t="s">
        <v>3608</v>
      </c>
      <c r="D1659" t="s">
        <v>661</v>
      </c>
      <c r="E1659">
        <v>651653007</v>
      </c>
      <c r="F1659">
        <v>619063627</v>
      </c>
      <c r="G1659">
        <v>552758461</v>
      </c>
      <c r="H1659">
        <v>649503908</v>
      </c>
      <c r="I1659">
        <v>471849701</v>
      </c>
      <c r="J1659">
        <v>250923584</v>
      </c>
      <c r="K1659">
        <v>198218043</v>
      </c>
      <c r="P1659">
        <v>65</v>
      </c>
      <c r="Q1659" t="s">
        <v>3609</v>
      </c>
    </row>
    <row r="1660" spans="1:17" x14ac:dyDescent="0.3">
      <c r="A1660" t="s">
        <v>17</v>
      </c>
      <c r="B1660" t="str">
        <f>"600302"</f>
        <v>600302</v>
      </c>
      <c r="C1660" t="s">
        <v>3610</v>
      </c>
      <c r="D1660" t="s">
        <v>792</v>
      </c>
      <c r="E1660">
        <v>650722848</v>
      </c>
      <c r="F1660">
        <v>694025967</v>
      </c>
      <c r="G1660">
        <v>278787817</v>
      </c>
      <c r="H1660">
        <v>346229193</v>
      </c>
      <c r="I1660">
        <v>356944995</v>
      </c>
      <c r="J1660">
        <v>326878010</v>
      </c>
      <c r="K1660">
        <v>279045146</v>
      </c>
      <c r="L1660">
        <v>280229610</v>
      </c>
      <c r="M1660">
        <v>311915361</v>
      </c>
      <c r="N1660">
        <v>296555678</v>
      </c>
      <c r="O1660">
        <v>284371455</v>
      </c>
      <c r="P1660">
        <v>51</v>
      </c>
      <c r="Q1660" t="s">
        <v>3611</v>
      </c>
    </row>
    <row r="1661" spans="1:17" x14ac:dyDescent="0.3">
      <c r="A1661" t="s">
        <v>73</v>
      </c>
      <c r="B1661" t="str">
        <f>"000917"</f>
        <v>000917</v>
      </c>
      <c r="C1661" t="s">
        <v>3612</v>
      </c>
      <c r="D1661" t="s">
        <v>1040</v>
      </c>
      <c r="E1661">
        <v>650164511</v>
      </c>
      <c r="F1661">
        <v>649416584</v>
      </c>
      <c r="G1661">
        <v>1001551533</v>
      </c>
      <c r="H1661">
        <v>0</v>
      </c>
      <c r="I1661">
        <v>1025421754</v>
      </c>
      <c r="J1661">
        <v>568135152</v>
      </c>
      <c r="K1661">
        <v>409197992</v>
      </c>
      <c r="L1661">
        <v>285978866</v>
      </c>
      <c r="M1661">
        <v>169440790</v>
      </c>
      <c r="N1661">
        <v>657483109</v>
      </c>
      <c r="O1661">
        <v>349619124</v>
      </c>
      <c r="P1661">
        <v>267</v>
      </c>
      <c r="Q1661" t="s">
        <v>3613</v>
      </c>
    </row>
    <row r="1662" spans="1:17" x14ac:dyDescent="0.3">
      <c r="A1662" t="s">
        <v>73</v>
      </c>
      <c r="B1662" t="str">
        <f>"300407"</f>
        <v>300407</v>
      </c>
      <c r="C1662" t="s">
        <v>3614</v>
      </c>
      <c r="D1662" t="s">
        <v>161</v>
      </c>
      <c r="E1662">
        <v>649397715</v>
      </c>
      <c r="F1662">
        <v>555988710</v>
      </c>
      <c r="G1662">
        <v>567446075</v>
      </c>
      <c r="H1662">
        <v>477765342</v>
      </c>
      <c r="I1662">
        <v>445923097</v>
      </c>
      <c r="J1662">
        <v>374519791</v>
      </c>
      <c r="K1662">
        <v>235010119</v>
      </c>
      <c r="L1662">
        <v>227246470</v>
      </c>
      <c r="M1662">
        <v>0</v>
      </c>
      <c r="P1662">
        <v>132</v>
      </c>
      <c r="Q1662" t="s">
        <v>3615</v>
      </c>
    </row>
    <row r="1663" spans="1:17" x14ac:dyDescent="0.3">
      <c r="A1663" t="s">
        <v>73</v>
      </c>
      <c r="B1663" t="str">
        <f>"002332"</f>
        <v>002332</v>
      </c>
      <c r="C1663" t="s">
        <v>3616</v>
      </c>
      <c r="D1663" t="s">
        <v>348</v>
      </c>
      <c r="E1663">
        <v>648450832</v>
      </c>
      <c r="F1663">
        <v>730151868</v>
      </c>
      <c r="G1663">
        <v>772586247</v>
      </c>
      <c r="H1663">
        <v>848649297</v>
      </c>
      <c r="I1663">
        <v>822944484</v>
      </c>
      <c r="J1663">
        <v>610936743</v>
      </c>
      <c r="K1663">
        <v>546775507</v>
      </c>
      <c r="L1663">
        <v>540299310</v>
      </c>
      <c r="M1663">
        <v>509639168</v>
      </c>
      <c r="N1663">
        <v>419865139</v>
      </c>
      <c r="O1663">
        <v>339828459</v>
      </c>
      <c r="P1663">
        <v>385</v>
      </c>
      <c r="Q1663" t="s">
        <v>3617</v>
      </c>
    </row>
    <row r="1664" spans="1:17" x14ac:dyDescent="0.3">
      <c r="A1664" t="s">
        <v>73</v>
      </c>
      <c r="B1664" t="str">
        <f>"300352"</f>
        <v>300352</v>
      </c>
      <c r="C1664" t="s">
        <v>3618</v>
      </c>
      <c r="D1664" t="s">
        <v>795</v>
      </c>
      <c r="E1664">
        <v>647776220</v>
      </c>
      <c r="F1664">
        <v>1048383271</v>
      </c>
      <c r="G1664">
        <v>1133048238</v>
      </c>
      <c r="H1664">
        <v>958716863</v>
      </c>
      <c r="I1664">
        <v>772895339</v>
      </c>
      <c r="J1664">
        <v>589066550</v>
      </c>
      <c r="K1664">
        <v>470097394</v>
      </c>
      <c r="L1664">
        <v>366859760</v>
      </c>
      <c r="M1664">
        <v>262291741</v>
      </c>
      <c r="N1664">
        <v>169867665</v>
      </c>
      <c r="O1664">
        <v>0</v>
      </c>
      <c r="P1664">
        <v>255</v>
      </c>
      <c r="Q1664" t="s">
        <v>3619</v>
      </c>
    </row>
    <row r="1665" spans="1:17" x14ac:dyDescent="0.3">
      <c r="A1665" t="s">
        <v>73</v>
      </c>
      <c r="B1665" t="str">
        <f>"300763"</f>
        <v>300763</v>
      </c>
      <c r="C1665" t="s">
        <v>3620</v>
      </c>
      <c r="D1665" t="s">
        <v>351</v>
      </c>
      <c r="E1665">
        <v>646732925</v>
      </c>
      <c r="F1665">
        <v>386247336</v>
      </c>
      <c r="G1665">
        <v>216886714</v>
      </c>
      <c r="H1665">
        <v>0</v>
      </c>
      <c r="I1665">
        <v>0</v>
      </c>
      <c r="P1665">
        <v>582</v>
      </c>
      <c r="Q1665" t="s">
        <v>3621</v>
      </c>
    </row>
    <row r="1666" spans="1:17" x14ac:dyDescent="0.3">
      <c r="A1666" t="s">
        <v>17</v>
      </c>
      <c r="B1666" t="str">
        <f>"601002"</f>
        <v>601002</v>
      </c>
      <c r="C1666" t="s">
        <v>3622</v>
      </c>
      <c r="D1666" t="s">
        <v>146</v>
      </c>
      <c r="E1666">
        <v>645600949</v>
      </c>
      <c r="F1666">
        <v>647681305</v>
      </c>
      <c r="G1666">
        <v>415464434</v>
      </c>
      <c r="H1666">
        <v>1003292073</v>
      </c>
      <c r="I1666">
        <v>723281709</v>
      </c>
      <c r="J1666">
        <v>521610071</v>
      </c>
      <c r="K1666">
        <v>613384420</v>
      </c>
      <c r="L1666">
        <v>607985096</v>
      </c>
      <c r="M1666">
        <v>897293999</v>
      </c>
      <c r="N1666">
        <v>553869752</v>
      </c>
      <c r="O1666">
        <v>557107437</v>
      </c>
      <c r="P1666">
        <v>146</v>
      </c>
      <c r="Q1666" t="s">
        <v>3623</v>
      </c>
    </row>
    <row r="1667" spans="1:17" x14ac:dyDescent="0.3">
      <c r="A1667" t="s">
        <v>73</v>
      </c>
      <c r="B1667" t="str">
        <f>"300687"</f>
        <v>300687</v>
      </c>
      <c r="C1667" t="s">
        <v>3624</v>
      </c>
      <c r="D1667" t="s">
        <v>302</v>
      </c>
      <c r="E1667">
        <v>645192480</v>
      </c>
      <c r="F1667">
        <v>461162412</v>
      </c>
      <c r="G1667">
        <v>414927902</v>
      </c>
      <c r="H1667">
        <v>483989709</v>
      </c>
      <c r="I1667">
        <v>388515716</v>
      </c>
      <c r="J1667">
        <v>240305656</v>
      </c>
      <c r="P1667">
        <v>266</v>
      </c>
      <c r="Q1667" t="s">
        <v>3625</v>
      </c>
    </row>
    <row r="1668" spans="1:17" x14ac:dyDescent="0.3">
      <c r="A1668" t="s">
        <v>17</v>
      </c>
      <c r="B1668" t="str">
        <f>"600343"</f>
        <v>600343</v>
      </c>
      <c r="C1668" t="s">
        <v>3626</v>
      </c>
      <c r="D1668" t="s">
        <v>433</v>
      </c>
      <c r="E1668">
        <v>644417705</v>
      </c>
      <c r="F1668">
        <v>847576623</v>
      </c>
      <c r="G1668">
        <v>768251868</v>
      </c>
      <c r="H1668">
        <v>863496992</v>
      </c>
      <c r="I1668">
        <v>918306652</v>
      </c>
      <c r="J1668">
        <v>721391258</v>
      </c>
      <c r="K1668">
        <v>753244564</v>
      </c>
      <c r="L1668">
        <v>655756051</v>
      </c>
      <c r="M1668">
        <v>673633761</v>
      </c>
      <c r="N1668">
        <v>663214836</v>
      </c>
      <c r="O1668">
        <v>565113369</v>
      </c>
      <c r="P1668">
        <v>128</v>
      </c>
      <c r="Q1668" t="s">
        <v>3627</v>
      </c>
    </row>
    <row r="1669" spans="1:17" x14ac:dyDescent="0.3">
      <c r="A1669" t="s">
        <v>73</v>
      </c>
      <c r="B1669" t="str">
        <f>"300172"</f>
        <v>300172</v>
      </c>
      <c r="C1669" t="s">
        <v>3628</v>
      </c>
      <c r="D1669" t="s">
        <v>308</v>
      </c>
      <c r="E1669">
        <v>643391463</v>
      </c>
      <c r="F1669">
        <v>579574278</v>
      </c>
      <c r="G1669">
        <v>519588256</v>
      </c>
      <c r="H1669">
        <v>498124316</v>
      </c>
      <c r="I1669">
        <v>413213015</v>
      </c>
      <c r="J1669">
        <v>422440722</v>
      </c>
      <c r="K1669">
        <v>374021382</v>
      </c>
      <c r="L1669">
        <v>338830738</v>
      </c>
      <c r="M1669">
        <v>316296008</v>
      </c>
      <c r="N1669">
        <v>232607556</v>
      </c>
      <c r="O1669">
        <v>169131835</v>
      </c>
      <c r="P1669">
        <v>110</v>
      </c>
      <c r="Q1669" t="s">
        <v>3629</v>
      </c>
    </row>
    <row r="1670" spans="1:17" x14ac:dyDescent="0.3">
      <c r="A1670" t="s">
        <v>17</v>
      </c>
      <c r="B1670" t="str">
        <f>"601798"</f>
        <v>601798</v>
      </c>
      <c r="C1670" t="s">
        <v>3630</v>
      </c>
      <c r="D1670" t="s">
        <v>311</v>
      </c>
      <c r="E1670">
        <v>642526991</v>
      </c>
      <c r="F1670">
        <v>797262876</v>
      </c>
      <c r="G1670">
        <v>701711794</v>
      </c>
      <c r="H1670">
        <v>720970438</v>
      </c>
      <c r="I1670">
        <v>694973906</v>
      </c>
      <c r="J1670">
        <v>691852695</v>
      </c>
      <c r="K1670">
        <v>758267065</v>
      </c>
      <c r="L1670">
        <v>646512707</v>
      </c>
      <c r="M1670">
        <v>673497111</v>
      </c>
      <c r="N1670">
        <v>557772298</v>
      </c>
      <c r="O1670">
        <v>489840444</v>
      </c>
      <c r="P1670">
        <v>77</v>
      </c>
      <c r="Q1670" t="s">
        <v>3631</v>
      </c>
    </row>
    <row r="1671" spans="1:17" x14ac:dyDescent="0.3">
      <c r="A1671" t="s">
        <v>17</v>
      </c>
      <c r="B1671" t="str">
        <f>"601933"</f>
        <v>601933</v>
      </c>
      <c r="C1671" t="s">
        <v>3632</v>
      </c>
      <c r="D1671" t="s">
        <v>3633</v>
      </c>
      <c r="E1671">
        <v>641873007</v>
      </c>
      <c r="F1671">
        <v>611647156</v>
      </c>
      <c r="G1671">
        <v>1072813914</v>
      </c>
      <c r="H1671">
        <v>2100822497</v>
      </c>
      <c r="I1671">
        <v>782490627</v>
      </c>
      <c r="J1671">
        <v>630280958</v>
      </c>
      <c r="K1671">
        <v>116207889</v>
      </c>
      <c r="L1671">
        <v>103684307</v>
      </c>
      <c r="M1671">
        <v>106114424</v>
      </c>
      <c r="N1671">
        <v>169618684</v>
      </c>
      <c r="O1671">
        <v>131337348</v>
      </c>
      <c r="P1671">
        <v>2444</v>
      </c>
      <c r="Q1671" t="s">
        <v>3634</v>
      </c>
    </row>
    <row r="1672" spans="1:17" x14ac:dyDescent="0.3">
      <c r="A1672" t="s">
        <v>73</v>
      </c>
      <c r="B1672" t="str">
        <f>"300596"</f>
        <v>300596</v>
      </c>
      <c r="C1672" t="s">
        <v>3635</v>
      </c>
      <c r="D1672" t="s">
        <v>3079</v>
      </c>
      <c r="E1672">
        <v>640739546</v>
      </c>
      <c r="F1672">
        <v>531564954</v>
      </c>
      <c r="G1672">
        <v>378584987</v>
      </c>
      <c r="H1672">
        <v>310339911</v>
      </c>
      <c r="I1672">
        <v>218560597</v>
      </c>
      <c r="J1672">
        <v>207976745</v>
      </c>
      <c r="P1672">
        <v>391</v>
      </c>
      <c r="Q1672" t="s">
        <v>3636</v>
      </c>
    </row>
    <row r="1673" spans="1:17" x14ac:dyDescent="0.3">
      <c r="A1673" t="s">
        <v>73</v>
      </c>
      <c r="B1673" t="str">
        <f>"301099"</f>
        <v>301099</v>
      </c>
      <c r="C1673" t="s">
        <v>3637</v>
      </c>
      <c r="D1673" t="s">
        <v>1944</v>
      </c>
      <c r="E1673">
        <v>640080930</v>
      </c>
      <c r="P1673">
        <v>16</v>
      </c>
      <c r="Q1673" t="s">
        <v>3638</v>
      </c>
    </row>
    <row r="1674" spans="1:17" x14ac:dyDescent="0.3">
      <c r="A1674" t="s">
        <v>73</v>
      </c>
      <c r="B1674" t="str">
        <f>"002792"</f>
        <v>002792</v>
      </c>
      <c r="C1674" t="s">
        <v>3639</v>
      </c>
      <c r="D1674" t="s">
        <v>189</v>
      </c>
      <c r="E1674">
        <v>639929171</v>
      </c>
      <c r="F1674">
        <v>689661675</v>
      </c>
      <c r="G1674">
        <v>664012683</v>
      </c>
      <c r="H1674">
        <v>754288809</v>
      </c>
      <c r="I1674">
        <v>498854057</v>
      </c>
      <c r="J1674">
        <v>407313856</v>
      </c>
      <c r="K1674">
        <v>442115056</v>
      </c>
      <c r="L1674">
        <v>0</v>
      </c>
      <c r="P1674">
        <v>343</v>
      </c>
      <c r="Q1674" t="s">
        <v>3640</v>
      </c>
    </row>
    <row r="1675" spans="1:17" x14ac:dyDescent="0.3">
      <c r="A1675" t="s">
        <v>17</v>
      </c>
      <c r="B1675" t="str">
        <f>"603520"</f>
        <v>603520</v>
      </c>
      <c r="C1675" t="s">
        <v>3641</v>
      </c>
      <c r="D1675" t="s">
        <v>908</v>
      </c>
      <c r="E1675">
        <v>639897914</v>
      </c>
      <c r="F1675">
        <v>371525806</v>
      </c>
      <c r="G1675">
        <v>233267137</v>
      </c>
      <c r="H1675">
        <v>268216117</v>
      </c>
      <c r="I1675">
        <v>196794586</v>
      </c>
      <c r="J1675">
        <v>172582792</v>
      </c>
      <c r="K1675">
        <v>146463103</v>
      </c>
      <c r="L1675">
        <v>0</v>
      </c>
      <c r="P1675">
        <v>382</v>
      </c>
      <c r="Q1675" t="s">
        <v>3642</v>
      </c>
    </row>
    <row r="1676" spans="1:17" x14ac:dyDescent="0.3">
      <c r="A1676" t="s">
        <v>17</v>
      </c>
      <c r="B1676" t="str">
        <f>"603017"</f>
        <v>603017</v>
      </c>
      <c r="C1676" t="s">
        <v>3643</v>
      </c>
      <c r="D1676" t="s">
        <v>661</v>
      </c>
      <c r="E1676">
        <v>639582717</v>
      </c>
      <c r="F1676">
        <v>908878614</v>
      </c>
      <c r="G1676">
        <v>636531082</v>
      </c>
      <c r="H1676">
        <v>746700916</v>
      </c>
      <c r="I1676">
        <v>636871435</v>
      </c>
      <c r="J1676">
        <v>436148322</v>
      </c>
      <c r="K1676">
        <v>340107811</v>
      </c>
      <c r="L1676">
        <v>104323871</v>
      </c>
      <c r="M1676">
        <v>0</v>
      </c>
      <c r="P1676">
        <v>121</v>
      </c>
      <c r="Q1676" t="s">
        <v>3644</v>
      </c>
    </row>
    <row r="1677" spans="1:17" x14ac:dyDescent="0.3">
      <c r="A1677" t="s">
        <v>73</v>
      </c>
      <c r="B1677" t="str">
        <f>"300473"</f>
        <v>300473</v>
      </c>
      <c r="C1677" t="s">
        <v>3645</v>
      </c>
      <c r="D1677" t="s">
        <v>722</v>
      </c>
      <c r="E1677">
        <v>639015016</v>
      </c>
      <c r="F1677">
        <v>703004078</v>
      </c>
      <c r="G1677">
        <v>566256707</v>
      </c>
      <c r="H1677">
        <v>653795749</v>
      </c>
      <c r="I1677">
        <v>633383110</v>
      </c>
      <c r="J1677">
        <v>223970526</v>
      </c>
      <c r="K1677">
        <v>176990028</v>
      </c>
      <c r="L1677">
        <v>0</v>
      </c>
      <c r="M1677">
        <v>0</v>
      </c>
      <c r="P1677">
        <v>142</v>
      </c>
      <c r="Q1677" t="s">
        <v>3646</v>
      </c>
    </row>
    <row r="1678" spans="1:17" x14ac:dyDescent="0.3">
      <c r="A1678" t="s">
        <v>17</v>
      </c>
      <c r="B1678" t="str">
        <f>"600796"</f>
        <v>600796</v>
      </c>
      <c r="C1678" t="s">
        <v>3647</v>
      </c>
      <c r="D1678" t="s">
        <v>272</v>
      </c>
      <c r="E1678">
        <v>638445508</v>
      </c>
      <c r="F1678">
        <v>56472995</v>
      </c>
      <c r="G1678">
        <v>54626471</v>
      </c>
      <c r="H1678">
        <v>59777875</v>
      </c>
      <c r="I1678">
        <v>62013005</v>
      </c>
      <c r="J1678">
        <v>68466159</v>
      </c>
      <c r="K1678">
        <v>69839918</v>
      </c>
      <c r="L1678">
        <v>63048379</v>
      </c>
      <c r="M1678">
        <v>66781321</v>
      </c>
      <c r="N1678">
        <v>73927623</v>
      </c>
      <c r="O1678">
        <v>55254504</v>
      </c>
      <c r="P1678">
        <v>74</v>
      </c>
      <c r="Q1678" t="s">
        <v>3648</v>
      </c>
    </row>
    <row r="1679" spans="1:17" x14ac:dyDescent="0.3">
      <c r="A1679" t="s">
        <v>17</v>
      </c>
      <c r="B1679" t="str">
        <f>"603003"</f>
        <v>603003</v>
      </c>
      <c r="C1679" t="s">
        <v>3649</v>
      </c>
      <c r="D1679" t="s">
        <v>302</v>
      </c>
      <c r="E1679">
        <v>638163806</v>
      </c>
      <c r="F1679">
        <v>852349507</v>
      </c>
      <c r="G1679">
        <v>826577041</v>
      </c>
      <c r="H1679">
        <v>301657087</v>
      </c>
      <c r="I1679">
        <v>774747173</v>
      </c>
      <c r="J1679">
        <v>639887956</v>
      </c>
      <c r="K1679">
        <v>391922282</v>
      </c>
      <c r="L1679">
        <v>225200638</v>
      </c>
      <c r="M1679">
        <v>361737366</v>
      </c>
      <c r="N1679">
        <v>614209627</v>
      </c>
      <c r="O1679">
        <v>0</v>
      </c>
      <c r="P1679">
        <v>88</v>
      </c>
      <c r="Q1679" t="s">
        <v>3650</v>
      </c>
    </row>
    <row r="1680" spans="1:17" x14ac:dyDescent="0.3">
      <c r="A1680" t="s">
        <v>73</v>
      </c>
      <c r="B1680" t="str">
        <f>"300119"</f>
        <v>300119</v>
      </c>
      <c r="C1680" t="s">
        <v>3651</v>
      </c>
      <c r="D1680" t="s">
        <v>2849</v>
      </c>
      <c r="E1680">
        <v>638110420</v>
      </c>
      <c r="F1680">
        <v>563728300</v>
      </c>
      <c r="G1680">
        <v>467727390</v>
      </c>
      <c r="H1680">
        <v>426885089</v>
      </c>
      <c r="I1680">
        <v>417714926</v>
      </c>
      <c r="J1680">
        <v>333906868</v>
      </c>
      <c r="K1680">
        <v>333013534</v>
      </c>
      <c r="L1680">
        <v>287216006</v>
      </c>
      <c r="M1680">
        <v>350961241</v>
      </c>
      <c r="N1680">
        <v>246782295</v>
      </c>
      <c r="O1680">
        <v>150103448</v>
      </c>
      <c r="P1680">
        <v>388</v>
      </c>
      <c r="Q1680" t="s">
        <v>3652</v>
      </c>
    </row>
    <row r="1681" spans="1:17" x14ac:dyDescent="0.3">
      <c r="A1681" t="s">
        <v>73</v>
      </c>
      <c r="B1681" t="str">
        <f>"300169"</f>
        <v>300169</v>
      </c>
      <c r="C1681" t="s">
        <v>3653</v>
      </c>
      <c r="D1681" t="s">
        <v>588</v>
      </c>
      <c r="E1681">
        <v>637718698</v>
      </c>
      <c r="F1681">
        <v>719423332</v>
      </c>
      <c r="G1681">
        <v>461312431</v>
      </c>
      <c r="H1681">
        <v>428388198</v>
      </c>
      <c r="I1681">
        <v>411338879</v>
      </c>
      <c r="J1681">
        <v>401923359</v>
      </c>
      <c r="K1681">
        <v>275046227</v>
      </c>
      <c r="L1681">
        <v>329004538</v>
      </c>
      <c r="M1681">
        <v>277820682</v>
      </c>
      <c r="N1681">
        <v>254655389</v>
      </c>
      <c r="O1681">
        <v>190247984</v>
      </c>
      <c r="P1681">
        <v>68</v>
      </c>
      <c r="Q1681" t="s">
        <v>3654</v>
      </c>
    </row>
    <row r="1682" spans="1:17" x14ac:dyDescent="0.3">
      <c r="A1682" t="s">
        <v>73</v>
      </c>
      <c r="B1682" t="str">
        <f>"002468"</f>
        <v>002468</v>
      </c>
      <c r="C1682" t="s">
        <v>3655</v>
      </c>
      <c r="D1682" t="s">
        <v>114</v>
      </c>
      <c r="E1682">
        <v>636929150</v>
      </c>
      <c r="F1682">
        <v>1108737447</v>
      </c>
      <c r="G1682">
        <v>974407022</v>
      </c>
      <c r="H1682">
        <v>1016307027</v>
      </c>
      <c r="I1682">
        <v>853503583</v>
      </c>
      <c r="J1682">
        <v>732522193</v>
      </c>
      <c r="K1682">
        <v>211124508</v>
      </c>
      <c r="L1682">
        <v>214565274</v>
      </c>
      <c r="M1682">
        <v>229531626</v>
      </c>
      <c r="N1682">
        <v>261640777</v>
      </c>
      <c r="O1682">
        <v>189219699</v>
      </c>
      <c r="P1682">
        <v>638</v>
      </c>
      <c r="Q1682" t="s">
        <v>3656</v>
      </c>
    </row>
    <row r="1683" spans="1:17" x14ac:dyDescent="0.3">
      <c r="A1683" t="s">
        <v>73</v>
      </c>
      <c r="B1683" t="str">
        <f>"300863"</f>
        <v>300863</v>
      </c>
      <c r="C1683" t="s">
        <v>3657</v>
      </c>
      <c r="D1683" t="s">
        <v>442</v>
      </c>
      <c r="E1683">
        <v>636803116</v>
      </c>
      <c r="F1683">
        <v>404710685</v>
      </c>
      <c r="G1683">
        <v>0</v>
      </c>
      <c r="P1683">
        <v>75</v>
      </c>
      <c r="Q1683" t="s">
        <v>3658</v>
      </c>
    </row>
    <row r="1684" spans="1:17" x14ac:dyDescent="0.3">
      <c r="A1684" t="s">
        <v>73</v>
      </c>
      <c r="B1684" t="str">
        <f>"300767"</f>
        <v>300767</v>
      </c>
      <c r="C1684" t="s">
        <v>3659</v>
      </c>
      <c r="D1684" t="s">
        <v>2295</v>
      </c>
      <c r="E1684">
        <v>636554118</v>
      </c>
      <c r="F1684">
        <v>400027657</v>
      </c>
      <c r="G1684">
        <v>320270894</v>
      </c>
      <c r="H1684">
        <v>238224128</v>
      </c>
      <c r="I1684">
        <v>0</v>
      </c>
      <c r="P1684">
        <v>197</v>
      </c>
      <c r="Q1684" t="s">
        <v>3660</v>
      </c>
    </row>
    <row r="1685" spans="1:17" x14ac:dyDescent="0.3">
      <c r="A1685" t="s">
        <v>17</v>
      </c>
      <c r="B1685" t="str">
        <f>"600222"</f>
        <v>600222</v>
      </c>
      <c r="C1685" t="s">
        <v>3661</v>
      </c>
      <c r="D1685" t="s">
        <v>215</v>
      </c>
      <c r="E1685">
        <v>636216902</v>
      </c>
      <c r="F1685">
        <v>539001955</v>
      </c>
      <c r="G1685">
        <v>486557096</v>
      </c>
      <c r="H1685">
        <v>445888335</v>
      </c>
      <c r="I1685">
        <v>505090885</v>
      </c>
      <c r="J1685">
        <v>395895906</v>
      </c>
      <c r="K1685">
        <v>342085711</v>
      </c>
      <c r="L1685">
        <v>325203369</v>
      </c>
      <c r="M1685">
        <v>323507954</v>
      </c>
      <c r="N1685">
        <v>255976477</v>
      </c>
      <c r="O1685">
        <v>196542592</v>
      </c>
      <c r="P1685">
        <v>132</v>
      </c>
      <c r="Q1685" t="s">
        <v>3662</v>
      </c>
    </row>
    <row r="1686" spans="1:17" x14ac:dyDescent="0.3">
      <c r="A1686" t="s">
        <v>73</v>
      </c>
      <c r="B1686" t="str">
        <f>"301116"</f>
        <v>301116</v>
      </c>
      <c r="C1686" t="s">
        <v>3663</v>
      </c>
      <c r="D1686" t="s">
        <v>3664</v>
      </c>
      <c r="E1686">
        <v>636095543</v>
      </c>
      <c r="P1686">
        <v>11</v>
      </c>
      <c r="Q1686" t="s">
        <v>3665</v>
      </c>
    </row>
    <row r="1687" spans="1:17" x14ac:dyDescent="0.3">
      <c r="A1687" t="s">
        <v>73</v>
      </c>
      <c r="B1687" t="str">
        <f>"000933"</f>
        <v>000933</v>
      </c>
      <c r="C1687" t="s">
        <v>3666</v>
      </c>
      <c r="D1687" t="s">
        <v>616</v>
      </c>
      <c r="E1687">
        <v>635290853</v>
      </c>
      <c r="F1687">
        <v>677374309</v>
      </c>
      <c r="G1687">
        <v>1348503846</v>
      </c>
      <c r="H1687">
        <v>527910466</v>
      </c>
      <c r="I1687">
        <v>311439032</v>
      </c>
      <c r="J1687">
        <v>636793873</v>
      </c>
      <c r="K1687">
        <v>463093686</v>
      </c>
      <c r="L1687">
        <v>755807183</v>
      </c>
      <c r="M1687">
        <v>1246842249</v>
      </c>
      <c r="N1687">
        <v>574416215</v>
      </c>
      <c r="O1687">
        <v>198668359</v>
      </c>
      <c r="P1687">
        <v>461</v>
      </c>
      <c r="Q1687" t="s">
        <v>3667</v>
      </c>
    </row>
    <row r="1688" spans="1:17" x14ac:dyDescent="0.3">
      <c r="A1688" t="s">
        <v>17</v>
      </c>
      <c r="B1688" t="str">
        <f>"603650"</f>
        <v>603650</v>
      </c>
      <c r="C1688" t="s">
        <v>3668</v>
      </c>
      <c r="D1688" t="s">
        <v>2744</v>
      </c>
      <c r="E1688">
        <v>635226935</v>
      </c>
      <c r="F1688">
        <v>603881409</v>
      </c>
      <c r="G1688">
        <v>604635551</v>
      </c>
      <c r="H1688">
        <v>563867928</v>
      </c>
      <c r="I1688">
        <v>0</v>
      </c>
      <c r="P1688">
        <v>258</v>
      </c>
      <c r="Q1688" t="s">
        <v>3669</v>
      </c>
    </row>
    <row r="1689" spans="1:17" x14ac:dyDescent="0.3">
      <c r="A1689" t="s">
        <v>73</v>
      </c>
      <c r="B1689" t="str">
        <f>"300745"</f>
        <v>300745</v>
      </c>
      <c r="C1689" t="s">
        <v>3670</v>
      </c>
      <c r="D1689" t="s">
        <v>722</v>
      </c>
      <c r="E1689">
        <v>634649938</v>
      </c>
      <c r="F1689">
        <v>309303567</v>
      </c>
      <c r="G1689">
        <v>322329408</v>
      </c>
      <c r="H1689">
        <v>381835154</v>
      </c>
      <c r="I1689">
        <v>263262155</v>
      </c>
      <c r="P1689">
        <v>76</v>
      </c>
      <c r="Q1689" t="s">
        <v>3671</v>
      </c>
    </row>
    <row r="1690" spans="1:17" x14ac:dyDescent="0.3">
      <c r="A1690" t="s">
        <v>73</v>
      </c>
      <c r="B1690" t="str">
        <f>"002269"</f>
        <v>002269</v>
      </c>
      <c r="C1690" t="s">
        <v>3672</v>
      </c>
      <c r="D1690" t="s">
        <v>991</v>
      </c>
      <c r="E1690">
        <v>634592458</v>
      </c>
      <c r="F1690">
        <v>837059941</v>
      </c>
      <c r="G1690">
        <v>899857195</v>
      </c>
      <c r="H1690">
        <v>1235248145</v>
      </c>
      <c r="I1690">
        <v>421897936</v>
      </c>
      <c r="J1690">
        <v>342669066</v>
      </c>
      <c r="K1690">
        <v>283845816</v>
      </c>
      <c r="L1690">
        <v>244384842</v>
      </c>
      <c r="M1690">
        <v>324793377</v>
      </c>
      <c r="N1690">
        <v>237328207</v>
      </c>
      <c r="O1690">
        <v>1299604805</v>
      </c>
      <c r="P1690">
        <v>143</v>
      </c>
      <c r="Q1690" t="s">
        <v>3673</v>
      </c>
    </row>
    <row r="1691" spans="1:17" x14ac:dyDescent="0.3">
      <c r="A1691" t="s">
        <v>73</v>
      </c>
      <c r="B1691" t="str">
        <f>"000716"</f>
        <v>000716</v>
      </c>
      <c r="C1691" t="s">
        <v>3674</v>
      </c>
      <c r="D1691" t="s">
        <v>3675</v>
      </c>
      <c r="E1691">
        <v>634125339</v>
      </c>
      <c r="F1691">
        <v>793904916</v>
      </c>
      <c r="G1691">
        <v>777121128</v>
      </c>
      <c r="H1691">
        <v>858771571</v>
      </c>
      <c r="I1691">
        <v>589287400</v>
      </c>
      <c r="J1691">
        <v>131689601</v>
      </c>
      <c r="K1691">
        <v>139890879</v>
      </c>
      <c r="L1691">
        <v>128365809</v>
      </c>
      <c r="M1691">
        <v>93754309</v>
      </c>
      <c r="N1691">
        <v>49635100</v>
      </c>
      <c r="O1691">
        <v>61678036</v>
      </c>
      <c r="P1691">
        <v>163</v>
      </c>
      <c r="Q1691" t="s">
        <v>3676</v>
      </c>
    </row>
    <row r="1692" spans="1:17" x14ac:dyDescent="0.3">
      <c r="A1692" t="s">
        <v>73</v>
      </c>
      <c r="B1692" t="str">
        <f>"002648"</f>
        <v>002648</v>
      </c>
      <c r="C1692" t="s">
        <v>3677</v>
      </c>
      <c r="D1692" t="s">
        <v>588</v>
      </c>
      <c r="E1692">
        <v>633771055</v>
      </c>
      <c r="F1692">
        <v>561716809</v>
      </c>
      <c r="G1692">
        <v>233343630</v>
      </c>
      <c r="H1692">
        <v>295196463</v>
      </c>
      <c r="I1692">
        <v>304455061</v>
      </c>
      <c r="J1692">
        <v>437600339</v>
      </c>
      <c r="K1692">
        <v>138157652</v>
      </c>
      <c r="L1692">
        <v>107804027</v>
      </c>
      <c r="M1692">
        <v>154002137</v>
      </c>
      <c r="N1692">
        <v>106041424</v>
      </c>
      <c r="O1692">
        <v>130117902</v>
      </c>
      <c r="P1692">
        <v>526</v>
      </c>
      <c r="Q1692" t="s">
        <v>3678</v>
      </c>
    </row>
    <row r="1693" spans="1:17" x14ac:dyDescent="0.3">
      <c r="A1693" t="s">
        <v>17</v>
      </c>
      <c r="B1693" t="str">
        <f>"603818"</f>
        <v>603818</v>
      </c>
      <c r="C1693" t="s">
        <v>3679</v>
      </c>
      <c r="D1693" t="s">
        <v>1111</v>
      </c>
      <c r="E1693">
        <v>633367149</v>
      </c>
      <c r="F1693">
        <v>449567083</v>
      </c>
      <c r="G1693">
        <v>411706800</v>
      </c>
      <c r="H1693">
        <v>406948816</v>
      </c>
      <c r="I1693">
        <v>110180889</v>
      </c>
      <c r="J1693">
        <v>40404798</v>
      </c>
      <c r="K1693">
        <v>25507660</v>
      </c>
      <c r="L1693">
        <v>23564806</v>
      </c>
      <c r="M1693">
        <v>0</v>
      </c>
      <c r="P1693">
        <v>202</v>
      </c>
      <c r="Q1693" t="s">
        <v>3680</v>
      </c>
    </row>
    <row r="1694" spans="1:17" x14ac:dyDescent="0.3">
      <c r="A1694" t="s">
        <v>73</v>
      </c>
      <c r="B1694" t="str">
        <f>"002922"</f>
        <v>002922</v>
      </c>
      <c r="C1694" t="s">
        <v>3681</v>
      </c>
      <c r="D1694" t="s">
        <v>651</v>
      </c>
      <c r="E1694">
        <v>633242253</v>
      </c>
      <c r="F1694">
        <v>363794620</v>
      </c>
      <c r="G1694">
        <v>261374065</v>
      </c>
      <c r="H1694">
        <v>181646309</v>
      </c>
      <c r="I1694">
        <v>147034726</v>
      </c>
      <c r="P1694">
        <v>170</v>
      </c>
      <c r="Q1694" t="s">
        <v>3682</v>
      </c>
    </row>
    <row r="1695" spans="1:17" x14ac:dyDescent="0.3">
      <c r="A1695" t="s">
        <v>73</v>
      </c>
      <c r="B1695" t="str">
        <f>"002242"</f>
        <v>002242</v>
      </c>
      <c r="C1695" t="s">
        <v>3683</v>
      </c>
      <c r="D1695" t="s">
        <v>1186</v>
      </c>
      <c r="E1695">
        <v>633098107</v>
      </c>
      <c r="F1695">
        <v>522763904</v>
      </c>
      <c r="G1695">
        <v>360440907</v>
      </c>
      <c r="H1695">
        <v>369307005</v>
      </c>
      <c r="I1695">
        <v>55765995</v>
      </c>
      <c r="J1695">
        <v>89613240</v>
      </c>
      <c r="K1695">
        <v>211022932</v>
      </c>
      <c r="L1695">
        <v>145973967</v>
      </c>
      <c r="M1695">
        <v>143563922</v>
      </c>
      <c r="N1695">
        <v>129706994</v>
      </c>
      <c r="O1695">
        <v>63431791</v>
      </c>
      <c r="P1695">
        <v>54902</v>
      </c>
      <c r="Q1695" t="s">
        <v>3684</v>
      </c>
    </row>
    <row r="1696" spans="1:17" x14ac:dyDescent="0.3">
      <c r="A1696" t="s">
        <v>17</v>
      </c>
      <c r="B1696" t="str">
        <f>"600876"</f>
        <v>600876</v>
      </c>
      <c r="C1696" t="s">
        <v>3685</v>
      </c>
      <c r="D1696" t="s">
        <v>2655</v>
      </c>
      <c r="E1696">
        <v>632444666</v>
      </c>
      <c r="F1696">
        <v>461059318</v>
      </c>
      <c r="G1696">
        <v>581694834</v>
      </c>
      <c r="H1696">
        <v>678841835</v>
      </c>
      <c r="I1696">
        <v>356701159</v>
      </c>
      <c r="J1696">
        <v>116042229</v>
      </c>
      <c r="K1696">
        <v>95581904</v>
      </c>
      <c r="L1696">
        <v>29461959</v>
      </c>
      <c r="M1696">
        <v>36822112</v>
      </c>
      <c r="N1696">
        <v>74254674</v>
      </c>
      <c r="O1696">
        <v>74519794</v>
      </c>
      <c r="P1696">
        <v>175</v>
      </c>
      <c r="Q1696" t="s">
        <v>3686</v>
      </c>
    </row>
    <row r="1697" spans="1:17" x14ac:dyDescent="0.3">
      <c r="A1697" t="s">
        <v>73</v>
      </c>
      <c r="B1697" t="str">
        <f>"000045"</f>
        <v>000045</v>
      </c>
      <c r="C1697" t="s">
        <v>3687</v>
      </c>
      <c r="D1697" t="s">
        <v>97</v>
      </c>
      <c r="E1697">
        <v>631863823</v>
      </c>
      <c r="F1697">
        <v>526890268</v>
      </c>
      <c r="G1697">
        <v>383964267</v>
      </c>
      <c r="H1697">
        <v>523989642</v>
      </c>
      <c r="I1697">
        <v>145170114</v>
      </c>
      <c r="J1697">
        <v>181957788</v>
      </c>
      <c r="K1697">
        <v>182417173</v>
      </c>
      <c r="L1697">
        <v>181849421</v>
      </c>
      <c r="M1697">
        <v>103651797</v>
      </c>
      <c r="N1697">
        <v>142738730</v>
      </c>
      <c r="O1697">
        <v>62450059</v>
      </c>
      <c r="P1697">
        <v>86</v>
      </c>
      <c r="Q1697" t="s">
        <v>3688</v>
      </c>
    </row>
    <row r="1698" spans="1:17" x14ac:dyDescent="0.3">
      <c r="A1698" t="s">
        <v>17</v>
      </c>
      <c r="B1698" t="str">
        <f>"603055"</f>
        <v>603055</v>
      </c>
      <c r="C1698" t="s">
        <v>3689</v>
      </c>
      <c r="D1698" t="s">
        <v>3204</v>
      </c>
      <c r="E1698">
        <v>631704631</v>
      </c>
      <c r="F1698">
        <v>519828034</v>
      </c>
      <c r="G1698">
        <v>416349594</v>
      </c>
      <c r="H1698">
        <v>367675205</v>
      </c>
      <c r="I1698">
        <v>336621447</v>
      </c>
      <c r="P1698">
        <v>145</v>
      </c>
      <c r="Q1698" t="s">
        <v>3690</v>
      </c>
    </row>
    <row r="1699" spans="1:17" x14ac:dyDescent="0.3">
      <c r="A1699" t="s">
        <v>17</v>
      </c>
      <c r="B1699" t="str">
        <f>"688568"</f>
        <v>688568</v>
      </c>
      <c r="C1699" t="s">
        <v>3691</v>
      </c>
      <c r="D1699" t="s">
        <v>302</v>
      </c>
      <c r="E1699">
        <v>630791721</v>
      </c>
      <c r="F1699">
        <v>370848227</v>
      </c>
      <c r="G1699">
        <v>255080663</v>
      </c>
      <c r="H1699">
        <v>0</v>
      </c>
      <c r="P1699">
        <v>98</v>
      </c>
      <c r="Q1699" t="s">
        <v>3692</v>
      </c>
    </row>
    <row r="1700" spans="1:17" x14ac:dyDescent="0.3">
      <c r="A1700" t="s">
        <v>73</v>
      </c>
      <c r="B1700" t="str">
        <f>"002684"</f>
        <v>002684</v>
      </c>
      <c r="C1700" t="s">
        <v>3693</v>
      </c>
      <c r="D1700" t="s">
        <v>3310</v>
      </c>
      <c r="E1700">
        <v>630375405</v>
      </c>
      <c r="F1700">
        <v>1188878840</v>
      </c>
      <c r="G1700">
        <v>1241570359</v>
      </c>
      <c r="H1700">
        <v>1549315408</v>
      </c>
      <c r="I1700">
        <v>3318254316</v>
      </c>
      <c r="J1700">
        <v>1243662135</v>
      </c>
      <c r="K1700">
        <v>486184920</v>
      </c>
      <c r="L1700">
        <v>56570527</v>
      </c>
      <c r="M1700">
        <v>63796524</v>
      </c>
      <c r="N1700">
        <v>61135357</v>
      </c>
      <c r="O1700">
        <v>45679423</v>
      </c>
      <c r="P1700">
        <v>91</v>
      </c>
      <c r="Q1700" t="s">
        <v>3694</v>
      </c>
    </row>
    <row r="1701" spans="1:17" x14ac:dyDescent="0.3">
      <c r="A1701" t="s">
        <v>17</v>
      </c>
      <c r="B1701" t="str">
        <f>"688518"</f>
        <v>688518</v>
      </c>
      <c r="C1701" t="s">
        <v>3695</v>
      </c>
      <c r="D1701" t="s">
        <v>499</v>
      </c>
      <c r="E1701">
        <v>630110022</v>
      </c>
      <c r="F1701">
        <v>384808007</v>
      </c>
      <c r="G1701">
        <v>389288062</v>
      </c>
      <c r="H1701">
        <v>0</v>
      </c>
      <c r="P1701">
        <v>65</v>
      </c>
      <c r="Q1701" t="s">
        <v>3696</v>
      </c>
    </row>
    <row r="1702" spans="1:17" x14ac:dyDescent="0.3">
      <c r="A1702" t="s">
        <v>73</v>
      </c>
      <c r="B1702" t="str">
        <f>"002521"</f>
        <v>002521</v>
      </c>
      <c r="C1702" t="s">
        <v>3697</v>
      </c>
      <c r="D1702" t="s">
        <v>2185</v>
      </c>
      <c r="E1702">
        <v>629871894</v>
      </c>
      <c r="F1702">
        <v>576432616</v>
      </c>
      <c r="G1702">
        <v>678663119</v>
      </c>
      <c r="H1702">
        <v>816116442</v>
      </c>
      <c r="I1702">
        <v>649705557</v>
      </c>
      <c r="J1702">
        <v>531262492</v>
      </c>
      <c r="K1702">
        <v>533567175</v>
      </c>
      <c r="L1702">
        <v>457261503</v>
      </c>
      <c r="M1702">
        <v>241137785</v>
      </c>
      <c r="N1702">
        <v>273003162</v>
      </c>
      <c r="O1702">
        <v>146346591</v>
      </c>
      <c r="P1702">
        <v>132</v>
      </c>
      <c r="Q1702" t="s">
        <v>3698</v>
      </c>
    </row>
    <row r="1703" spans="1:17" x14ac:dyDescent="0.3">
      <c r="A1703" t="s">
        <v>17</v>
      </c>
      <c r="B1703" t="str">
        <f>"603829"</f>
        <v>603829</v>
      </c>
      <c r="C1703" t="s">
        <v>3699</v>
      </c>
      <c r="D1703" t="s">
        <v>230</v>
      </c>
      <c r="E1703">
        <v>629816634</v>
      </c>
      <c r="F1703">
        <v>456148268</v>
      </c>
      <c r="G1703">
        <v>233339677</v>
      </c>
      <c r="H1703">
        <v>214791603</v>
      </c>
      <c r="I1703">
        <v>190576092</v>
      </c>
      <c r="P1703">
        <v>50</v>
      </c>
      <c r="Q1703" t="s">
        <v>3700</v>
      </c>
    </row>
    <row r="1704" spans="1:17" x14ac:dyDescent="0.3">
      <c r="A1704" t="s">
        <v>73</v>
      </c>
      <c r="B1704" t="str">
        <f>"300462"</f>
        <v>300462</v>
      </c>
      <c r="C1704" t="s">
        <v>3701</v>
      </c>
      <c r="D1704" t="s">
        <v>158</v>
      </c>
      <c r="E1704">
        <v>629228708</v>
      </c>
      <c r="F1704">
        <v>776192717</v>
      </c>
      <c r="G1704">
        <v>1011729609</v>
      </c>
      <c r="H1704">
        <v>195908019</v>
      </c>
      <c r="I1704">
        <v>190848957</v>
      </c>
      <c r="J1704">
        <v>208554315</v>
      </c>
      <c r="K1704">
        <v>104745315</v>
      </c>
      <c r="L1704">
        <v>0</v>
      </c>
      <c r="M1704">
        <v>0</v>
      </c>
      <c r="P1704">
        <v>176</v>
      </c>
      <c r="Q1704" t="s">
        <v>3702</v>
      </c>
    </row>
    <row r="1705" spans="1:17" x14ac:dyDescent="0.3">
      <c r="A1705" t="s">
        <v>73</v>
      </c>
      <c r="B1705" t="str">
        <f>"300180"</f>
        <v>300180</v>
      </c>
      <c r="C1705" t="s">
        <v>3703</v>
      </c>
      <c r="D1705" t="s">
        <v>3079</v>
      </c>
      <c r="E1705">
        <v>628922294</v>
      </c>
      <c r="F1705">
        <v>677492763</v>
      </c>
      <c r="G1705">
        <v>409218806</v>
      </c>
      <c r="H1705">
        <v>568068419</v>
      </c>
      <c r="I1705">
        <v>382636162</v>
      </c>
      <c r="J1705">
        <v>245201065</v>
      </c>
      <c r="K1705">
        <v>163930186</v>
      </c>
      <c r="L1705">
        <v>182403163</v>
      </c>
      <c r="M1705">
        <v>113320094</v>
      </c>
      <c r="N1705">
        <v>80144609</v>
      </c>
      <c r="O1705">
        <v>65145430</v>
      </c>
      <c r="P1705">
        <v>141</v>
      </c>
      <c r="Q1705" t="s">
        <v>3704</v>
      </c>
    </row>
    <row r="1706" spans="1:17" x14ac:dyDescent="0.3">
      <c r="A1706" t="s">
        <v>17</v>
      </c>
      <c r="B1706" t="str">
        <f>"600017"</f>
        <v>600017</v>
      </c>
      <c r="C1706" t="s">
        <v>3705</v>
      </c>
      <c r="D1706" t="s">
        <v>706</v>
      </c>
      <c r="E1706">
        <v>628425039</v>
      </c>
      <c r="F1706">
        <v>703266108</v>
      </c>
      <c r="G1706">
        <v>1015804389</v>
      </c>
      <c r="H1706">
        <v>772534278</v>
      </c>
      <c r="I1706">
        <v>644851313</v>
      </c>
      <c r="J1706">
        <v>768435593</v>
      </c>
      <c r="K1706">
        <v>783113101</v>
      </c>
      <c r="L1706">
        <v>674201473</v>
      </c>
      <c r="M1706">
        <v>681502085</v>
      </c>
      <c r="N1706">
        <v>403761361</v>
      </c>
      <c r="O1706">
        <v>332209263</v>
      </c>
      <c r="P1706">
        <v>180</v>
      </c>
      <c r="Q1706" t="s">
        <v>3706</v>
      </c>
    </row>
    <row r="1707" spans="1:17" x14ac:dyDescent="0.3">
      <c r="A1707" t="s">
        <v>17</v>
      </c>
      <c r="B1707" t="str">
        <f>"603230"</f>
        <v>603230</v>
      </c>
      <c r="C1707" t="s">
        <v>3707</v>
      </c>
      <c r="D1707" t="s">
        <v>1316</v>
      </c>
      <c r="E1707">
        <v>628340090</v>
      </c>
      <c r="P1707">
        <v>17</v>
      </c>
      <c r="Q1707" t="s">
        <v>3708</v>
      </c>
    </row>
    <row r="1708" spans="1:17" x14ac:dyDescent="0.3">
      <c r="A1708" t="s">
        <v>17</v>
      </c>
      <c r="B1708" t="str">
        <f>"688189"</f>
        <v>688189</v>
      </c>
      <c r="C1708" t="s">
        <v>3709</v>
      </c>
      <c r="D1708" t="s">
        <v>348</v>
      </c>
      <c r="E1708">
        <v>626970400</v>
      </c>
      <c r="F1708">
        <v>913725526</v>
      </c>
      <c r="G1708">
        <v>291180030</v>
      </c>
      <c r="P1708">
        <v>97</v>
      </c>
      <c r="Q1708" t="s">
        <v>3710</v>
      </c>
    </row>
    <row r="1709" spans="1:17" x14ac:dyDescent="0.3">
      <c r="A1709" t="s">
        <v>17</v>
      </c>
      <c r="B1709" t="str">
        <f>"603116"</f>
        <v>603116</v>
      </c>
      <c r="C1709" t="s">
        <v>3711</v>
      </c>
      <c r="D1709" t="s">
        <v>2601</v>
      </c>
      <c r="E1709">
        <v>625897379</v>
      </c>
      <c r="F1709">
        <v>878348426</v>
      </c>
      <c r="G1709">
        <v>875445930</v>
      </c>
      <c r="H1709">
        <v>681305250</v>
      </c>
      <c r="I1709">
        <v>575916855</v>
      </c>
      <c r="J1709">
        <v>421150871</v>
      </c>
      <c r="K1709">
        <v>425963826</v>
      </c>
      <c r="L1709">
        <v>429504814</v>
      </c>
      <c r="M1709">
        <v>0</v>
      </c>
      <c r="P1709">
        <v>102</v>
      </c>
      <c r="Q1709" t="s">
        <v>3712</v>
      </c>
    </row>
    <row r="1710" spans="1:17" x14ac:dyDescent="0.3">
      <c r="A1710" t="s">
        <v>73</v>
      </c>
      <c r="B1710" t="str">
        <f>"300475"</f>
        <v>300475</v>
      </c>
      <c r="C1710" t="s">
        <v>3713</v>
      </c>
      <c r="D1710" t="s">
        <v>654</v>
      </c>
      <c r="E1710">
        <v>625434977</v>
      </c>
      <c r="F1710">
        <v>63465860</v>
      </c>
      <c r="G1710">
        <v>37003996</v>
      </c>
      <c r="H1710">
        <v>50326739</v>
      </c>
      <c r="I1710">
        <v>45477890</v>
      </c>
      <c r="J1710">
        <v>73355802</v>
      </c>
      <c r="K1710">
        <v>80157783</v>
      </c>
      <c r="L1710">
        <v>65400032</v>
      </c>
      <c r="M1710">
        <v>0</v>
      </c>
      <c r="P1710">
        <v>92</v>
      </c>
      <c r="Q1710" t="s">
        <v>3714</v>
      </c>
    </row>
    <row r="1711" spans="1:17" x14ac:dyDescent="0.3">
      <c r="A1711" t="s">
        <v>17</v>
      </c>
      <c r="B1711" t="str">
        <f>"603773"</f>
        <v>603773</v>
      </c>
      <c r="C1711" t="s">
        <v>3715</v>
      </c>
      <c r="D1711" t="s">
        <v>97</v>
      </c>
      <c r="E1711">
        <v>625351478</v>
      </c>
      <c r="F1711">
        <v>310599342</v>
      </c>
      <c r="G1711">
        <v>182755691</v>
      </c>
      <c r="H1711">
        <v>146878217</v>
      </c>
      <c r="I1711">
        <v>234942574</v>
      </c>
      <c r="J1711">
        <v>0</v>
      </c>
      <c r="P1711">
        <v>141</v>
      </c>
      <c r="Q1711" t="s">
        <v>3716</v>
      </c>
    </row>
    <row r="1712" spans="1:17" x14ac:dyDescent="0.3">
      <c r="A1712" t="s">
        <v>17</v>
      </c>
      <c r="B1712" t="str">
        <f>"600807"</f>
        <v>600807</v>
      </c>
      <c r="C1712" t="s">
        <v>3717</v>
      </c>
      <c r="D1712" t="s">
        <v>27</v>
      </c>
      <c r="E1712">
        <v>623233513</v>
      </c>
      <c r="F1712">
        <v>472029790</v>
      </c>
      <c r="G1712">
        <v>60549914</v>
      </c>
      <c r="H1712">
        <v>1342722514</v>
      </c>
      <c r="I1712">
        <v>3423117930</v>
      </c>
      <c r="J1712">
        <v>1608364191</v>
      </c>
      <c r="K1712">
        <v>41762734</v>
      </c>
      <c r="L1712">
        <v>6220170</v>
      </c>
      <c r="M1712">
        <v>384394</v>
      </c>
      <c r="N1712">
        <v>405554</v>
      </c>
      <c r="O1712">
        <v>2109573</v>
      </c>
      <c r="P1712">
        <v>111</v>
      </c>
      <c r="Q1712" t="s">
        <v>3718</v>
      </c>
    </row>
    <row r="1713" spans="1:17" x14ac:dyDescent="0.3">
      <c r="A1713" t="s">
        <v>73</v>
      </c>
      <c r="B1713" t="str">
        <f>"000705"</f>
        <v>000705</v>
      </c>
      <c r="C1713" t="s">
        <v>3719</v>
      </c>
      <c r="D1713" t="s">
        <v>50</v>
      </c>
      <c r="E1713">
        <v>622428472</v>
      </c>
      <c r="F1713">
        <v>527148902</v>
      </c>
      <c r="G1713">
        <v>552946628</v>
      </c>
      <c r="H1713">
        <v>543659633</v>
      </c>
      <c r="I1713">
        <v>475479635</v>
      </c>
      <c r="J1713">
        <v>508654919</v>
      </c>
      <c r="K1713">
        <v>473306980</v>
      </c>
      <c r="L1713">
        <v>441553436</v>
      </c>
      <c r="M1713">
        <v>450405831</v>
      </c>
      <c r="N1713">
        <v>416845372</v>
      </c>
      <c r="O1713">
        <v>381847855</v>
      </c>
      <c r="P1713">
        <v>107</v>
      </c>
      <c r="Q1713" t="s">
        <v>3720</v>
      </c>
    </row>
    <row r="1714" spans="1:17" x14ac:dyDescent="0.3">
      <c r="A1714" t="s">
        <v>17</v>
      </c>
      <c r="B1714" t="str">
        <f>"603725"</f>
        <v>603725</v>
      </c>
      <c r="C1714" t="s">
        <v>3721</v>
      </c>
      <c r="D1714" t="s">
        <v>588</v>
      </c>
      <c r="E1714">
        <v>622240515</v>
      </c>
      <c r="F1714">
        <v>249054834</v>
      </c>
      <c r="G1714">
        <v>180235850</v>
      </c>
      <c r="H1714">
        <v>195001745</v>
      </c>
      <c r="I1714">
        <v>255875502</v>
      </c>
      <c r="P1714">
        <v>74</v>
      </c>
      <c r="Q1714" t="s">
        <v>3722</v>
      </c>
    </row>
    <row r="1715" spans="1:17" x14ac:dyDescent="0.3">
      <c r="A1715" t="s">
        <v>73</v>
      </c>
      <c r="B1715" t="str">
        <f>"002184"</f>
        <v>002184</v>
      </c>
      <c r="C1715" t="s">
        <v>3723</v>
      </c>
      <c r="D1715" t="s">
        <v>626</v>
      </c>
      <c r="E1715">
        <v>621859806</v>
      </c>
      <c r="F1715">
        <v>567451956</v>
      </c>
      <c r="G1715">
        <v>515934484</v>
      </c>
      <c r="H1715">
        <v>647913103</v>
      </c>
      <c r="I1715">
        <v>840451716</v>
      </c>
      <c r="J1715">
        <v>739970003</v>
      </c>
      <c r="K1715">
        <v>767777058</v>
      </c>
      <c r="L1715">
        <v>586069874</v>
      </c>
      <c r="M1715">
        <v>431378140</v>
      </c>
      <c r="N1715">
        <v>343714357</v>
      </c>
      <c r="O1715">
        <v>267356172</v>
      </c>
      <c r="P1715">
        <v>186</v>
      </c>
      <c r="Q1715" t="s">
        <v>3724</v>
      </c>
    </row>
    <row r="1716" spans="1:17" x14ac:dyDescent="0.3">
      <c r="A1716" t="s">
        <v>73</v>
      </c>
      <c r="B1716" t="str">
        <f>"002946"</f>
        <v>002946</v>
      </c>
      <c r="C1716" t="s">
        <v>3725</v>
      </c>
      <c r="D1716" t="s">
        <v>1027</v>
      </c>
      <c r="E1716">
        <v>621721578</v>
      </c>
      <c r="F1716">
        <v>572157132</v>
      </c>
      <c r="G1716">
        <v>423736307</v>
      </c>
      <c r="H1716">
        <v>407816102</v>
      </c>
      <c r="P1716">
        <v>342</v>
      </c>
      <c r="Q1716" t="s">
        <v>3726</v>
      </c>
    </row>
    <row r="1717" spans="1:17" x14ac:dyDescent="0.3">
      <c r="A1717" t="s">
        <v>73</v>
      </c>
      <c r="B1717" t="str">
        <f>"002897"</f>
        <v>002897</v>
      </c>
      <c r="C1717" t="s">
        <v>3727</v>
      </c>
      <c r="D1717" t="s">
        <v>189</v>
      </c>
      <c r="E1717">
        <v>621379148</v>
      </c>
      <c r="F1717">
        <v>655175967</v>
      </c>
      <c r="G1717">
        <v>345145249</v>
      </c>
      <c r="H1717">
        <v>344141270</v>
      </c>
      <c r="I1717">
        <v>274482892</v>
      </c>
      <c r="P1717">
        <v>234</v>
      </c>
      <c r="Q1717" t="s">
        <v>3728</v>
      </c>
    </row>
    <row r="1718" spans="1:17" x14ac:dyDescent="0.3">
      <c r="A1718" t="s">
        <v>17</v>
      </c>
      <c r="B1718" t="str">
        <f>"603681"</f>
        <v>603681</v>
      </c>
      <c r="C1718" t="s">
        <v>3729</v>
      </c>
      <c r="D1718" t="s">
        <v>2824</v>
      </c>
      <c r="E1718">
        <v>621337439</v>
      </c>
      <c r="F1718">
        <v>352695870</v>
      </c>
      <c r="G1718">
        <v>262323945</v>
      </c>
      <c r="H1718">
        <v>253976745</v>
      </c>
      <c r="I1718">
        <v>0</v>
      </c>
      <c r="P1718">
        <v>113</v>
      </c>
      <c r="Q1718" t="s">
        <v>3730</v>
      </c>
    </row>
    <row r="1719" spans="1:17" x14ac:dyDescent="0.3">
      <c r="A1719" t="s">
        <v>73</v>
      </c>
      <c r="B1719" t="str">
        <f>"002026"</f>
        <v>002026</v>
      </c>
      <c r="C1719" t="s">
        <v>3731</v>
      </c>
      <c r="D1719" t="s">
        <v>146</v>
      </c>
      <c r="E1719">
        <v>621096070</v>
      </c>
      <c r="F1719">
        <v>524198624</v>
      </c>
      <c r="G1719">
        <v>364776302</v>
      </c>
      <c r="H1719">
        <v>480268746</v>
      </c>
      <c r="I1719">
        <v>418800497</v>
      </c>
      <c r="J1719">
        <v>320467814</v>
      </c>
      <c r="K1719">
        <v>216314359</v>
      </c>
      <c r="L1719">
        <v>182115126</v>
      </c>
      <c r="M1719">
        <v>146361594</v>
      </c>
      <c r="N1719">
        <v>133103286</v>
      </c>
      <c r="O1719">
        <v>109074671</v>
      </c>
      <c r="P1719">
        <v>208</v>
      </c>
      <c r="Q1719" t="s">
        <v>3732</v>
      </c>
    </row>
    <row r="1720" spans="1:17" x14ac:dyDescent="0.3">
      <c r="A1720" t="s">
        <v>73</v>
      </c>
      <c r="B1720" t="str">
        <f>"300276"</f>
        <v>300276</v>
      </c>
      <c r="C1720" t="s">
        <v>3733</v>
      </c>
      <c r="D1720" t="s">
        <v>2121</v>
      </c>
      <c r="E1720">
        <v>620281784</v>
      </c>
      <c r="F1720">
        <v>461857596</v>
      </c>
      <c r="G1720">
        <v>593578878</v>
      </c>
      <c r="H1720">
        <v>611525103</v>
      </c>
      <c r="I1720">
        <v>428216139</v>
      </c>
      <c r="J1720">
        <v>229828656</v>
      </c>
      <c r="K1720">
        <v>210463026</v>
      </c>
      <c r="L1720">
        <v>217949162</v>
      </c>
      <c r="M1720">
        <v>186892723</v>
      </c>
      <c r="N1720">
        <v>142010757</v>
      </c>
      <c r="O1720">
        <v>96325075</v>
      </c>
      <c r="P1720">
        <v>138</v>
      </c>
      <c r="Q1720" t="s">
        <v>3734</v>
      </c>
    </row>
    <row r="1721" spans="1:17" x14ac:dyDescent="0.3">
      <c r="A1721" t="s">
        <v>17</v>
      </c>
      <c r="B1721" t="str">
        <f>"603903"</f>
        <v>603903</v>
      </c>
      <c r="C1721" t="s">
        <v>3735</v>
      </c>
      <c r="D1721" t="s">
        <v>308</v>
      </c>
      <c r="E1721">
        <v>620072224</v>
      </c>
      <c r="F1721">
        <v>426148162</v>
      </c>
      <c r="G1721">
        <v>499224145</v>
      </c>
      <c r="H1721">
        <v>464536820</v>
      </c>
      <c r="I1721">
        <v>292550067</v>
      </c>
      <c r="J1721">
        <v>189950374</v>
      </c>
      <c r="P1721">
        <v>119</v>
      </c>
      <c r="Q1721" t="s">
        <v>3736</v>
      </c>
    </row>
    <row r="1722" spans="1:17" x14ac:dyDescent="0.3">
      <c r="A1722" t="s">
        <v>17</v>
      </c>
      <c r="B1722" t="str">
        <f>"605138"</f>
        <v>605138</v>
      </c>
      <c r="C1722" t="s">
        <v>3737</v>
      </c>
      <c r="D1722" t="s">
        <v>991</v>
      </c>
      <c r="E1722">
        <v>619957138</v>
      </c>
      <c r="P1722">
        <v>27</v>
      </c>
      <c r="Q1722" t="s">
        <v>3738</v>
      </c>
    </row>
    <row r="1723" spans="1:17" x14ac:dyDescent="0.3">
      <c r="A1723" t="s">
        <v>73</v>
      </c>
      <c r="B1723" t="str">
        <f>"300080"</f>
        <v>300080</v>
      </c>
      <c r="C1723" t="s">
        <v>3739</v>
      </c>
      <c r="D1723" t="s">
        <v>3119</v>
      </c>
      <c r="E1723">
        <v>618900396</v>
      </c>
      <c r="F1723">
        <v>356291478</v>
      </c>
      <c r="G1723">
        <v>569402616</v>
      </c>
      <c r="H1723">
        <v>571777755</v>
      </c>
      <c r="I1723">
        <v>1060854124</v>
      </c>
      <c r="J1723">
        <v>1176079067</v>
      </c>
      <c r="K1723">
        <v>796919857</v>
      </c>
      <c r="L1723">
        <v>839115853</v>
      </c>
      <c r="M1723">
        <v>927939667</v>
      </c>
      <c r="N1723">
        <v>468639719</v>
      </c>
      <c r="O1723">
        <v>494740577</v>
      </c>
      <c r="P1723">
        <v>111</v>
      </c>
      <c r="Q1723" t="s">
        <v>3740</v>
      </c>
    </row>
    <row r="1724" spans="1:17" x14ac:dyDescent="0.3">
      <c r="A1724" t="s">
        <v>73</v>
      </c>
      <c r="B1724" t="str">
        <f>"300472"</f>
        <v>300472</v>
      </c>
      <c r="C1724" t="s">
        <v>3741</v>
      </c>
      <c r="D1724" t="s">
        <v>1451</v>
      </c>
      <c r="E1724">
        <v>618786456</v>
      </c>
      <c r="F1724">
        <v>496387113</v>
      </c>
      <c r="G1724">
        <v>389595626</v>
      </c>
      <c r="H1724">
        <v>0</v>
      </c>
      <c r="I1724">
        <v>343579942</v>
      </c>
      <c r="J1724">
        <v>187088569</v>
      </c>
      <c r="K1724">
        <v>146312164</v>
      </c>
      <c r="L1724">
        <v>87010486</v>
      </c>
      <c r="M1724">
        <v>0</v>
      </c>
      <c r="P1724">
        <v>78</v>
      </c>
      <c r="Q1724" t="s">
        <v>3742</v>
      </c>
    </row>
    <row r="1725" spans="1:17" x14ac:dyDescent="0.3">
      <c r="A1725" t="s">
        <v>73</v>
      </c>
      <c r="B1725" t="str">
        <f>"002083"</f>
        <v>002083</v>
      </c>
      <c r="C1725" t="s">
        <v>3743</v>
      </c>
      <c r="D1725" t="s">
        <v>2052</v>
      </c>
      <c r="E1725">
        <v>617567812</v>
      </c>
      <c r="F1725">
        <v>631899930</v>
      </c>
      <c r="G1725">
        <v>647751052</v>
      </c>
      <c r="H1725">
        <v>581466060</v>
      </c>
      <c r="I1725">
        <v>461130308</v>
      </c>
      <c r="J1725">
        <v>467486222</v>
      </c>
      <c r="K1725">
        <v>503062151</v>
      </c>
      <c r="L1725">
        <v>470986025</v>
      </c>
      <c r="M1725">
        <v>448255245</v>
      </c>
      <c r="N1725">
        <v>385759793</v>
      </c>
      <c r="O1725">
        <v>410141009</v>
      </c>
      <c r="P1725">
        <v>283</v>
      </c>
      <c r="Q1725" t="s">
        <v>3744</v>
      </c>
    </row>
    <row r="1726" spans="1:17" x14ac:dyDescent="0.3">
      <c r="A1726" t="s">
        <v>17</v>
      </c>
      <c r="B1726" t="str">
        <f>"600843"</f>
        <v>600843</v>
      </c>
      <c r="C1726" t="s">
        <v>3745</v>
      </c>
      <c r="D1726" t="s">
        <v>792</v>
      </c>
      <c r="E1726">
        <v>617090960</v>
      </c>
      <c r="F1726">
        <v>551145930</v>
      </c>
      <c r="G1726">
        <v>514928740</v>
      </c>
      <c r="H1726">
        <v>608354505</v>
      </c>
      <c r="I1726">
        <v>467232173</v>
      </c>
      <c r="J1726">
        <v>415399214</v>
      </c>
      <c r="K1726">
        <v>428941265</v>
      </c>
      <c r="L1726">
        <v>246672224</v>
      </c>
      <c r="M1726">
        <v>309411575</v>
      </c>
      <c r="N1726">
        <v>216459697</v>
      </c>
      <c r="O1726">
        <v>222828821</v>
      </c>
      <c r="P1726">
        <v>78</v>
      </c>
      <c r="Q1726" t="s">
        <v>3746</v>
      </c>
    </row>
    <row r="1727" spans="1:17" x14ac:dyDescent="0.3">
      <c r="A1727" t="s">
        <v>17</v>
      </c>
      <c r="B1727" t="str">
        <f>"688030"</f>
        <v>688030</v>
      </c>
      <c r="C1727" t="s">
        <v>3747</v>
      </c>
      <c r="D1727" t="s">
        <v>404</v>
      </c>
      <c r="E1727">
        <v>616999503</v>
      </c>
      <c r="F1727">
        <v>311509118</v>
      </c>
      <c r="G1727">
        <v>256690358</v>
      </c>
      <c r="H1727">
        <v>224366366</v>
      </c>
      <c r="P1727">
        <v>145</v>
      </c>
      <c r="Q1727" t="s">
        <v>3748</v>
      </c>
    </row>
    <row r="1728" spans="1:17" x14ac:dyDescent="0.3">
      <c r="A1728" t="s">
        <v>73</v>
      </c>
      <c r="B1728" t="str">
        <f>"002219"</f>
        <v>002219</v>
      </c>
      <c r="C1728" t="s">
        <v>3749</v>
      </c>
      <c r="D1728" t="s">
        <v>1255</v>
      </c>
      <c r="E1728">
        <v>616533877</v>
      </c>
      <c r="F1728">
        <v>582756951</v>
      </c>
      <c r="G1728">
        <v>546046313</v>
      </c>
      <c r="H1728">
        <v>1524374616</v>
      </c>
      <c r="I1728">
        <v>1645381809</v>
      </c>
      <c r="J1728">
        <v>1393059327</v>
      </c>
      <c r="K1728">
        <v>697597292</v>
      </c>
      <c r="L1728">
        <v>402734830</v>
      </c>
      <c r="M1728">
        <v>268460699</v>
      </c>
      <c r="N1728">
        <v>157884497</v>
      </c>
      <c r="O1728">
        <v>119436250</v>
      </c>
      <c r="P1728">
        <v>94</v>
      </c>
      <c r="Q1728" t="s">
        <v>3750</v>
      </c>
    </row>
    <row r="1729" spans="1:17" x14ac:dyDescent="0.3">
      <c r="A1729" t="s">
        <v>17</v>
      </c>
      <c r="B1729" t="str">
        <f>"603367"</f>
        <v>603367</v>
      </c>
      <c r="C1729" t="s">
        <v>3751</v>
      </c>
      <c r="D1729" t="s">
        <v>348</v>
      </c>
      <c r="E1729">
        <v>615894915</v>
      </c>
      <c r="F1729">
        <v>601679755</v>
      </c>
      <c r="G1729">
        <v>692072473</v>
      </c>
      <c r="H1729">
        <v>623936571</v>
      </c>
      <c r="I1729">
        <v>525053991</v>
      </c>
      <c r="P1729">
        <v>245</v>
      </c>
      <c r="Q1729" t="s">
        <v>3752</v>
      </c>
    </row>
    <row r="1730" spans="1:17" x14ac:dyDescent="0.3">
      <c r="A1730" t="s">
        <v>73</v>
      </c>
      <c r="B1730" t="str">
        <f>"002696"</f>
        <v>002696</v>
      </c>
      <c r="C1730" t="s">
        <v>3753</v>
      </c>
      <c r="D1730" t="s">
        <v>3754</v>
      </c>
      <c r="E1730">
        <v>615658741</v>
      </c>
      <c r="F1730">
        <v>401413082</v>
      </c>
      <c r="G1730">
        <v>452802911</v>
      </c>
      <c r="H1730">
        <v>508723128</v>
      </c>
      <c r="I1730">
        <v>365378265</v>
      </c>
      <c r="J1730">
        <v>295545486</v>
      </c>
      <c r="K1730">
        <v>270608325</v>
      </c>
      <c r="L1730">
        <v>214297150</v>
      </c>
      <c r="M1730">
        <v>108274539</v>
      </c>
      <c r="N1730">
        <v>109120009</v>
      </c>
      <c r="O1730">
        <v>0</v>
      </c>
      <c r="P1730">
        <v>93</v>
      </c>
      <c r="Q1730" t="s">
        <v>3755</v>
      </c>
    </row>
    <row r="1731" spans="1:17" x14ac:dyDescent="0.3">
      <c r="A1731" t="s">
        <v>17</v>
      </c>
      <c r="B1731" t="str">
        <f>"600705"</f>
        <v>600705</v>
      </c>
      <c r="C1731" t="s">
        <v>3756</v>
      </c>
      <c r="D1731" t="s">
        <v>3243</v>
      </c>
      <c r="E1731">
        <v>615076801</v>
      </c>
      <c r="F1731">
        <v>337401543</v>
      </c>
      <c r="G1731">
        <v>328529469</v>
      </c>
      <c r="H1731">
        <v>514988713</v>
      </c>
      <c r="I1731">
        <v>336634691</v>
      </c>
      <c r="J1731">
        <v>195365588</v>
      </c>
      <c r="K1731">
        <v>146629102</v>
      </c>
      <c r="L1731">
        <v>43668821</v>
      </c>
      <c r="M1731">
        <v>71772088</v>
      </c>
      <c r="N1731">
        <v>35488019</v>
      </c>
      <c r="O1731">
        <v>12150609</v>
      </c>
      <c r="P1731">
        <v>440</v>
      </c>
      <c r="Q1731" t="s">
        <v>3757</v>
      </c>
    </row>
    <row r="1732" spans="1:17" x14ac:dyDescent="0.3">
      <c r="A1732" t="s">
        <v>17</v>
      </c>
      <c r="B1732" t="str">
        <f>"603387"</f>
        <v>603387</v>
      </c>
      <c r="C1732" t="s">
        <v>3758</v>
      </c>
      <c r="D1732" t="s">
        <v>773</v>
      </c>
      <c r="E1732">
        <v>614118936</v>
      </c>
      <c r="F1732">
        <v>444494800</v>
      </c>
      <c r="G1732">
        <v>240671971</v>
      </c>
      <c r="H1732">
        <v>101206207</v>
      </c>
      <c r="I1732">
        <v>37242446</v>
      </c>
      <c r="J1732">
        <v>22856521</v>
      </c>
      <c r="P1732">
        <v>1500</v>
      </c>
      <c r="Q1732" t="s">
        <v>3759</v>
      </c>
    </row>
    <row r="1733" spans="1:17" x14ac:dyDescent="0.3">
      <c r="A1733" t="s">
        <v>17</v>
      </c>
      <c r="B1733" t="str">
        <f>"603508"</f>
        <v>603508</v>
      </c>
      <c r="C1733" t="s">
        <v>3760</v>
      </c>
      <c r="D1733" t="s">
        <v>119</v>
      </c>
      <c r="E1733">
        <v>613712008</v>
      </c>
      <c r="F1733">
        <v>393256922</v>
      </c>
      <c r="G1733">
        <v>378618532</v>
      </c>
      <c r="H1733">
        <v>507975853</v>
      </c>
      <c r="I1733">
        <v>296972091</v>
      </c>
      <c r="J1733">
        <v>270039606</v>
      </c>
      <c r="K1733">
        <v>289357149</v>
      </c>
      <c r="L1733">
        <v>0</v>
      </c>
      <c r="M1733">
        <v>0</v>
      </c>
      <c r="P1733">
        <v>219</v>
      </c>
      <c r="Q1733" t="s">
        <v>3761</v>
      </c>
    </row>
    <row r="1734" spans="1:17" x14ac:dyDescent="0.3">
      <c r="A1734" t="s">
        <v>17</v>
      </c>
      <c r="B1734" t="str">
        <f>"605081"</f>
        <v>605081</v>
      </c>
      <c r="C1734" t="s">
        <v>3762</v>
      </c>
      <c r="D1734" t="s">
        <v>308</v>
      </c>
      <c r="E1734">
        <v>613071017</v>
      </c>
      <c r="F1734">
        <v>466374297</v>
      </c>
      <c r="P1734">
        <v>30</v>
      </c>
      <c r="Q1734" t="s">
        <v>3763</v>
      </c>
    </row>
    <row r="1735" spans="1:17" x14ac:dyDescent="0.3">
      <c r="A1735" t="s">
        <v>73</v>
      </c>
      <c r="B1735" t="str">
        <f>"002328"</f>
        <v>002328</v>
      </c>
      <c r="C1735" t="s">
        <v>3764</v>
      </c>
      <c r="D1735" t="s">
        <v>722</v>
      </c>
      <c r="E1735">
        <v>612416041</v>
      </c>
      <c r="F1735">
        <v>325209821</v>
      </c>
      <c r="G1735">
        <v>206924382</v>
      </c>
      <c r="H1735">
        <v>175903608</v>
      </c>
      <c r="I1735">
        <v>300446108</v>
      </c>
      <c r="J1735">
        <v>550704320</v>
      </c>
      <c r="K1735">
        <v>496253651</v>
      </c>
      <c r="L1735">
        <v>759698931</v>
      </c>
      <c r="M1735">
        <v>396216395</v>
      </c>
      <c r="N1735">
        <v>337900060</v>
      </c>
      <c r="O1735">
        <v>214754957</v>
      </c>
      <c r="P1735">
        <v>110</v>
      </c>
      <c r="Q1735" t="s">
        <v>3765</v>
      </c>
    </row>
    <row r="1736" spans="1:17" x14ac:dyDescent="0.3">
      <c r="A1736" t="s">
        <v>73</v>
      </c>
      <c r="B1736" t="str">
        <f>"002088"</f>
        <v>002088</v>
      </c>
      <c r="C1736" t="s">
        <v>3766</v>
      </c>
      <c r="D1736" t="s">
        <v>1412</v>
      </c>
      <c r="E1736">
        <v>611806744</v>
      </c>
      <c r="F1736">
        <v>733585157</v>
      </c>
      <c r="G1736">
        <v>545726860</v>
      </c>
      <c r="H1736">
        <v>630124681</v>
      </c>
      <c r="I1736">
        <v>373693003</v>
      </c>
      <c r="J1736">
        <v>380328457</v>
      </c>
      <c r="K1736">
        <v>498919897</v>
      </c>
      <c r="L1736">
        <v>528550439</v>
      </c>
      <c r="M1736">
        <v>505427781</v>
      </c>
      <c r="N1736">
        <v>420289058</v>
      </c>
      <c r="O1736">
        <v>378079475</v>
      </c>
      <c r="P1736">
        <v>407</v>
      </c>
      <c r="Q1736" t="s">
        <v>3767</v>
      </c>
    </row>
    <row r="1737" spans="1:17" x14ac:dyDescent="0.3">
      <c r="A1737" t="s">
        <v>73</v>
      </c>
      <c r="B1737" t="str">
        <f>"301091"</f>
        <v>301091</v>
      </c>
      <c r="C1737" t="s">
        <v>3768</v>
      </c>
      <c r="D1737" t="s">
        <v>661</v>
      </c>
      <c r="E1737">
        <v>611720005</v>
      </c>
      <c r="P1737">
        <v>25</v>
      </c>
      <c r="Q1737" t="s">
        <v>3769</v>
      </c>
    </row>
    <row r="1738" spans="1:17" x14ac:dyDescent="0.3">
      <c r="A1738" t="s">
        <v>73</v>
      </c>
      <c r="B1738" t="str">
        <f>"002153"</f>
        <v>002153</v>
      </c>
      <c r="C1738" t="s">
        <v>3770</v>
      </c>
      <c r="D1738" t="s">
        <v>795</v>
      </c>
      <c r="E1738">
        <v>611658941</v>
      </c>
      <c r="F1738">
        <v>629576958</v>
      </c>
      <c r="G1738">
        <v>638992767</v>
      </c>
      <c r="H1738">
        <v>645071969</v>
      </c>
      <c r="I1738">
        <v>527674434</v>
      </c>
      <c r="J1738">
        <v>395588799</v>
      </c>
      <c r="K1738">
        <v>321653927</v>
      </c>
      <c r="L1738">
        <v>264228549</v>
      </c>
      <c r="M1738">
        <v>235128209</v>
      </c>
      <c r="N1738">
        <v>169839794</v>
      </c>
      <c r="O1738">
        <v>178041772</v>
      </c>
      <c r="P1738">
        <v>679</v>
      </c>
      <c r="Q1738" t="s">
        <v>3771</v>
      </c>
    </row>
    <row r="1739" spans="1:17" x14ac:dyDescent="0.3">
      <c r="A1739" t="s">
        <v>73</v>
      </c>
      <c r="B1739" t="str">
        <f>"002270"</f>
        <v>002270</v>
      </c>
      <c r="C1739" t="s">
        <v>3772</v>
      </c>
      <c r="D1739" t="s">
        <v>224</v>
      </c>
      <c r="E1739">
        <v>611095415</v>
      </c>
      <c r="F1739">
        <v>765979315</v>
      </c>
      <c r="G1739">
        <v>878630153</v>
      </c>
      <c r="H1739">
        <v>1252329638</v>
      </c>
      <c r="I1739">
        <v>967515173</v>
      </c>
      <c r="J1739">
        <v>658538677</v>
      </c>
      <c r="K1739">
        <v>347248925</v>
      </c>
      <c r="L1739">
        <v>86558897</v>
      </c>
      <c r="M1739">
        <v>100127643</v>
      </c>
      <c r="N1739">
        <v>76957676</v>
      </c>
      <c r="O1739">
        <v>86595075</v>
      </c>
      <c r="P1739">
        <v>160</v>
      </c>
      <c r="Q1739" t="s">
        <v>3773</v>
      </c>
    </row>
    <row r="1740" spans="1:17" x14ac:dyDescent="0.3">
      <c r="A1740" t="s">
        <v>73</v>
      </c>
      <c r="B1740" t="str">
        <f>"002299"</f>
        <v>002299</v>
      </c>
      <c r="C1740" t="s">
        <v>3774</v>
      </c>
      <c r="D1740" t="s">
        <v>3664</v>
      </c>
      <c r="E1740">
        <v>610908890</v>
      </c>
      <c r="F1740">
        <v>646904396</v>
      </c>
      <c r="G1740">
        <v>642114682</v>
      </c>
      <c r="H1740">
        <v>648800644</v>
      </c>
      <c r="I1740">
        <v>461685765</v>
      </c>
      <c r="J1740">
        <v>386535587</v>
      </c>
      <c r="K1740">
        <v>311023898</v>
      </c>
      <c r="L1740">
        <v>330818503</v>
      </c>
      <c r="M1740">
        <v>208203591</v>
      </c>
      <c r="N1740">
        <v>178151668</v>
      </c>
      <c r="O1740">
        <v>125795596</v>
      </c>
      <c r="P1740">
        <v>1371</v>
      </c>
      <c r="Q1740" t="s">
        <v>3775</v>
      </c>
    </row>
    <row r="1741" spans="1:17" x14ac:dyDescent="0.3">
      <c r="A1741" t="s">
        <v>73</v>
      </c>
      <c r="B1741" t="str">
        <f>"300741"</f>
        <v>300741</v>
      </c>
      <c r="C1741" t="s">
        <v>3776</v>
      </c>
      <c r="D1741" t="s">
        <v>1430</v>
      </c>
      <c r="E1741">
        <v>610889678</v>
      </c>
      <c r="F1741">
        <v>595193885</v>
      </c>
      <c r="G1741">
        <v>581032944</v>
      </c>
      <c r="H1741">
        <v>635548263</v>
      </c>
      <c r="I1741">
        <v>575189669</v>
      </c>
      <c r="P1741">
        <v>458</v>
      </c>
      <c r="Q1741" t="s">
        <v>3777</v>
      </c>
    </row>
    <row r="1742" spans="1:17" x14ac:dyDescent="0.3">
      <c r="A1742" t="s">
        <v>73</v>
      </c>
      <c r="B1742" t="str">
        <f>"300827"</f>
        <v>300827</v>
      </c>
      <c r="C1742" t="s">
        <v>3778</v>
      </c>
      <c r="D1742" t="s">
        <v>351</v>
      </c>
      <c r="E1742">
        <v>610441421</v>
      </c>
      <c r="F1742">
        <v>524205556</v>
      </c>
      <c r="G1742">
        <v>576590034</v>
      </c>
      <c r="H1742">
        <v>0</v>
      </c>
      <c r="P1742">
        <v>233</v>
      </c>
      <c r="Q1742" t="s">
        <v>3779</v>
      </c>
    </row>
    <row r="1743" spans="1:17" x14ac:dyDescent="0.3">
      <c r="A1743" t="s">
        <v>73</v>
      </c>
      <c r="B1743" t="str">
        <f>"002023"</f>
        <v>002023</v>
      </c>
      <c r="C1743" t="s">
        <v>3780</v>
      </c>
      <c r="D1743" t="s">
        <v>130</v>
      </c>
      <c r="E1743">
        <v>610117959</v>
      </c>
      <c r="F1743">
        <v>645452186</v>
      </c>
      <c r="G1743">
        <v>653152461</v>
      </c>
      <c r="H1743">
        <v>603361991</v>
      </c>
      <c r="I1743">
        <v>532820845</v>
      </c>
      <c r="J1743">
        <v>511480816</v>
      </c>
      <c r="K1743">
        <v>503408376</v>
      </c>
      <c r="L1743">
        <v>437700146</v>
      </c>
      <c r="M1743">
        <v>236983796</v>
      </c>
      <c r="N1743">
        <v>204106080</v>
      </c>
      <c r="O1743">
        <v>150940935</v>
      </c>
      <c r="P1743">
        <v>580</v>
      </c>
      <c r="Q1743" t="s">
        <v>3781</v>
      </c>
    </row>
    <row r="1744" spans="1:17" x14ac:dyDescent="0.3">
      <c r="A1744" t="s">
        <v>73</v>
      </c>
      <c r="B1744" t="str">
        <f>"002154"</f>
        <v>002154</v>
      </c>
      <c r="C1744" t="s">
        <v>3782</v>
      </c>
      <c r="D1744" t="s">
        <v>991</v>
      </c>
      <c r="E1744">
        <v>609449455</v>
      </c>
      <c r="F1744">
        <v>552364979</v>
      </c>
      <c r="G1744">
        <v>466641910</v>
      </c>
      <c r="H1744">
        <v>409460091</v>
      </c>
      <c r="I1744">
        <v>398005467</v>
      </c>
      <c r="J1744">
        <v>389042402</v>
      </c>
      <c r="K1744">
        <v>457877148</v>
      </c>
      <c r="L1744">
        <v>504708312</v>
      </c>
      <c r="M1744">
        <v>595135032</v>
      </c>
      <c r="N1744">
        <v>823148721</v>
      </c>
      <c r="O1744">
        <v>710121113</v>
      </c>
      <c r="P1744">
        <v>204</v>
      </c>
      <c r="Q1744" t="s">
        <v>3783</v>
      </c>
    </row>
    <row r="1745" spans="1:17" x14ac:dyDescent="0.3">
      <c r="A1745" t="s">
        <v>17</v>
      </c>
      <c r="B1745" t="str">
        <f>"600999"</f>
        <v>600999</v>
      </c>
      <c r="C1745" t="s">
        <v>3784</v>
      </c>
      <c r="D1745" t="s">
        <v>53</v>
      </c>
      <c r="E1745">
        <v>609263089</v>
      </c>
      <c r="F1745">
        <v>1100724433</v>
      </c>
      <c r="G1745">
        <v>0</v>
      </c>
      <c r="H1745">
        <v>2787238735</v>
      </c>
      <c r="I1745">
        <v>2028393051</v>
      </c>
      <c r="J1745">
        <v>3918026842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2820</v>
      </c>
      <c r="Q1745" t="s">
        <v>3785</v>
      </c>
    </row>
    <row r="1746" spans="1:17" x14ac:dyDescent="0.3">
      <c r="A1746" t="s">
        <v>73</v>
      </c>
      <c r="B1746" t="str">
        <f>"300055"</f>
        <v>300055</v>
      </c>
      <c r="C1746" t="s">
        <v>3786</v>
      </c>
      <c r="D1746" t="s">
        <v>308</v>
      </c>
      <c r="E1746">
        <v>609066797</v>
      </c>
      <c r="F1746">
        <v>779083477</v>
      </c>
      <c r="G1746">
        <v>367396377</v>
      </c>
      <c r="H1746">
        <v>1120186294</v>
      </c>
      <c r="I1746">
        <v>1021575709</v>
      </c>
      <c r="J1746">
        <v>1106601109</v>
      </c>
      <c r="K1746">
        <v>798088445</v>
      </c>
      <c r="L1746">
        <v>726394293</v>
      </c>
      <c r="M1746">
        <v>307690716</v>
      </c>
      <c r="N1746">
        <v>227304854</v>
      </c>
      <c r="O1746">
        <v>185765078</v>
      </c>
      <c r="P1746">
        <v>163</v>
      </c>
      <c r="Q1746" t="s">
        <v>3787</v>
      </c>
    </row>
    <row r="1747" spans="1:17" x14ac:dyDescent="0.3">
      <c r="A1747" t="s">
        <v>73</v>
      </c>
      <c r="B1747" t="str">
        <f>"300696"</f>
        <v>300696</v>
      </c>
      <c r="C1747" t="s">
        <v>3788</v>
      </c>
      <c r="D1747" t="s">
        <v>130</v>
      </c>
      <c r="E1747">
        <v>608584851</v>
      </c>
      <c r="F1747">
        <v>352354787</v>
      </c>
      <c r="G1747">
        <v>156064883</v>
      </c>
      <c r="H1747">
        <v>86480652</v>
      </c>
      <c r="I1747">
        <v>93933533</v>
      </c>
      <c r="J1747">
        <v>86870635</v>
      </c>
      <c r="P1747">
        <v>222</v>
      </c>
      <c r="Q1747" t="s">
        <v>3789</v>
      </c>
    </row>
    <row r="1748" spans="1:17" x14ac:dyDescent="0.3">
      <c r="A1748" t="s">
        <v>17</v>
      </c>
      <c r="B1748" t="str">
        <f>"603878"</f>
        <v>603878</v>
      </c>
      <c r="C1748" t="s">
        <v>3790</v>
      </c>
      <c r="D1748" t="s">
        <v>1114</v>
      </c>
      <c r="E1748">
        <v>608069962</v>
      </c>
      <c r="F1748">
        <v>470326010</v>
      </c>
      <c r="G1748">
        <v>487582481</v>
      </c>
      <c r="H1748">
        <v>587329430</v>
      </c>
      <c r="I1748">
        <v>425509097</v>
      </c>
      <c r="J1748">
        <v>441709147</v>
      </c>
      <c r="P1748">
        <v>142</v>
      </c>
      <c r="Q1748" t="s">
        <v>3791</v>
      </c>
    </row>
    <row r="1749" spans="1:17" x14ac:dyDescent="0.3">
      <c r="A1749" t="s">
        <v>17</v>
      </c>
      <c r="B1749" t="str">
        <f>"600252"</f>
        <v>600252</v>
      </c>
      <c r="C1749" t="s">
        <v>3792</v>
      </c>
      <c r="D1749" t="s">
        <v>215</v>
      </c>
      <c r="E1749">
        <v>607630829</v>
      </c>
      <c r="F1749">
        <v>880859733</v>
      </c>
      <c r="G1749">
        <v>260446081</v>
      </c>
      <c r="H1749">
        <v>197934988</v>
      </c>
      <c r="I1749">
        <v>167828631</v>
      </c>
      <c r="J1749">
        <v>22438810</v>
      </c>
      <c r="K1749">
        <v>13058289</v>
      </c>
      <c r="L1749">
        <v>567160839</v>
      </c>
      <c r="M1749">
        <v>269015227</v>
      </c>
      <c r="N1749">
        <v>78427283</v>
      </c>
      <c r="O1749">
        <v>113694038</v>
      </c>
      <c r="P1749">
        <v>362</v>
      </c>
      <c r="Q1749" t="s">
        <v>3793</v>
      </c>
    </row>
    <row r="1750" spans="1:17" x14ac:dyDescent="0.3">
      <c r="A1750" t="s">
        <v>17</v>
      </c>
      <c r="B1750" t="str">
        <f>"603489"</f>
        <v>603489</v>
      </c>
      <c r="C1750" t="s">
        <v>3794</v>
      </c>
      <c r="D1750" t="s">
        <v>689</v>
      </c>
      <c r="E1750">
        <v>607229741</v>
      </c>
      <c r="F1750">
        <v>388299270</v>
      </c>
      <c r="G1750">
        <v>199290929</v>
      </c>
      <c r="P1750">
        <v>490</v>
      </c>
      <c r="Q1750" t="s">
        <v>3795</v>
      </c>
    </row>
    <row r="1751" spans="1:17" x14ac:dyDescent="0.3">
      <c r="A1751" t="s">
        <v>73</v>
      </c>
      <c r="B1751" t="str">
        <f>"002735"</f>
        <v>002735</v>
      </c>
      <c r="C1751" t="s">
        <v>3796</v>
      </c>
      <c r="D1751" t="s">
        <v>1474</v>
      </c>
      <c r="E1751">
        <v>606986101</v>
      </c>
      <c r="F1751">
        <v>525676943</v>
      </c>
      <c r="G1751">
        <v>330159354</v>
      </c>
      <c r="H1751">
        <v>289535469</v>
      </c>
      <c r="I1751">
        <v>188609903</v>
      </c>
      <c r="J1751">
        <v>159443506</v>
      </c>
      <c r="K1751">
        <v>129219583</v>
      </c>
      <c r="L1751">
        <v>142309750</v>
      </c>
      <c r="M1751">
        <v>0</v>
      </c>
      <c r="P1751">
        <v>71</v>
      </c>
      <c r="Q1751" t="s">
        <v>3797</v>
      </c>
    </row>
    <row r="1752" spans="1:17" x14ac:dyDescent="0.3">
      <c r="A1752" t="s">
        <v>17</v>
      </c>
      <c r="B1752" t="str">
        <f>"600654"</f>
        <v>600654</v>
      </c>
      <c r="C1752" t="s">
        <v>3798</v>
      </c>
      <c r="D1752" t="s">
        <v>795</v>
      </c>
      <c r="E1752">
        <v>606073761</v>
      </c>
      <c r="F1752">
        <v>596220332</v>
      </c>
      <c r="G1752">
        <v>564945604</v>
      </c>
      <c r="H1752">
        <v>547160303</v>
      </c>
      <c r="I1752">
        <v>607945188</v>
      </c>
      <c r="J1752">
        <v>2276114695</v>
      </c>
      <c r="K1752">
        <v>2117234636</v>
      </c>
      <c r="L1752">
        <v>1032719114</v>
      </c>
      <c r="M1752">
        <v>445342419</v>
      </c>
      <c r="N1752">
        <v>428735048</v>
      </c>
      <c r="O1752">
        <v>463887805</v>
      </c>
      <c r="P1752">
        <v>76</v>
      </c>
      <c r="Q1752" t="s">
        <v>3799</v>
      </c>
    </row>
    <row r="1753" spans="1:17" x14ac:dyDescent="0.3">
      <c r="A1753" t="s">
        <v>73</v>
      </c>
      <c r="B1753" t="str">
        <f>"002427"</f>
        <v>002427</v>
      </c>
      <c r="C1753" t="s">
        <v>3800</v>
      </c>
      <c r="D1753" t="s">
        <v>2854</v>
      </c>
      <c r="E1753">
        <v>605770989</v>
      </c>
      <c r="F1753">
        <v>763137391</v>
      </c>
      <c r="G1753">
        <v>742340751</v>
      </c>
      <c r="H1753">
        <v>893309053</v>
      </c>
      <c r="I1753">
        <v>1435581434</v>
      </c>
      <c r="J1753">
        <v>907637116</v>
      </c>
      <c r="K1753">
        <v>258784786</v>
      </c>
      <c r="L1753">
        <v>282622638</v>
      </c>
      <c r="M1753">
        <v>409377148</v>
      </c>
      <c r="N1753">
        <v>143367470</v>
      </c>
      <c r="O1753">
        <v>126951129</v>
      </c>
      <c r="P1753">
        <v>82</v>
      </c>
      <c r="Q1753" t="s">
        <v>3801</v>
      </c>
    </row>
    <row r="1754" spans="1:17" x14ac:dyDescent="0.3">
      <c r="A1754" t="s">
        <v>73</v>
      </c>
      <c r="B1754" t="str">
        <f>"300709"</f>
        <v>300709</v>
      </c>
      <c r="C1754" t="s">
        <v>3802</v>
      </c>
      <c r="D1754" t="s">
        <v>42</v>
      </c>
      <c r="E1754">
        <v>605402086</v>
      </c>
      <c r="F1754">
        <v>645205174</v>
      </c>
      <c r="G1754">
        <v>394612556</v>
      </c>
      <c r="H1754">
        <v>263587336</v>
      </c>
      <c r="I1754">
        <v>194775685</v>
      </c>
      <c r="J1754">
        <v>0</v>
      </c>
      <c r="P1754">
        <v>220</v>
      </c>
      <c r="Q1754" t="s">
        <v>3803</v>
      </c>
    </row>
    <row r="1755" spans="1:17" x14ac:dyDescent="0.3">
      <c r="A1755" t="s">
        <v>73</v>
      </c>
      <c r="B1755" t="str">
        <f>"000060"</f>
        <v>000060</v>
      </c>
      <c r="C1755" t="s">
        <v>3804</v>
      </c>
      <c r="D1755" t="s">
        <v>3053</v>
      </c>
      <c r="E1755">
        <v>604719468</v>
      </c>
      <c r="F1755">
        <v>476770379</v>
      </c>
      <c r="G1755">
        <v>490421589</v>
      </c>
      <c r="H1755">
        <v>694643068</v>
      </c>
      <c r="I1755">
        <v>562968603</v>
      </c>
      <c r="J1755">
        <v>465031723</v>
      </c>
      <c r="K1755">
        <v>459857399</v>
      </c>
      <c r="L1755">
        <v>278688037</v>
      </c>
      <c r="M1755">
        <v>296177009</v>
      </c>
      <c r="N1755">
        <v>377497106</v>
      </c>
      <c r="O1755">
        <v>573451249</v>
      </c>
      <c r="P1755">
        <v>373</v>
      </c>
      <c r="Q1755" t="s">
        <v>3805</v>
      </c>
    </row>
    <row r="1756" spans="1:17" x14ac:dyDescent="0.3">
      <c r="A1756" t="s">
        <v>17</v>
      </c>
      <c r="B1756" t="str">
        <f>"603977"</f>
        <v>603977</v>
      </c>
      <c r="C1756" t="s">
        <v>3806</v>
      </c>
      <c r="D1756" t="s">
        <v>484</v>
      </c>
      <c r="E1756">
        <v>604286156</v>
      </c>
      <c r="F1756">
        <v>457106508</v>
      </c>
      <c r="G1756">
        <v>298046881</v>
      </c>
      <c r="H1756">
        <v>205707430</v>
      </c>
      <c r="I1756">
        <v>85132660</v>
      </c>
      <c r="J1756">
        <v>84982882</v>
      </c>
      <c r="P1756">
        <v>87</v>
      </c>
      <c r="Q1756" t="s">
        <v>3807</v>
      </c>
    </row>
    <row r="1757" spans="1:17" x14ac:dyDescent="0.3">
      <c r="A1757" t="s">
        <v>73</v>
      </c>
      <c r="B1757" t="str">
        <f>"301123"</f>
        <v>301123</v>
      </c>
      <c r="C1757" t="s">
        <v>3808</v>
      </c>
      <c r="E1757">
        <v>604234705</v>
      </c>
      <c r="P1757">
        <v>6</v>
      </c>
      <c r="Q1757" t="s">
        <v>3809</v>
      </c>
    </row>
    <row r="1758" spans="1:17" x14ac:dyDescent="0.3">
      <c r="A1758" t="s">
        <v>17</v>
      </c>
      <c r="B1758" t="str">
        <f>"688063"</f>
        <v>688063</v>
      </c>
      <c r="C1758" t="s">
        <v>3810</v>
      </c>
      <c r="D1758" t="s">
        <v>125</v>
      </c>
      <c r="E1758">
        <v>604114069</v>
      </c>
      <c r="F1758">
        <v>184475336</v>
      </c>
      <c r="P1758">
        <v>212</v>
      </c>
      <c r="Q1758" t="s">
        <v>3811</v>
      </c>
    </row>
    <row r="1759" spans="1:17" x14ac:dyDescent="0.3">
      <c r="A1759" t="s">
        <v>17</v>
      </c>
      <c r="B1759" t="str">
        <f>"603768"</f>
        <v>603768</v>
      </c>
      <c r="C1759" t="s">
        <v>3812</v>
      </c>
      <c r="D1759" t="s">
        <v>722</v>
      </c>
      <c r="E1759">
        <v>603665671</v>
      </c>
      <c r="F1759">
        <v>565925548</v>
      </c>
      <c r="G1759">
        <v>286934973</v>
      </c>
      <c r="H1759">
        <v>331954201</v>
      </c>
      <c r="I1759">
        <v>277417867</v>
      </c>
      <c r="J1759">
        <v>184537736</v>
      </c>
      <c r="P1759">
        <v>58</v>
      </c>
      <c r="Q1759" t="s">
        <v>3813</v>
      </c>
    </row>
    <row r="1760" spans="1:17" x14ac:dyDescent="0.3">
      <c r="A1760" t="s">
        <v>73</v>
      </c>
      <c r="B1760" t="str">
        <f>"300879"</f>
        <v>300879</v>
      </c>
      <c r="C1760" t="s">
        <v>3814</v>
      </c>
      <c r="D1760" t="s">
        <v>1451</v>
      </c>
      <c r="E1760">
        <v>603505374</v>
      </c>
      <c r="F1760">
        <v>462160799</v>
      </c>
      <c r="G1760">
        <v>0</v>
      </c>
      <c r="P1760">
        <v>52</v>
      </c>
      <c r="Q1760" t="s">
        <v>3815</v>
      </c>
    </row>
    <row r="1761" spans="1:17" x14ac:dyDescent="0.3">
      <c r="A1761" t="s">
        <v>73</v>
      </c>
      <c r="B1761" t="str">
        <f>"300504"</f>
        <v>300504</v>
      </c>
      <c r="C1761" t="s">
        <v>3816</v>
      </c>
      <c r="D1761" t="s">
        <v>332</v>
      </c>
      <c r="E1761">
        <v>603046885</v>
      </c>
      <c r="F1761">
        <v>511511643</v>
      </c>
      <c r="G1761">
        <v>646720371</v>
      </c>
      <c r="H1761">
        <v>631923633</v>
      </c>
      <c r="I1761">
        <v>599595837</v>
      </c>
      <c r="J1761">
        <v>0</v>
      </c>
      <c r="P1761">
        <v>176</v>
      </c>
      <c r="Q1761" t="s">
        <v>3817</v>
      </c>
    </row>
    <row r="1762" spans="1:17" x14ac:dyDescent="0.3">
      <c r="A1762" t="s">
        <v>73</v>
      </c>
      <c r="B1762" t="str">
        <f>"300332"</f>
        <v>300332</v>
      </c>
      <c r="C1762" t="s">
        <v>3818</v>
      </c>
      <c r="D1762" t="s">
        <v>469</v>
      </c>
      <c r="E1762">
        <v>602466321</v>
      </c>
      <c r="F1762">
        <v>530919393</v>
      </c>
      <c r="G1762">
        <v>510989651</v>
      </c>
      <c r="H1762">
        <v>633510486</v>
      </c>
      <c r="I1762">
        <v>464117919</v>
      </c>
      <c r="J1762">
        <v>481992681</v>
      </c>
      <c r="K1762">
        <v>243013979</v>
      </c>
      <c r="L1762">
        <v>177837497</v>
      </c>
      <c r="M1762">
        <v>45635801</v>
      </c>
      <c r="N1762">
        <v>32966507</v>
      </c>
      <c r="O1762">
        <v>29091790</v>
      </c>
      <c r="P1762">
        <v>117</v>
      </c>
      <c r="Q1762" t="s">
        <v>3819</v>
      </c>
    </row>
    <row r="1763" spans="1:17" x14ac:dyDescent="0.3">
      <c r="A1763" t="s">
        <v>73</v>
      </c>
      <c r="B1763" t="str">
        <f>"002284"</f>
        <v>002284</v>
      </c>
      <c r="C1763" t="s">
        <v>3820</v>
      </c>
      <c r="D1763" t="s">
        <v>122</v>
      </c>
      <c r="E1763">
        <v>601894709</v>
      </c>
      <c r="F1763">
        <v>595551420</v>
      </c>
      <c r="G1763">
        <v>535676022</v>
      </c>
      <c r="H1763">
        <v>700888949</v>
      </c>
      <c r="I1763">
        <v>811309410</v>
      </c>
      <c r="J1763">
        <v>890590992</v>
      </c>
      <c r="K1763">
        <v>790250997</v>
      </c>
      <c r="L1763">
        <v>656832035</v>
      </c>
      <c r="M1763">
        <v>613580491</v>
      </c>
      <c r="N1763">
        <v>472981988</v>
      </c>
      <c r="O1763">
        <v>426501836</v>
      </c>
      <c r="P1763">
        <v>197</v>
      </c>
      <c r="Q1763" t="s">
        <v>3821</v>
      </c>
    </row>
    <row r="1764" spans="1:17" x14ac:dyDescent="0.3">
      <c r="A1764" t="s">
        <v>73</v>
      </c>
      <c r="B1764" t="str">
        <f>"300617"</f>
        <v>300617</v>
      </c>
      <c r="C1764" t="s">
        <v>3822</v>
      </c>
      <c r="D1764" t="s">
        <v>515</v>
      </c>
      <c r="E1764">
        <v>601823802</v>
      </c>
      <c r="F1764">
        <v>348194300</v>
      </c>
      <c r="G1764">
        <v>177184505</v>
      </c>
      <c r="H1764">
        <v>221270601</v>
      </c>
      <c r="I1764">
        <v>251446656</v>
      </c>
      <c r="J1764">
        <v>168786842</v>
      </c>
      <c r="K1764">
        <v>0</v>
      </c>
      <c r="P1764">
        <v>148</v>
      </c>
      <c r="Q1764" t="s">
        <v>3823</v>
      </c>
    </row>
    <row r="1765" spans="1:17" x14ac:dyDescent="0.3">
      <c r="A1765" t="s">
        <v>73</v>
      </c>
      <c r="B1765" t="str">
        <f>"300071"</f>
        <v>300071</v>
      </c>
      <c r="C1765" t="s">
        <v>3824</v>
      </c>
      <c r="D1765" t="s">
        <v>425</v>
      </c>
      <c r="E1765">
        <v>601650855</v>
      </c>
      <c r="F1765">
        <v>627358380</v>
      </c>
      <c r="G1765">
        <v>737219077</v>
      </c>
      <c r="H1765">
        <v>1262316543</v>
      </c>
      <c r="I1765">
        <v>1554076511</v>
      </c>
      <c r="J1765">
        <v>1312813961</v>
      </c>
      <c r="K1765">
        <v>1004076877</v>
      </c>
      <c r="L1765">
        <v>698607607</v>
      </c>
      <c r="M1765">
        <v>435033536</v>
      </c>
      <c r="N1765">
        <v>485691410</v>
      </c>
      <c r="O1765">
        <v>297651298</v>
      </c>
      <c r="P1765">
        <v>84</v>
      </c>
      <c r="Q1765" t="s">
        <v>3825</v>
      </c>
    </row>
    <row r="1766" spans="1:17" x14ac:dyDescent="0.3">
      <c r="A1766" t="s">
        <v>17</v>
      </c>
      <c r="B1766" t="str">
        <f>"603527"</f>
        <v>603527</v>
      </c>
      <c r="C1766" t="s">
        <v>3826</v>
      </c>
      <c r="D1766" t="s">
        <v>452</v>
      </c>
      <c r="E1766">
        <v>601314002</v>
      </c>
      <c r="F1766">
        <v>420572282</v>
      </c>
      <c r="G1766">
        <v>265521717</v>
      </c>
      <c r="H1766">
        <v>273739287</v>
      </c>
      <c r="I1766">
        <v>259359703</v>
      </c>
      <c r="J1766">
        <v>0</v>
      </c>
      <c r="P1766">
        <v>53</v>
      </c>
      <c r="Q1766" t="s">
        <v>3827</v>
      </c>
    </row>
    <row r="1767" spans="1:17" x14ac:dyDescent="0.3">
      <c r="A1767" t="s">
        <v>73</v>
      </c>
      <c r="B1767" t="str">
        <f>"002453"</f>
        <v>002453</v>
      </c>
      <c r="C1767" t="s">
        <v>3828</v>
      </c>
      <c r="D1767" t="s">
        <v>588</v>
      </c>
      <c r="E1767">
        <v>599231174</v>
      </c>
      <c r="F1767">
        <v>427980191</v>
      </c>
      <c r="G1767">
        <v>374189640</v>
      </c>
      <c r="H1767">
        <v>483571492</v>
      </c>
      <c r="I1767">
        <v>293512633</v>
      </c>
      <c r="J1767">
        <v>338375837</v>
      </c>
      <c r="K1767">
        <v>293394246</v>
      </c>
      <c r="L1767">
        <v>289435631</v>
      </c>
      <c r="M1767">
        <v>236443680</v>
      </c>
      <c r="N1767">
        <v>248822217</v>
      </c>
      <c r="O1767">
        <v>219483728</v>
      </c>
      <c r="P1767">
        <v>125</v>
      </c>
      <c r="Q1767" t="s">
        <v>3829</v>
      </c>
    </row>
    <row r="1768" spans="1:17" x14ac:dyDescent="0.3">
      <c r="A1768" t="s">
        <v>17</v>
      </c>
      <c r="B1768" t="str">
        <f>"600867"</f>
        <v>600867</v>
      </c>
      <c r="C1768" t="s">
        <v>3830</v>
      </c>
      <c r="D1768" t="s">
        <v>1505</v>
      </c>
      <c r="E1768">
        <v>599172165</v>
      </c>
      <c r="F1768">
        <v>514394138</v>
      </c>
      <c r="G1768">
        <v>576973529</v>
      </c>
      <c r="H1768">
        <v>569590225</v>
      </c>
      <c r="I1768">
        <v>666053594</v>
      </c>
      <c r="J1768">
        <v>435678573</v>
      </c>
      <c r="K1768">
        <v>391901488</v>
      </c>
      <c r="L1768">
        <v>408122028</v>
      </c>
      <c r="M1768">
        <v>345267148</v>
      </c>
      <c r="N1768">
        <v>312836921</v>
      </c>
      <c r="O1768">
        <v>359050182</v>
      </c>
      <c r="P1768">
        <v>2948</v>
      </c>
      <c r="Q1768" t="s">
        <v>3831</v>
      </c>
    </row>
    <row r="1769" spans="1:17" x14ac:dyDescent="0.3">
      <c r="A1769" t="s">
        <v>17</v>
      </c>
      <c r="B1769" t="str">
        <f>"600033"</f>
        <v>600033</v>
      </c>
      <c r="C1769" t="s">
        <v>3832</v>
      </c>
      <c r="D1769" t="s">
        <v>1592</v>
      </c>
      <c r="E1769">
        <v>598555693</v>
      </c>
      <c r="F1769">
        <v>657183773</v>
      </c>
      <c r="G1769">
        <v>968783498</v>
      </c>
      <c r="H1769">
        <v>1142639061</v>
      </c>
      <c r="I1769">
        <v>472207499</v>
      </c>
      <c r="J1769">
        <v>468672202</v>
      </c>
      <c r="K1769">
        <v>607253331</v>
      </c>
      <c r="L1769">
        <v>496335262</v>
      </c>
      <c r="M1769">
        <v>857862884</v>
      </c>
      <c r="N1769">
        <v>504233052</v>
      </c>
      <c r="O1769">
        <v>248376484</v>
      </c>
      <c r="P1769">
        <v>397</v>
      </c>
      <c r="Q1769" t="s">
        <v>3833</v>
      </c>
    </row>
    <row r="1770" spans="1:17" x14ac:dyDescent="0.3">
      <c r="A1770" t="s">
        <v>17</v>
      </c>
      <c r="B1770" t="str">
        <f>"605008"</f>
        <v>605008</v>
      </c>
      <c r="C1770" t="s">
        <v>3834</v>
      </c>
      <c r="D1770" t="s">
        <v>3079</v>
      </c>
      <c r="E1770">
        <v>598087126</v>
      </c>
      <c r="F1770">
        <v>321283730</v>
      </c>
      <c r="P1770">
        <v>66</v>
      </c>
      <c r="Q1770" t="s">
        <v>3835</v>
      </c>
    </row>
    <row r="1771" spans="1:17" x14ac:dyDescent="0.3">
      <c r="A1771" t="s">
        <v>17</v>
      </c>
      <c r="B1771" t="str">
        <f>"603122"</f>
        <v>603122</v>
      </c>
      <c r="C1771" t="s">
        <v>3836</v>
      </c>
      <c r="E1771">
        <v>598021402</v>
      </c>
      <c r="F1771">
        <v>545558145</v>
      </c>
      <c r="P1771">
        <v>12</v>
      </c>
      <c r="Q1771" t="s">
        <v>3837</v>
      </c>
    </row>
    <row r="1772" spans="1:17" x14ac:dyDescent="0.3">
      <c r="A1772" t="s">
        <v>73</v>
      </c>
      <c r="B1772" t="str">
        <f>"002769"</f>
        <v>002769</v>
      </c>
      <c r="C1772" t="s">
        <v>3838</v>
      </c>
      <c r="D1772" t="s">
        <v>233</v>
      </c>
      <c r="E1772">
        <v>596917012</v>
      </c>
      <c r="F1772">
        <v>677998538</v>
      </c>
      <c r="G1772">
        <v>1108547903</v>
      </c>
      <c r="H1772">
        <v>1375428896</v>
      </c>
      <c r="I1772">
        <v>879207867</v>
      </c>
      <c r="J1772">
        <v>762514165</v>
      </c>
      <c r="K1772">
        <v>650031702</v>
      </c>
      <c r="L1772">
        <v>0</v>
      </c>
      <c r="M1772">
        <v>0</v>
      </c>
      <c r="P1772">
        <v>96</v>
      </c>
      <c r="Q1772" t="s">
        <v>3839</v>
      </c>
    </row>
    <row r="1773" spans="1:17" x14ac:dyDescent="0.3">
      <c r="A1773" t="s">
        <v>73</v>
      </c>
      <c r="B1773" t="str">
        <f>"002787"</f>
        <v>002787</v>
      </c>
      <c r="C1773" t="s">
        <v>3840</v>
      </c>
      <c r="D1773" t="s">
        <v>870</v>
      </c>
      <c r="E1773">
        <v>596822918</v>
      </c>
      <c r="F1773">
        <v>502463965</v>
      </c>
      <c r="G1773">
        <v>296922659</v>
      </c>
      <c r="H1773">
        <v>371957782</v>
      </c>
      <c r="I1773">
        <v>259468487</v>
      </c>
      <c r="J1773">
        <v>257278039</v>
      </c>
      <c r="K1773">
        <v>194155637</v>
      </c>
      <c r="L1773">
        <v>207567555</v>
      </c>
      <c r="M1773">
        <v>0</v>
      </c>
      <c r="P1773">
        <v>102</v>
      </c>
      <c r="Q1773" t="s">
        <v>3841</v>
      </c>
    </row>
    <row r="1774" spans="1:17" x14ac:dyDescent="0.3">
      <c r="A1774" t="s">
        <v>17</v>
      </c>
      <c r="B1774" t="str">
        <f>"601113"</f>
        <v>601113</v>
      </c>
      <c r="C1774" t="s">
        <v>3842</v>
      </c>
      <c r="D1774" t="s">
        <v>3100</v>
      </c>
      <c r="E1774">
        <v>596639277</v>
      </c>
      <c r="F1774">
        <v>1136866461</v>
      </c>
      <c r="G1774">
        <v>942134102</v>
      </c>
      <c r="H1774">
        <v>779851121</v>
      </c>
      <c r="I1774">
        <v>306069278</v>
      </c>
      <c r="J1774">
        <v>294966923</v>
      </c>
      <c r="K1774">
        <v>195847915</v>
      </c>
      <c r="L1774">
        <v>200855008</v>
      </c>
      <c r="M1774">
        <v>175398468</v>
      </c>
      <c r="N1774">
        <v>179302903</v>
      </c>
      <c r="O1774">
        <v>219828143</v>
      </c>
      <c r="P1774">
        <v>68</v>
      </c>
      <c r="Q1774" t="s">
        <v>3843</v>
      </c>
    </row>
    <row r="1775" spans="1:17" x14ac:dyDescent="0.3">
      <c r="A1775" t="s">
        <v>73</v>
      </c>
      <c r="B1775" t="str">
        <f>"300932"</f>
        <v>300932</v>
      </c>
      <c r="C1775" t="s">
        <v>3844</v>
      </c>
      <c r="D1775" t="s">
        <v>230</v>
      </c>
      <c r="E1775">
        <v>596095408</v>
      </c>
      <c r="F1775">
        <v>449569381</v>
      </c>
      <c r="P1775">
        <v>29</v>
      </c>
      <c r="Q1775" t="s">
        <v>3845</v>
      </c>
    </row>
    <row r="1776" spans="1:17" x14ac:dyDescent="0.3">
      <c r="A1776" t="s">
        <v>73</v>
      </c>
      <c r="B1776" t="str">
        <f>"300032"</f>
        <v>300032</v>
      </c>
      <c r="C1776" t="s">
        <v>3846</v>
      </c>
      <c r="D1776" t="s">
        <v>42</v>
      </c>
      <c r="E1776">
        <v>596037194</v>
      </c>
      <c r="F1776">
        <v>379655523</v>
      </c>
      <c r="G1776">
        <v>202087045</v>
      </c>
      <c r="H1776">
        <v>460553382</v>
      </c>
      <c r="I1776">
        <v>1013965189</v>
      </c>
      <c r="J1776">
        <v>644008220</v>
      </c>
      <c r="K1776">
        <v>1006686984</v>
      </c>
      <c r="L1776">
        <v>653667000</v>
      </c>
      <c r="M1776">
        <v>154506131</v>
      </c>
      <c r="N1776">
        <v>79410236</v>
      </c>
      <c r="O1776">
        <v>81331380</v>
      </c>
      <c r="P1776">
        <v>152</v>
      </c>
      <c r="Q1776" t="s">
        <v>3847</v>
      </c>
    </row>
    <row r="1777" spans="1:17" x14ac:dyDescent="0.3">
      <c r="A1777" t="s">
        <v>17</v>
      </c>
      <c r="B1777" t="str">
        <f>"688211"</f>
        <v>688211</v>
      </c>
      <c r="C1777" t="s">
        <v>3848</v>
      </c>
      <c r="D1777" t="s">
        <v>1451</v>
      </c>
      <c r="E1777">
        <v>595332114</v>
      </c>
      <c r="P1777">
        <v>27</v>
      </c>
      <c r="Q1777" t="s">
        <v>3849</v>
      </c>
    </row>
    <row r="1778" spans="1:17" x14ac:dyDescent="0.3">
      <c r="A1778" t="s">
        <v>73</v>
      </c>
      <c r="B1778" t="str">
        <f>"002908"</f>
        <v>002908</v>
      </c>
      <c r="C1778" t="s">
        <v>3850</v>
      </c>
      <c r="D1778" t="s">
        <v>332</v>
      </c>
      <c r="E1778">
        <v>594584684</v>
      </c>
      <c r="F1778">
        <v>420503497</v>
      </c>
      <c r="G1778">
        <v>324693513</v>
      </c>
      <c r="H1778">
        <v>305324473</v>
      </c>
      <c r="I1778">
        <v>267656184</v>
      </c>
      <c r="P1778">
        <v>126</v>
      </c>
      <c r="Q1778" t="s">
        <v>3851</v>
      </c>
    </row>
    <row r="1779" spans="1:17" x14ac:dyDescent="0.3">
      <c r="A1779" t="s">
        <v>73</v>
      </c>
      <c r="B1779" t="str">
        <f>"300416"</f>
        <v>300416</v>
      </c>
      <c r="C1779" t="s">
        <v>3852</v>
      </c>
      <c r="D1779" t="s">
        <v>2280</v>
      </c>
      <c r="E1779">
        <v>594577968</v>
      </c>
      <c r="F1779">
        <v>499521777</v>
      </c>
      <c r="G1779">
        <v>453105605</v>
      </c>
      <c r="H1779">
        <v>312833553</v>
      </c>
      <c r="I1779">
        <v>257116221</v>
      </c>
      <c r="J1779">
        <v>190407682</v>
      </c>
      <c r="K1779">
        <v>128728020</v>
      </c>
      <c r="L1779">
        <v>94863634</v>
      </c>
      <c r="M1779">
        <v>0</v>
      </c>
      <c r="P1779">
        <v>305</v>
      </c>
      <c r="Q1779" t="s">
        <v>3853</v>
      </c>
    </row>
    <row r="1780" spans="1:17" x14ac:dyDescent="0.3">
      <c r="A1780" t="s">
        <v>73</v>
      </c>
      <c r="B1780" t="str">
        <f>"300520"</f>
        <v>300520</v>
      </c>
      <c r="C1780" t="s">
        <v>3854</v>
      </c>
      <c r="D1780" t="s">
        <v>795</v>
      </c>
      <c r="E1780">
        <v>594129779</v>
      </c>
      <c r="F1780">
        <v>418036047</v>
      </c>
      <c r="G1780">
        <v>285775106</v>
      </c>
      <c r="H1780">
        <v>477146648</v>
      </c>
      <c r="I1780">
        <v>372628105</v>
      </c>
      <c r="J1780">
        <v>336043839</v>
      </c>
      <c r="K1780">
        <v>204333999</v>
      </c>
      <c r="L1780">
        <v>0</v>
      </c>
      <c r="P1780">
        <v>255</v>
      </c>
      <c r="Q1780" t="s">
        <v>3855</v>
      </c>
    </row>
    <row r="1781" spans="1:17" x14ac:dyDescent="0.3">
      <c r="A1781" t="s">
        <v>73</v>
      </c>
      <c r="B1781" t="str">
        <f>"300525"</f>
        <v>300525</v>
      </c>
      <c r="C1781" t="s">
        <v>3856</v>
      </c>
      <c r="D1781" t="s">
        <v>795</v>
      </c>
      <c r="E1781">
        <v>593068175</v>
      </c>
      <c r="F1781">
        <v>456973547</v>
      </c>
      <c r="G1781">
        <v>323920776</v>
      </c>
      <c r="H1781">
        <v>236496722</v>
      </c>
      <c r="I1781">
        <v>116368096</v>
      </c>
      <c r="J1781">
        <v>50685861</v>
      </c>
      <c r="K1781">
        <v>37494468</v>
      </c>
      <c r="P1781">
        <v>241</v>
      </c>
      <c r="Q1781" t="s">
        <v>3857</v>
      </c>
    </row>
    <row r="1782" spans="1:17" x14ac:dyDescent="0.3">
      <c r="A1782" t="s">
        <v>73</v>
      </c>
      <c r="B1782" t="str">
        <f>"300502"</f>
        <v>300502</v>
      </c>
      <c r="C1782" t="s">
        <v>3858</v>
      </c>
      <c r="D1782" t="s">
        <v>189</v>
      </c>
      <c r="E1782">
        <v>591725391</v>
      </c>
      <c r="F1782">
        <v>550107467</v>
      </c>
      <c r="G1782">
        <v>209573056</v>
      </c>
      <c r="H1782">
        <v>182889796</v>
      </c>
      <c r="I1782">
        <v>187376513</v>
      </c>
      <c r="J1782">
        <v>162423583</v>
      </c>
      <c r="K1782">
        <v>138559072</v>
      </c>
      <c r="L1782">
        <v>0</v>
      </c>
      <c r="P1782">
        <v>636</v>
      </c>
      <c r="Q1782" t="s">
        <v>3859</v>
      </c>
    </row>
    <row r="1783" spans="1:17" x14ac:dyDescent="0.3">
      <c r="A1783" t="s">
        <v>73</v>
      </c>
      <c r="B1783" t="str">
        <f>"000750"</f>
        <v>000750</v>
      </c>
      <c r="C1783" t="s">
        <v>3860</v>
      </c>
      <c r="D1783" t="s">
        <v>53</v>
      </c>
      <c r="E1783">
        <v>590322877</v>
      </c>
      <c r="F1783">
        <v>229026152</v>
      </c>
      <c r="G1783">
        <v>212816723</v>
      </c>
      <c r="H1783">
        <v>125373683</v>
      </c>
      <c r="I1783">
        <v>103270783</v>
      </c>
      <c r="J1783">
        <v>83000511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1038</v>
      </c>
      <c r="Q1783" t="s">
        <v>3861</v>
      </c>
    </row>
    <row r="1784" spans="1:17" x14ac:dyDescent="0.3">
      <c r="A1784" t="s">
        <v>73</v>
      </c>
      <c r="B1784" t="str">
        <f>"002676"</f>
        <v>002676</v>
      </c>
      <c r="C1784" t="s">
        <v>3862</v>
      </c>
      <c r="D1784" t="s">
        <v>654</v>
      </c>
      <c r="E1784">
        <v>589524523</v>
      </c>
      <c r="F1784">
        <v>551557810</v>
      </c>
      <c r="G1784">
        <v>480801087</v>
      </c>
      <c r="H1784">
        <v>486136487</v>
      </c>
      <c r="I1784">
        <v>566083186</v>
      </c>
      <c r="J1784">
        <v>578457177</v>
      </c>
      <c r="K1784">
        <v>374678577</v>
      </c>
      <c r="L1784">
        <v>477646834</v>
      </c>
      <c r="M1784">
        <v>512506162</v>
      </c>
      <c r="N1784">
        <v>409486457</v>
      </c>
      <c r="O1784">
        <v>317256748</v>
      </c>
      <c r="P1784">
        <v>87</v>
      </c>
      <c r="Q1784" t="s">
        <v>3863</v>
      </c>
    </row>
    <row r="1785" spans="1:17" x14ac:dyDescent="0.3">
      <c r="A1785" t="s">
        <v>73</v>
      </c>
      <c r="B1785" t="str">
        <f>"300627"</f>
        <v>300627</v>
      </c>
      <c r="C1785" t="s">
        <v>3864</v>
      </c>
      <c r="D1785" t="s">
        <v>332</v>
      </c>
      <c r="E1785">
        <v>589473463</v>
      </c>
      <c r="F1785">
        <v>582118575</v>
      </c>
      <c r="G1785">
        <v>473540049</v>
      </c>
      <c r="H1785">
        <v>422334782</v>
      </c>
      <c r="I1785">
        <v>282337425</v>
      </c>
      <c r="J1785">
        <v>214435558</v>
      </c>
      <c r="K1785">
        <v>0</v>
      </c>
      <c r="P1785">
        <v>295</v>
      </c>
      <c r="Q1785" t="s">
        <v>3865</v>
      </c>
    </row>
    <row r="1786" spans="1:17" x14ac:dyDescent="0.3">
      <c r="A1786" t="s">
        <v>73</v>
      </c>
      <c r="B1786" t="str">
        <f>"002394"</f>
        <v>002394</v>
      </c>
      <c r="C1786" t="s">
        <v>3866</v>
      </c>
      <c r="D1786" t="s">
        <v>2052</v>
      </c>
      <c r="E1786">
        <v>588558754</v>
      </c>
      <c r="F1786">
        <v>326877928</v>
      </c>
      <c r="G1786">
        <v>454229673</v>
      </c>
      <c r="H1786">
        <v>393925808</v>
      </c>
      <c r="I1786">
        <v>435346428</v>
      </c>
      <c r="J1786">
        <v>420295607</v>
      </c>
      <c r="K1786">
        <v>403189779</v>
      </c>
      <c r="L1786">
        <v>418077955</v>
      </c>
      <c r="M1786">
        <v>317442124</v>
      </c>
      <c r="N1786">
        <v>279116446</v>
      </c>
      <c r="O1786">
        <v>184423467</v>
      </c>
      <c r="P1786">
        <v>673</v>
      </c>
      <c r="Q1786" t="s">
        <v>3867</v>
      </c>
    </row>
    <row r="1787" spans="1:17" x14ac:dyDescent="0.3">
      <c r="A1787" t="s">
        <v>73</v>
      </c>
      <c r="B1787" t="str">
        <f>"301217"</f>
        <v>301217</v>
      </c>
      <c r="C1787" t="s">
        <v>3868</v>
      </c>
      <c r="E1787">
        <v>588491833</v>
      </c>
      <c r="P1787">
        <v>16</v>
      </c>
      <c r="Q1787" t="s">
        <v>3869</v>
      </c>
    </row>
    <row r="1788" spans="1:17" x14ac:dyDescent="0.3">
      <c r="A1788" t="s">
        <v>17</v>
      </c>
      <c r="B1788" t="str">
        <f>"688162"</f>
        <v>688162</v>
      </c>
      <c r="C1788" t="s">
        <v>3870</v>
      </c>
      <c r="D1788" t="s">
        <v>122</v>
      </c>
      <c r="E1788">
        <v>587403326</v>
      </c>
      <c r="P1788">
        <v>31</v>
      </c>
      <c r="Q1788" t="s">
        <v>3871</v>
      </c>
    </row>
    <row r="1789" spans="1:17" x14ac:dyDescent="0.3">
      <c r="A1789" t="s">
        <v>73</v>
      </c>
      <c r="B1789" t="str">
        <f>"300415"</f>
        <v>300415</v>
      </c>
      <c r="C1789" t="s">
        <v>3872</v>
      </c>
      <c r="D1789" t="s">
        <v>1451</v>
      </c>
      <c r="E1789">
        <v>586159104</v>
      </c>
      <c r="F1789">
        <v>522629550</v>
      </c>
      <c r="G1789">
        <v>389892947</v>
      </c>
      <c r="H1789">
        <v>411678209</v>
      </c>
      <c r="I1789">
        <v>360082372</v>
      </c>
      <c r="J1789">
        <v>285977422</v>
      </c>
      <c r="K1789">
        <v>252851622</v>
      </c>
      <c r="L1789">
        <v>245415418</v>
      </c>
      <c r="M1789">
        <v>0</v>
      </c>
      <c r="P1789">
        <v>547</v>
      </c>
      <c r="Q1789" t="s">
        <v>3873</v>
      </c>
    </row>
    <row r="1790" spans="1:17" x14ac:dyDescent="0.3">
      <c r="A1790" t="s">
        <v>73</v>
      </c>
      <c r="B1790" t="str">
        <f>"002099"</f>
        <v>002099</v>
      </c>
      <c r="C1790" t="s">
        <v>3874</v>
      </c>
      <c r="D1790" t="s">
        <v>908</v>
      </c>
      <c r="E1790">
        <v>586112382</v>
      </c>
      <c r="F1790">
        <v>524104605</v>
      </c>
      <c r="G1790">
        <v>414548905</v>
      </c>
      <c r="H1790">
        <v>565962850</v>
      </c>
      <c r="I1790">
        <v>498721369</v>
      </c>
      <c r="J1790">
        <v>448411153</v>
      </c>
      <c r="K1790">
        <v>399365245</v>
      </c>
      <c r="L1790">
        <v>285373120</v>
      </c>
      <c r="M1790">
        <v>215356788</v>
      </c>
      <c r="N1790">
        <v>218974970</v>
      </c>
      <c r="O1790">
        <v>231023543</v>
      </c>
      <c r="P1790">
        <v>298</v>
      </c>
      <c r="Q1790" t="s">
        <v>3875</v>
      </c>
    </row>
    <row r="1791" spans="1:17" x14ac:dyDescent="0.3">
      <c r="A1791" t="s">
        <v>73</v>
      </c>
      <c r="B1791" t="str">
        <f>"300418"</f>
        <v>300418</v>
      </c>
      <c r="C1791" t="s">
        <v>3876</v>
      </c>
      <c r="D1791" t="s">
        <v>899</v>
      </c>
      <c r="E1791">
        <v>585364454</v>
      </c>
      <c r="F1791">
        <v>549860409</v>
      </c>
      <c r="G1791">
        <v>392879962</v>
      </c>
      <c r="H1791">
        <v>437889141</v>
      </c>
      <c r="I1791">
        <v>429304493</v>
      </c>
      <c r="J1791">
        <v>518972398</v>
      </c>
      <c r="K1791">
        <v>391244616</v>
      </c>
      <c r="L1791">
        <v>275223940</v>
      </c>
      <c r="M1791">
        <v>0</v>
      </c>
      <c r="P1791">
        <v>17528</v>
      </c>
      <c r="Q1791" t="s">
        <v>3877</v>
      </c>
    </row>
    <row r="1792" spans="1:17" x14ac:dyDescent="0.3">
      <c r="A1792" t="s">
        <v>73</v>
      </c>
      <c r="B1792" t="str">
        <f>"300132"</f>
        <v>300132</v>
      </c>
      <c r="C1792" t="s">
        <v>3878</v>
      </c>
      <c r="D1792" t="s">
        <v>2859</v>
      </c>
      <c r="E1792">
        <v>584895704</v>
      </c>
      <c r="F1792">
        <v>623270381</v>
      </c>
      <c r="G1792">
        <v>611620211</v>
      </c>
      <c r="H1792">
        <v>162591248</v>
      </c>
      <c r="I1792">
        <v>57619895</v>
      </c>
      <c r="J1792">
        <v>76703669</v>
      </c>
      <c r="K1792">
        <v>65272403</v>
      </c>
      <c r="L1792">
        <v>100984486</v>
      </c>
      <c r="M1792">
        <v>90501661</v>
      </c>
      <c r="N1792">
        <v>84293832</v>
      </c>
      <c r="O1792">
        <v>86898630</v>
      </c>
      <c r="P1792">
        <v>399</v>
      </c>
      <c r="Q1792" t="s">
        <v>3879</v>
      </c>
    </row>
    <row r="1793" spans="1:17" x14ac:dyDescent="0.3">
      <c r="A1793" t="s">
        <v>17</v>
      </c>
      <c r="B1793" t="str">
        <f>"603327"</f>
        <v>603327</v>
      </c>
      <c r="C1793" t="s">
        <v>3880</v>
      </c>
      <c r="D1793" t="s">
        <v>42</v>
      </c>
      <c r="E1793">
        <v>584528889</v>
      </c>
      <c r="F1793">
        <v>292025757</v>
      </c>
      <c r="G1793">
        <v>178387937</v>
      </c>
      <c r="H1793">
        <v>0</v>
      </c>
      <c r="P1793">
        <v>347</v>
      </c>
      <c r="Q1793" t="s">
        <v>3881</v>
      </c>
    </row>
    <row r="1794" spans="1:17" x14ac:dyDescent="0.3">
      <c r="A1794" t="s">
        <v>17</v>
      </c>
      <c r="B1794" t="str">
        <f>"603992"</f>
        <v>603992</v>
      </c>
      <c r="C1794" t="s">
        <v>3882</v>
      </c>
      <c r="D1794" t="s">
        <v>2817</v>
      </c>
      <c r="E1794">
        <v>583736779</v>
      </c>
      <c r="F1794">
        <v>415456095</v>
      </c>
      <c r="G1794">
        <v>223595958</v>
      </c>
      <c r="H1794">
        <v>242170916</v>
      </c>
      <c r="P1794">
        <v>120</v>
      </c>
      <c r="Q1794" t="s">
        <v>3883</v>
      </c>
    </row>
    <row r="1795" spans="1:17" x14ac:dyDescent="0.3">
      <c r="A1795" t="s">
        <v>73</v>
      </c>
      <c r="B1795" t="str">
        <f>"002446"</f>
        <v>002446</v>
      </c>
      <c r="C1795" t="s">
        <v>3884</v>
      </c>
      <c r="D1795" t="s">
        <v>502</v>
      </c>
      <c r="E1795">
        <v>583068285</v>
      </c>
      <c r="F1795">
        <v>440414132</v>
      </c>
      <c r="G1795">
        <v>712632798</v>
      </c>
      <c r="H1795">
        <v>857942738</v>
      </c>
      <c r="I1795">
        <v>647858270</v>
      </c>
      <c r="J1795">
        <v>521229253</v>
      </c>
      <c r="K1795">
        <v>527605835</v>
      </c>
      <c r="L1795">
        <v>367706008</v>
      </c>
      <c r="M1795">
        <v>226145123</v>
      </c>
      <c r="N1795">
        <v>224867199</v>
      </c>
      <c r="O1795">
        <v>226343016</v>
      </c>
      <c r="P1795">
        <v>371</v>
      </c>
      <c r="Q1795" t="s">
        <v>3885</v>
      </c>
    </row>
    <row r="1796" spans="1:17" x14ac:dyDescent="0.3">
      <c r="A1796" t="s">
        <v>73</v>
      </c>
      <c r="B1796" t="str">
        <f>"003036"</f>
        <v>003036</v>
      </c>
      <c r="C1796" t="s">
        <v>3886</v>
      </c>
      <c r="D1796" t="s">
        <v>792</v>
      </c>
      <c r="E1796">
        <v>583044090</v>
      </c>
      <c r="F1796">
        <v>411108320</v>
      </c>
      <c r="H1796">
        <v>275011278</v>
      </c>
      <c r="P1796">
        <v>37</v>
      </c>
      <c r="Q1796" t="s">
        <v>3887</v>
      </c>
    </row>
    <row r="1797" spans="1:17" x14ac:dyDescent="0.3">
      <c r="A1797" t="s">
        <v>73</v>
      </c>
      <c r="B1797" t="str">
        <f>"002383"</f>
        <v>002383</v>
      </c>
      <c r="C1797" t="s">
        <v>3888</v>
      </c>
      <c r="D1797" t="s">
        <v>502</v>
      </c>
      <c r="E1797">
        <v>582568436</v>
      </c>
      <c r="F1797">
        <v>1271755549</v>
      </c>
      <c r="G1797">
        <v>1208580659</v>
      </c>
      <c r="H1797">
        <v>1026294043</v>
      </c>
      <c r="I1797">
        <v>1245283222</v>
      </c>
      <c r="J1797">
        <v>678666357</v>
      </c>
      <c r="K1797">
        <v>293408939</v>
      </c>
      <c r="L1797">
        <v>136688228</v>
      </c>
      <c r="M1797">
        <v>213575869</v>
      </c>
      <c r="N1797">
        <v>159358163</v>
      </c>
      <c r="O1797">
        <v>168498076</v>
      </c>
      <c r="P1797">
        <v>211</v>
      </c>
      <c r="Q1797" t="s">
        <v>3889</v>
      </c>
    </row>
    <row r="1798" spans="1:17" x14ac:dyDescent="0.3">
      <c r="A1798" t="s">
        <v>73</v>
      </c>
      <c r="B1798" t="str">
        <f>"300061"</f>
        <v>300061</v>
      </c>
      <c r="C1798" t="s">
        <v>3890</v>
      </c>
      <c r="D1798" t="s">
        <v>425</v>
      </c>
      <c r="E1798">
        <v>582065835</v>
      </c>
      <c r="F1798">
        <v>422524080</v>
      </c>
      <c r="G1798">
        <v>395338805</v>
      </c>
      <c r="H1798">
        <v>203810640</v>
      </c>
      <c r="I1798">
        <v>206047905</v>
      </c>
      <c r="J1798">
        <v>193465621</v>
      </c>
      <c r="K1798">
        <v>153573090</v>
      </c>
      <c r="L1798">
        <v>133746190</v>
      </c>
      <c r="M1798">
        <v>140688027</v>
      </c>
      <c r="N1798">
        <v>86198513</v>
      </c>
      <c r="O1798">
        <v>87454547</v>
      </c>
      <c r="P1798">
        <v>120</v>
      </c>
      <c r="Q1798" t="s">
        <v>3891</v>
      </c>
    </row>
    <row r="1799" spans="1:17" x14ac:dyDescent="0.3">
      <c r="A1799" t="s">
        <v>73</v>
      </c>
      <c r="B1799" t="str">
        <f>"002380"</f>
        <v>002380</v>
      </c>
      <c r="C1799" t="s">
        <v>3892</v>
      </c>
      <c r="D1799" t="s">
        <v>302</v>
      </c>
      <c r="E1799">
        <v>581772019</v>
      </c>
      <c r="F1799">
        <v>515173568</v>
      </c>
      <c r="G1799">
        <v>444233433</v>
      </c>
      <c r="H1799">
        <v>476689093</v>
      </c>
      <c r="I1799">
        <v>462804339</v>
      </c>
      <c r="J1799">
        <v>386752196</v>
      </c>
      <c r="K1799">
        <v>316785686</v>
      </c>
      <c r="L1799">
        <v>304040631</v>
      </c>
      <c r="M1799">
        <v>220796207</v>
      </c>
      <c r="N1799">
        <v>202636954</v>
      </c>
      <c r="O1799">
        <v>205861471</v>
      </c>
      <c r="P1799">
        <v>131</v>
      </c>
      <c r="Q1799" t="s">
        <v>3893</v>
      </c>
    </row>
    <row r="1800" spans="1:17" x14ac:dyDescent="0.3">
      <c r="A1800" t="s">
        <v>17</v>
      </c>
      <c r="B1800" t="str">
        <f>"603823"</f>
        <v>603823</v>
      </c>
      <c r="C1800" t="s">
        <v>3894</v>
      </c>
      <c r="D1800" t="s">
        <v>3072</v>
      </c>
      <c r="E1800">
        <v>581248237</v>
      </c>
      <c r="F1800">
        <v>498420280</v>
      </c>
      <c r="G1800">
        <v>362592132</v>
      </c>
      <c r="H1800">
        <v>402651033</v>
      </c>
      <c r="I1800">
        <v>332160438</v>
      </c>
      <c r="J1800">
        <v>312723026</v>
      </c>
      <c r="P1800">
        <v>142</v>
      </c>
      <c r="Q1800" t="s">
        <v>3895</v>
      </c>
    </row>
    <row r="1801" spans="1:17" x14ac:dyDescent="0.3">
      <c r="A1801" t="s">
        <v>17</v>
      </c>
      <c r="B1801" t="str">
        <f>"600827"</f>
        <v>600827</v>
      </c>
      <c r="C1801" t="s">
        <v>3896</v>
      </c>
      <c r="D1801" t="s">
        <v>3897</v>
      </c>
      <c r="E1801">
        <v>580561236</v>
      </c>
      <c r="F1801">
        <v>489899853</v>
      </c>
      <c r="G1801">
        <v>501235844</v>
      </c>
      <c r="H1801">
        <v>490418325</v>
      </c>
      <c r="I1801">
        <v>364082090</v>
      </c>
      <c r="J1801">
        <v>318804868</v>
      </c>
      <c r="K1801">
        <v>220499692</v>
      </c>
      <c r="L1801">
        <v>243692570</v>
      </c>
      <c r="M1801">
        <v>266404349</v>
      </c>
      <c r="N1801">
        <v>419941334</v>
      </c>
      <c r="O1801">
        <v>279843808</v>
      </c>
      <c r="P1801">
        <v>274</v>
      </c>
      <c r="Q1801" t="s">
        <v>3898</v>
      </c>
    </row>
    <row r="1802" spans="1:17" x14ac:dyDescent="0.3">
      <c r="A1802" t="s">
        <v>17</v>
      </c>
      <c r="B1802" t="str">
        <f>"688776"</f>
        <v>688776</v>
      </c>
      <c r="C1802" t="s">
        <v>3899</v>
      </c>
      <c r="D1802" t="s">
        <v>502</v>
      </c>
      <c r="E1802">
        <v>580149799</v>
      </c>
      <c r="P1802">
        <v>23</v>
      </c>
      <c r="Q1802" t="s">
        <v>3900</v>
      </c>
    </row>
    <row r="1803" spans="1:17" x14ac:dyDescent="0.3">
      <c r="A1803" t="s">
        <v>17</v>
      </c>
      <c r="B1803" t="str">
        <f>"603021"</f>
        <v>603021</v>
      </c>
      <c r="C1803" t="s">
        <v>3901</v>
      </c>
      <c r="D1803" t="s">
        <v>3902</v>
      </c>
      <c r="E1803">
        <v>579254696</v>
      </c>
      <c r="F1803">
        <v>630118905</v>
      </c>
      <c r="G1803">
        <v>272060842</v>
      </c>
      <c r="H1803">
        <v>210989395</v>
      </c>
      <c r="I1803">
        <v>245247183</v>
      </c>
      <c r="J1803">
        <v>267489373</v>
      </c>
      <c r="K1803">
        <v>186355975</v>
      </c>
      <c r="L1803">
        <v>146164008</v>
      </c>
      <c r="M1803">
        <v>0</v>
      </c>
      <c r="P1803">
        <v>59</v>
      </c>
      <c r="Q1803" t="s">
        <v>3903</v>
      </c>
    </row>
    <row r="1804" spans="1:17" x14ac:dyDescent="0.3">
      <c r="A1804" t="s">
        <v>17</v>
      </c>
      <c r="B1804" t="str">
        <f>"605507"</f>
        <v>605507</v>
      </c>
      <c r="C1804" t="s">
        <v>3904</v>
      </c>
      <c r="D1804" t="s">
        <v>908</v>
      </c>
      <c r="E1804">
        <v>579134300</v>
      </c>
      <c r="F1804">
        <v>486430541</v>
      </c>
      <c r="P1804">
        <v>25</v>
      </c>
      <c r="Q1804" t="s">
        <v>3905</v>
      </c>
    </row>
    <row r="1805" spans="1:17" x14ac:dyDescent="0.3">
      <c r="A1805" t="s">
        <v>17</v>
      </c>
      <c r="B1805" t="str">
        <f>"688315"</f>
        <v>688315</v>
      </c>
      <c r="C1805" t="s">
        <v>3906</v>
      </c>
      <c r="D1805" t="s">
        <v>3907</v>
      </c>
      <c r="E1805">
        <v>578954053</v>
      </c>
      <c r="F1805">
        <v>378732348</v>
      </c>
      <c r="P1805">
        <v>46</v>
      </c>
      <c r="Q1805" t="s">
        <v>3908</v>
      </c>
    </row>
    <row r="1806" spans="1:17" x14ac:dyDescent="0.3">
      <c r="A1806" t="s">
        <v>73</v>
      </c>
      <c r="B1806" t="str">
        <f>"000582"</f>
        <v>000582</v>
      </c>
      <c r="C1806" t="s">
        <v>3909</v>
      </c>
      <c r="D1806" t="s">
        <v>706</v>
      </c>
      <c r="E1806">
        <v>578875220</v>
      </c>
      <c r="F1806">
        <v>654122577</v>
      </c>
      <c r="G1806">
        <v>599184071</v>
      </c>
      <c r="H1806">
        <v>359330602</v>
      </c>
      <c r="I1806">
        <v>520139096</v>
      </c>
      <c r="J1806">
        <v>426159173</v>
      </c>
      <c r="K1806">
        <v>416116120</v>
      </c>
      <c r="L1806">
        <v>389480261</v>
      </c>
      <c r="M1806">
        <v>217410761</v>
      </c>
      <c r="N1806">
        <v>199074046</v>
      </c>
      <c r="O1806">
        <v>94938518</v>
      </c>
      <c r="P1806">
        <v>227</v>
      </c>
      <c r="Q1806" t="s">
        <v>3910</v>
      </c>
    </row>
    <row r="1807" spans="1:17" x14ac:dyDescent="0.3">
      <c r="A1807" t="s">
        <v>17</v>
      </c>
      <c r="B1807" t="str">
        <f>"600815"</f>
        <v>600815</v>
      </c>
      <c r="C1807" t="s">
        <v>3911</v>
      </c>
      <c r="D1807" t="s">
        <v>75</v>
      </c>
      <c r="E1807">
        <v>578009364</v>
      </c>
      <c r="F1807">
        <v>773847904</v>
      </c>
      <c r="G1807">
        <v>577018347</v>
      </c>
      <c r="H1807">
        <v>1874475605</v>
      </c>
      <c r="I1807">
        <v>2292974038</v>
      </c>
      <c r="J1807">
        <v>2543971209</v>
      </c>
      <c r="K1807">
        <v>5108922345</v>
      </c>
      <c r="L1807">
        <v>4499771941</v>
      </c>
      <c r="M1807">
        <v>4683134139</v>
      </c>
      <c r="N1807">
        <v>5169664531</v>
      </c>
      <c r="O1807">
        <v>4597308608</v>
      </c>
      <c r="P1807">
        <v>67</v>
      </c>
      <c r="Q1807" t="s">
        <v>3912</v>
      </c>
    </row>
    <row r="1808" spans="1:17" x14ac:dyDescent="0.3">
      <c r="A1808" t="s">
        <v>17</v>
      </c>
      <c r="B1808" t="str">
        <f>"603601"</f>
        <v>603601</v>
      </c>
      <c r="C1808" t="s">
        <v>3913</v>
      </c>
      <c r="D1808" t="s">
        <v>598</v>
      </c>
      <c r="E1808">
        <v>577065789</v>
      </c>
      <c r="F1808">
        <v>573652569</v>
      </c>
      <c r="G1808">
        <v>402981603</v>
      </c>
      <c r="H1808">
        <v>387030823</v>
      </c>
      <c r="I1808">
        <v>348618250</v>
      </c>
      <c r="J1808">
        <v>77228620</v>
      </c>
      <c r="K1808">
        <v>57859226</v>
      </c>
      <c r="L1808">
        <v>46517150</v>
      </c>
      <c r="M1808">
        <v>0</v>
      </c>
      <c r="P1808">
        <v>500</v>
      </c>
      <c r="Q1808" t="s">
        <v>3914</v>
      </c>
    </row>
    <row r="1809" spans="1:17" x14ac:dyDescent="0.3">
      <c r="A1809" t="s">
        <v>17</v>
      </c>
      <c r="B1809" t="str">
        <f>"688585"</f>
        <v>688585</v>
      </c>
      <c r="C1809" t="s">
        <v>3915</v>
      </c>
      <c r="D1809" t="s">
        <v>1557</v>
      </c>
      <c r="E1809">
        <v>576939537</v>
      </c>
      <c r="F1809">
        <v>569574158</v>
      </c>
      <c r="G1809">
        <v>0</v>
      </c>
      <c r="P1809">
        <v>26</v>
      </c>
      <c r="Q1809" t="s">
        <v>3916</v>
      </c>
    </row>
    <row r="1810" spans="1:17" x14ac:dyDescent="0.3">
      <c r="A1810" t="s">
        <v>73</v>
      </c>
      <c r="B1810" t="str">
        <f>"300379"</f>
        <v>300379</v>
      </c>
      <c r="C1810" t="s">
        <v>3917</v>
      </c>
      <c r="D1810" t="s">
        <v>795</v>
      </c>
      <c r="E1810">
        <v>576684529</v>
      </c>
      <c r="F1810">
        <v>579721787</v>
      </c>
      <c r="G1810">
        <v>392603591</v>
      </c>
      <c r="H1810">
        <v>396719559</v>
      </c>
      <c r="I1810">
        <v>298220539</v>
      </c>
      <c r="J1810">
        <v>316826382</v>
      </c>
      <c r="K1810">
        <v>238741963</v>
      </c>
      <c r="L1810">
        <v>217270798</v>
      </c>
      <c r="M1810">
        <v>183399939</v>
      </c>
      <c r="N1810">
        <v>0</v>
      </c>
      <c r="P1810">
        <v>395</v>
      </c>
      <c r="Q1810" t="s">
        <v>3918</v>
      </c>
    </row>
    <row r="1811" spans="1:17" x14ac:dyDescent="0.3">
      <c r="A1811" t="s">
        <v>17</v>
      </c>
      <c r="B1811" t="str">
        <f>"600072"</f>
        <v>600072</v>
      </c>
      <c r="C1811" t="s">
        <v>3919</v>
      </c>
      <c r="D1811" t="s">
        <v>283</v>
      </c>
      <c r="E1811">
        <v>576222259</v>
      </c>
      <c r="F1811">
        <v>563168699</v>
      </c>
      <c r="G1811">
        <v>714622291</v>
      </c>
      <c r="H1811">
        <v>1138499432</v>
      </c>
      <c r="I1811">
        <v>987253710</v>
      </c>
      <c r="J1811">
        <v>1550189791</v>
      </c>
      <c r="K1811">
        <v>351327954</v>
      </c>
      <c r="L1811">
        <v>463097525</v>
      </c>
      <c r="M1811">
        <v>315130987</v>
      </c>
      <c r="N1811">
        <v>295921210</v>
      </c>
      <c r="O1811">
        <v>355386021</v>
      </c>
      <c r="P1811">
        <v>181</v>
      </c>
      <c r="Q1811" t="s">
        <v>3920</v>
      </c>
    </row>
    <row r="1812" spans="1:17" x14ac:dyDescent="0.3">
      <c r="A1812" t="s">
        <v>73</v>
      </c>
      <c r="B1812" t="str">
        <f>"300260"</f>
        <v>300260</v>
      </c>
      <c r="C1812" t="s">
        <v>3921</v>
      </c>
      <c r="D1812" t="s">
        <v>146</v>
      </c>
      <c r="E1812">
        <v>575915260</v>
      </c>
      <c r="F1812">
        <v>447898431</v>
      </c>
      <c r="G1812">
        <v>402206813</v>
      </c>
      <c r="H1812">
        <v>402425360</v>
      </c>
      <c r="I1812">
        <v>209710693</v>
      </c>
      <c r="J1812">
        <v>192474751</v>
      </c>
      <c r="K1812">
        <v>187633516</v>
      </c>
      <c r="L1812">
        <v>158465983</v>
      </c>
      <c r="M1812">
        <v>153398625</v>
      </c>
      <c r="N1812">
        <v>144038626</v>
      </c>
      <c r="O1812">
        <v>117747236</v>
      </c>
      <c r="P1812">
        <v>211</v>
      </c>
      <c r="Q1812" t="s">
        <v>3922</v>
      </c>
    </row>
    <row r="1813" spans="1:17" x14ac:dyDescent="0.3">
      <c r="A1813" t="s">
        <v>17</v>
      </c>
      <c r="B1813" t="str">
        <f>"600589"</f>
        <v>600589</v>
      </c>
      <c r="C1813" t="s">
        <v>3923</v>
      </c>
      <c r="D1813" t="s">
        <v>3079</v>
      </c>
      <c r="E1813">
        <v>574396823</v>
      </c>
      <c r="F1813">
        <v>550445004</v>
      </c>
      <c r="G1813">
        <v>726577971</v>
      </c>
      <c r="H1813">
        <v>786337321</v>
      </c>
      <c r="I1813">
        <v>639426736</v>
      </c>
      <c r="J1813">
        <v>575142752</v>
      </c>
      <c r="K1813">
        <v>546797574</v>
      </c>
      <c r="L1813">
        <v>552462507</v>
      </c>
      <c r="M1813">
        <v>548949380</v>
      </c>
      <c r="N1813">
        <v>502617122</v>
      </c>
      <c r="O1813">
        <v>352898731</v>
      </c>
      <c r="P1813">
        <v>74</v>
      </c>
      <c r="Q1813" t="s">
        <v>3924</v>
      </c>
    </row>
    <row r="1814" spans="1:17" x14ac:dyDescent="0.3">
      <c r="A1814" t="s">
        <v>73</v>
      </c>
      <c r="B1814" t="str">
        <f>"300402"</f>
        <v>300402</v>
      </c>
      <c r="C1814" t="s">
        <v>3925</v>
      </c>
      <c r="D1814" t="s">
        <v>146</v>
      </c>
      <c r="E1814">
        <v>573320738</v>
      </c>
      <c r="F1814">
        <v>375578473</v>
      </c>
      <c r="G1814">
        <v>410719899</v>
      </c>
      <c r="H1814">
        <v>413799500</v>
      </c>
      <c r="I1814">
        <v>228201791</v>
      </c>
      <c r="J1814">
        <v>267277898</v>
      </c>
      <c r="K1814">
        <v>378167867</v>
      </c>
      <c r="L1814">
        <v>245487172</v>
      </c>
      <c r="M1814">
        <v>0</v>
      </c>
      <c r="P1814">
        <v>101</v>
      </c>
      <c r="Q1814" t="s">
        <v>3926</v>
      </c>
    </row>
    <row r="1815" spans="1:17" x14ac:dyDescent="0.3">
      <c r="A1815" t="s">
        <v>17</v>
      </c>
      <c r="B1815" t="str">
        <f>"600736"</f>
        <v>600736</v>
      </c>
      <c r="C1815" t="s">
        <v>3927</v>
      </c>
      <c r="D1815" t="s">
        <v>27</v>
      </c>
      <c r="E1815">
        <v>573239079</v>
      </c>
      <c r="F1815">
        <v>583491819</v>
      </c>
      <c r="G1815">
        <v>515077375</v>
      </c>
      <c r="H1815">
        <v>0</v>
      </c>
      <c r="I1815">
        <v>446630973</v>
      </c>
      <c r="J1815">
        <v>119569846</v>
      </c>
      <c r="K1815">
        <v>147497701</v>
      </c>
      <c r="L1815">
        <v>161653332</v>
      </c>
      <c r="M1815">
        <v>326602915</v>
      </c>
      <c r="N1815">
        <v>251917358</v>
      </c>
      <c r="O1815">
        <v>186295505</v>
      </c>
      <c r="P1815">
        <v>142</v>
      </c>
      <c r="Q1815" t="s">
        <v>3928</v>
      </c>
    </row>
    <row r="1816" spans="1:17" x14ac:dyDescent="0.3">
      <c r="A1816" t="s">
        <v>73</v>
      </c>
      <c r="B1816" t="str">
        <f>"002645"</f>
        <v>002645</v>
      </c>
      <c r="C1816" t="s">
        <v>3929</v>
      </c>
      <c r="D1816" t="s">
        <v>540</v>
      </c>
      <c r="E1816">
        <v>572373584</v>
      </c>
      <c r="F1816">
        <v>373323840</v>
      </c>
      <c r="G1816">
        <v>330302995</v>
      </c>
      <c r="H1816">
        <v>252591844</v>
      </c>
      <c r="I1816">
        <v>151881332</v>
      </c>
      <c r="J1816">
        <v>153707659</v>
      </c>
      <c r="K1816">
        <v>143175671</v>
      </c>
      <c r="L1816">
        <v>84374610</v>
      </c>
      <c r="M1816">
        <v>56914433</v>
      </c>
      <c r="N1816">
        <v>62164365</v>
      </c>
      <c r="O1816">
        <v>53403936</v>
      </c>
      <c r="P1816">
        <v>204</v>
      </c>
      <c r="Q1816" t="s">
        <v>3930</v>
      </c>
    </row>
    <row r="1817" spans="1:17" x14ac:dyDescent="0.3">
      <c r="A1817" t="s">
        <v>73</v>
      </c>
      <c r="B1817" t="str">
        <f>"300066"</f>
        <v>300066</v>
      </c>
      <c r="C1817" t="s">
        <v>3931</v>
      </c>
      <c r="D1817" t="s">
        <v>2280</v>
      </c>
      <c r="E1817">
        <v>572338069</v>
      </c>
      <c r="F1817">
        <v>575457871</v>
      </c>
      <c r="G1817">
        <v>450669946</v>
      </c>
      <c r="H1817">
        <v>320407838</v>
      </c>
      <c r="I1817">
        <v>284759980</v>
      </c>
      <c r="J1817">
        <v>286714255</v>
      </c>
      <c r="K1817">
        <v>254643865</v>
      </c>
      <c r="L1817">
        <v>186764691</v>
      </c>
      <c r="M1817">
        <v>138480831</v>
      </c>
      <c r="N1817">
        <v>99393651</v>
      </c>
      <c r="O1817">
        <v>87633834</v>
      </c>
      <c r="P1817">
        <v>190</v>
      </c>
      <c r="Q1817" t="s">
        <v>3932</v>
      </c>
    </row>
    <row r="1818" spans="1:17" x14ac:dyDescent="0.3">
      <c r="A1818" t="s">
        <v>73</v>
      </c>
      <c r="B1818" t="str">
        <f>"002554"</f>
        <v>002554</v>
      </c>
      <c r="C1818" t="s">
        <v>3933</v>
      </c>
      <c r="D1818" t="s">
        <v>275</v>
      </c>
      <c r="E1818">
        <v>572099423</v>
      </c>
      <c r="F1818">
        <v>675424273</v>
      </c>
      <c r="G1818">
        <v>828260865</v>
      </c>
      <c r="H1818">
        <v>946828728</v>
      </c>
      <c r="I1818">
        <v>968535782</v>
      </c>
      <c r="J1818">
        <v>782896597</v>
      </c>
      <c r="K1818">
        <v>1031439486</v>
      </c>
      <c r="L1818">
        <v>695576389</v>
      </c>
      <c r="M1818">
        <v>459480746</v>
      </c>
      <c r="N1818">
        <v>366345274</v>
      </c>
      <c r="O1818">
        <v>259728945</v>
      </c>
      <c r="P1818">
        <v>112</v>
      </c>
      <c r="Q1818" t="s">
        <v>3934</v>
      </c>
    </row>
    <row r="1819" spans="1:17" x14ac:dyDescent="0.3">
      <c r="A1819" t="s">
        <v>73</v>
      </c>
      <c r="B1819" t="str">
        <f>"002196"</f>
        <v>002196</v>
      </c>
      <c r="C1819" t="s">
        <v>3935</v>
      </c>
      <c r="D1819" t="s">
        <v>689</v>
      </c>
      <c r="E1819">
        <v>571774315</v>
      </c>
      <c r="F1819">
        <v>379106316</v>
      </c>
      <c r="G1819">
        <v>352169924</v>
      </c>
      <c r="H1819">
        <v>494209721</v>
      </c>
      <c r="I1819">
        <v>559214103</v>
      </c>
      <c r="J1819">
        <v>358587404</v>
      </c>
      <c r="K1819">
        <v>304342422</v>
      </c>
      <c r="L1819">
        <v>189714122</v>
      </c>
      <c r="M1819">
        <v>114312009</v>
      </c>
      <c r="N1819">
        <v>148549578</v>
      </c>
      <c r="O1819">
        <v>156711210</v>
      </c>
      <c r="P1819">
        <v>163</v>
      </c>
      <c r="Q1819" t="s">
        <v>3936</v>
      </c>
    </row>
    <row r="1820" spans="1:17" x14ac:dyDescent="0.3">
      <c r="A1820" t="s">
        <v>73</v>
      </c>
      <c r="B1820" t="str">
        <f>"301032"</f>
        <v>301032</v>
      </c>
      <c r="C1820" t="s">
        <v>3937</v>
      </c>
      <c r="D1820" t="s">
        <v>873</v>
      </c>
      <c r="E1820">
        <v>571754078</v>
      </c>
      <c r="F1820">
        <v>578169712</v>
      </c>
      <c r="P1820">
        <v>19</v>
      </c>
      <c r="Q1820" t="s">
        <v>3938</v>
      </c>
    </row>
    <row r="1821" spans="1:17" x14ac:dyDescent="0.3">
      <c r="A1821" t="s">
        <v>73</v>
      </c>
      <c r="B1821" t="str">
        <f>"002623"</f>
        <v>002623</v>
      </c>
      <c r="C1821" t="s">
        <v>3939</v>
      </c>
      <c r="D1821" t="s">
        <v>919</v>
      </c>
      <c r="E1821">
        <v>571688227</v>
      </c>
      <c r="F1821">
        <v>492797774</v>
      </c>
      <c r="G1821">
        <v>581923365</v>
      </c>
      <c r="H1821">
        <v>563653870</v>
      </c>
      <c r="I1821">
        <v>540912247</v>
      </c>
      <c r="J1821">
        <v>395722743</v>
      </c>
      <c r="K1821">
        <v>246220168</v>
      </c>
      <c r="L1821">
        <v>287003196</v>
      </c>
      <c r="M1821">
        <v>162845399</v>
      </c>
      <c r="N1821">
        <v>252755047</v>
      </c>
      <c r="O1821">
        <v>161766508</v>
      </c>
      <c r="P1821">
        <v>172</v>
      </c>
      <c r="Q1821" t="s">
        <v>3940</v>
      </c>
    </row>
    <row r="1822" spans="1:17" x14ac:dyDescent="0.3">
      <c r="A1822" t="s">
        <v>17</v>
      </c>
      <c r="B1822" t="str">
        <f>"603219"</f>
        <v>603219</v>
      </c>
      <c r="C1822" t="s">
        <v>3941</v>
      </c>
      <c r="D1822" t="s">
        <v>1560</v>
      </c>
      <c r="E1822">
        <v>571438830</v>
      </c>
      <c r="P1822">
        <v>23</v>
      </c>
      <c r="Q1822" t="s">
        <v>3942</v>
      </c>
    </row>
    <row r="1823" spans="1:17" x14ac:dyDescent="0.3">
      <c r="A1823" t="s">
        <v>17</v>
      </c>
      <c r="B1823" t="str">
        <f>"600136"</f>
        <v>600136</v>
      </c>
      <c r="C1823" t="s">
        <v>3943</v>
      </c>
      <c r="D1823" t="s">
        <v>3944</v>
      </c>
      <c r="E1823">
        <v>571310853</v>
      </c>
      <c r="F1823">
        <v>596177121</v>
      </c>
      <c r="G1823">
        <v>1098892527</v>
      </c>
      <c r="H1823">
        <v>1758833123</v>
      </c>
      <c r="I1823">
        <v>1000206703</v>
      </c>
      <c r="J1823">
        <v>542213546</v>
      </c>
      <c r="K1823">
        <v>306036343</v>
      </c>
      <c r="L1823">
        <v>281922809</v>
      </c>
      <c r="M1823">
        <v>10650956</v>
      </c>
      <c r="N1823">
        <v>20155581</v>
      </c>
      <c r="O1823">
        <v>2846061</v>
      </c>
      <c r="P1823">
        <v>136</v>
      </c>
      <c r="Q1823" t="s">
        <v>3945</v>
      </c>
    </row>
    <row r="1824" spans="1:17" x14ac:dyDescent="0.3">
      <c r="A1824" t="s">
        <v>17</v>
      </c>
      <c r="B1824" t="str">
        <f>"688569"</f>
        <v>688569</v>
      </c>
      <c r="C1824" t="s">
        <v>3946</v>
      </c>
      <c r="D1824" t="s">
        <v>47</v>
      </c>
      <c r="E1824">
        <v>570754379</v>
      </c>
      <c r="F1824">
        <v>592601200</v>
      </c>
      <c r="G1824">
        <v>0</v>
      </c>
      <c r="P1824">
        <v>31</v>
      </c>
      <c r="Q1824" t="s">
        <v>3947</v>
      </c>
    </row>
    <row r="1825" spans="1:17" x14ac:dyDescent="0.3">
      <c r="A1825" t="s">
        <v>73</v>
      </c>
      <c r="B1825" t="str">
        <f>"002706"</f>
        <v>002706</v>
      </c>
      <c r="C1825" t="s">
        <v>3948</v>
      </c>
      <c r="D1825" t="s">
        <v>230</v>
      </c>
      <c r="E1825">
        <v>570676559</v>
      </c>
      <c r="F1825">
        <v>372120126</v>
      </c>
      <c r="G1825">
        <v>170104288</v>
      </c>
      <c r="H1825">
        <v>115425595</v>
      </c>
      <c r="I1825">
        <v>109340007</v>
      </c>
      <c r="J1825">
        <v>80658881</v>
      </c>
      <c r="K1825">
        <v>93390506</v>
      </c>
      <c r="L1825">
        <v>98407199</v>
      </c>
      <c r="M1825">
        <v>100181561</v>
      </c>
      <c r="N1825">
        <v>0</v>
      </c>
      <c r="P1825">
        <v>761</v>
      </c>
      <c r="Q1825" t="s">
        <v>3949</v>
      </c>
    </row>
    <row r="1826" spans="1:17" x14ac:dyDescent="0.3">
      <c r="A1826" t="s">
        <v>17</v>
      </c>
      <c r="B1826" t="str">
        <f>"603386"</f>
        <v>603386</v>
      </c>
      <c r="C1826" t="s">
        <v>3950</v>
      </c>
      <c r="D1826" t="s">
        <v>418</v>
      </c>
      <c r="E1826">
        <v>570661354</v>
      </c>
      <c r="F1826">
        <v>552212721</v>
      </c>
      <c r="G1826">
        <v>351647675</v>
      </c>
      <c r="H1826">
        <v>242748909</v>
      </c>
      <c r="I1826">
        <v>201010454</v>
      </c>
      <c r="P1826">
        <v>180</v>
      </c>
      <c r="Q1826" t="s">
        <v>3951</v>
      </c>
    </row>
    <row r="1827" spans="1:17" x14ac:dyDescent="0.3">
      <c r="A1827" t="s">
        <v>17</v>
      </c>
      <c r="B1827" t="str">
        <f>"600595"</f>
        <v>600595</v>
      </c>
      <c r="C1827" t="s">
        <v>3952</v>
      </c>
      <c r="D1827" t="s">
        <v>616</v>
      </c>
      <c r="E1827">
        <v>570436920</v>
      </c>
      <c r="F1827">
        <v>585779362</v>
      </c>
      <c r="G1827">
        <v>462530582</v>
      </c>
      <c r="H1827">
        <v>392619117</v>
      </c>
      <c r="I1827">
        <v>607160761</v>
      </c>
      <c r="J1827">
        <v>404168303</v>
      </c>
      <c r="K1827">
        <v>387783204</v>
      </c>
      <c r="L1827">
        <v>408500914</v>
      </c>
      <c r="M1827">
        <v>705436629</v>
      </c>
      <c r="N1827">
        <v>554952197</v>
      </c>
      <c r="O1827">
        <v>521474638</v>
      </c>
      <c r="P1827">
        <v>68</v>
      </c>
      <c r="Q1827" t="s">
        <v>3953</v>
      </c>
    </row>
    <row r="1828" spans="1:17" x14ac:dyDescent="0.3">
      <c r="A1828" t="s">
        <v>73</v>
      </c>
      <c r="B1828" t="str">
        <f>"300261"</f>
        <v>300261</v>
      </c>
      <c r="C1828" t="s">
        <v>3954</v>
      </c>
      <c r="D1828" t="s">
        <v>272</v>
      </c>
      <c r="E1828">
        <v>570024936</v>
      </c>
      <c r="F1828">
        <v>645564833</v>
      </c>
      <c r="G1828">
        <v>494527777</v>
      </c>
      <c r="H1828">
        <v>473422212</v>
      </c>
      <c r="I1828">
        <v>424627076</v>
      </c>
      <c r="J1828">
        <v>376139712</v>
      </c>
      <c r="K1828">
        <v>240338796</v>
      </c>
      <c r="L1828">
        <v>257299075</v>
      </c>
      <c r="M1828">
        <v>135859713</v>
      </c>
      <c r="N1828">
        <v>151799507</v>
      </c>
      <c r="O1828">
        <v>57254284</v>
      </c>
      <c r="P1828">
        <v>139</v>
      </c>
      <c r="Q1828" t="s">
        <v>3955</v>
      </c>
    </row>
    <row r="1829" spans="1:17" x14ac:dyDescent="0.3">
      <c r="A1829" t="s">
        <v>73</v>
      </c>
      <c r="B1829" t="str">
        <f>"002828"</f>
        <v>002828</v>
      </c>
      <c r="C1829" t="s">
        <v>3956</v>
      </c>
      <c r="D1829" t="s">
        <v>227</v>
      </c>
      <c r="E1829">
        <v>569943750</v>
      </c>
      <c r="F1829">
        <v>535661049</v>
      </c>
      <c r="G1829">
        <v>689214661</v>
      </c>
      <c r="H1829">
        <v>266559078</v>
      </c>
      <c r="I1829">
        <v>260331881</v>
      </c>
      <c r="J1829">
        <v>167371959</v>
      </c>
      <c r="P1829">
        <v>73</v>
      </c>
      <c r="Q1829" t="s">
        <v>3957</v>
      </c>
    </row>
    <row r="1830" spans="1:17" x14ac:dyDescent="0.3">
      <c r="A1830" t="s">
        <v>73</v>
      </c>
      <c r="B1830" t="str">
        <f>"300301"</f>
        <v>300301</v>
      </c>
      <c r="C1830" t="s">
        <v>3958</v>
      </c>
      <c r="D1830" t="s">
        <v>737</v>
      </c>
      <c r="E1830">
        <v>569908844</v>
      </c>
      <c r="F1830">
        <v>606385460</v>
      </c>
      <c r="G1830">
        <v>680908313</v>
      </c>
      <c r="H1830">
        <v>666404965</v>
      </c>
      <c r="I1830">
        <v>520763053</v>
      </c>
      <c r="J1830">
        <v>377024868</v>
      </c>
      <c r="K1830">
        <v>320502182</v>
      </c>
      <c r="L1830">
        <v>133720498</v>
      </c>
      <c r="M1830">
        <v>159088617</v>
      </c>
      <c r="N1830">
        <v>184477119</v>
      </c>
      <c r="O1830">
        <v>148906596</v>
      </c>
      <c r="P1830">
        <v>75</v>
      </c>
      <c r="Q1830" t="s">
        <v>3959</v>
      </c>
    </row>
    <row r="1831" spans="1:17" x14ac:dyDescent="0.3">
      <c r="A1831" t="s">
        <v>73</v>
      </c>
      <c r="B1831" t="str">
        <f>"002879"</f>
        <v>002879</v>
      </c>
      <c r="C1831" t="s">
        <v>3960</v>
      </c>
      <c r="D1831" t="s">
        <v>515</v>
      </c>
      <c r="E1831">
        <v>569235191</v>
      </c>
      <c r="F1831">
        <v>493679635</v>
      </c>
      <c r="G1831">
        <v>523920740</v>
      </c>
      <c r="H1831">
        <v>428459758</v>
      </c>
      <c r="I1831">
        <v>401815136</v>
      </c>
      <c r="J1831">
        <v>315151874</v>
      </c>
      <c r="P1831">
        <v>266</v>
      </c>
      <c r="Q1831" t="s">
        <v>3961</v>
      </c>
    </row>
    <row r="1832" spans="1:17" x14ac:dyDescent="0.3">
      <c r="A1832" t="s">
        <v>73</v>
      </c>
      <c r="B1832" t="str">
        <f>"000403"</f>
        <v>000403</v>
      </c>
      <c r="C1832" t="s">
        <v>3962</v>
      </c>
      <c r="D1832" t="s">
        <v>1538</v>
      </c>
      <c r="E1832">
        <v>568783847</v>
      </c>
      <c r="F1832">
        <v>327062430</v>
      </c>
      <c r="G1832">
        <v>201173821</v>
      </c>
      <c r="H1832">
        <v>141226659</v>
      </c>
      <c r="I1832">
        <v>140087220</v>
      </c>
      <c r="J1832">
        <v>33123106</v>
      </c>
      <c r="K1832">
        <v>1769351</v>
      </c>
      <c r="L1832">
        <v>2101446</v>
      </c>
      <c r="M1832">
        <v>1139215</v>
      </c>
      <c r="N1832">
        <v>4004336</v>
      </c>
      <c r="O1832">
        <v>5081210</v>
      </c>
      <c r="P1832">
        <v>294</v>
      </c>
      <c r="Q1832" t="s">
        <v>3963</v>
      </c>
    </row>
    <row r="1833" spans="1:17" x14ac:dyDescent="0.3">
      <c r="A1833" t="s">
        <v>73</v>
      </c>
      <c r="B1833" t="str">
        <f>"002331"</f>
        <v>002331</v>
      </c>
      <c r="C1833" t="s">
        <v>3964</v>
      </c>
      <c r="D1833" t="s">
        <v>302</v>
      </c>
      <c r="E1833">
        <v>568727302</v>
      </c>
      <c r="F1833">
        <v>545567617</v>
      </c>
      <c r="G1833">
        <v>532099429</v>
      </c>
      <c r="H1833">
        <v>435359496</v>
      </c>
      <c r="I1833">
        <v>323432803</v>
      </c>
      <c r="J1833">
        <v>242786543</v>
      </c>
      <c r="K1833">
        <v>181109401</v>
      </c>
      <c r="L1833">
        <v>179349102</v>
      </c>
      <c r="M1833">
        <v>161324867</v>
      </c>
      <c r="N1833">
        <v>154136148</v>
      </c>
      <c r="O1833">
        <v>135689824</v>
      </c>
      <c r="P1833">
        <v>121</v>
      </c>
      <c r="Q1833" t="s">
        <v>3965</v>
      </c>
    </row>
    <row r="1834" spans="1:17" x14ac:dyDescent="0.3">
      <c r="A1834" t="s">
        <v>73</v>
      </c>
      <c r="B1834" t="str">
        <f>"002643"</f>
        <v>002643</v>
      </c>
      <c r="C1834" t="s">
        <v>3966</v>
      </c>
      <c r="D1834" t="s">
        <v>2178</v>
      </c>
      <c r="E1834">
        <v>568664045</v>
      </c>
      <c r="F1834">
        <v>447718571</v>
      </c>
      <c r="G1834">
        <v>309213941</v>
      </c>
      <c r="H1834">
        <v>391492111</v>
      </c>
      <c r="I1834">
        <v>410902234</v>
      </c>
      <c r="J1834">
        <v>313810139</v>
      </c>
      <c r="K1834">
        <v>269991617</v>
      </c>
      <c r="L1834">
        <v>64141687</v>
      </c>
      <c r="M1834">
        <v>128964561</v>
      </c>
      <c r="N1834">
        <v>137417366</v>
      </c>
      <c r="O1834">
        <v>108929604</v>
      </c>
      <c r="P1834">
        <v>387</v>
      </c>
      <c r="Q1834" t="s">
        <v>3967</v>
      </c>
    </row>
    <row r="1835" spans="1:17" x14ac:dyDescent="0.3">
      <c r="A1835" t="s">
        <v>73</v>
      </c>
      <c r="B1835" t="str">
        <f>"002425"</f>
        <v>002425</v>
      </c>
      <c r="C1835" t="s">
        <v>3968</v>
      </c>
      <c r="D1835" t="s">
        <v>899</v>
      </c>
      <c r="E1835">
        <v>568165867</v>
      </c>
      <c r="F1835">
        <v>528516781</v>
      </c>
      <c r="G1835">
        <v>567103741</v>
      </c>
      <c r="H1835">
        <v>629229248</v>
      </c>
      <c r="I1835">
        <v>356759423</v>
      </c>
      <c r="J1835">
        <v>209761891</v>
      </c>
      <c r="K1835">
        <v>148710520</v>
      </c>
      <c r="L1835">
        <v>79212695</v>
      </c>
      <c r="M1835">
        <v>95283937</v>
      </c>
      <c r="N1835">
        <v>110134779</v>
      </c>
      <c r="O1835">
        <v>80086862</v>
      </c>
      <c r="P1835">
        <v>257</v>
      </c>
      <c r="Q1835" t="s">
        <v>3969</v>
      </c>
    </row>
    <row r="1836" spans="1:17" x14ac:dyDescent="0.3">
      <c r="A1836" t="s">
        <v>17</v>
      </c>
      <c r="B1836" t="str">
        <f>"688385"</f>
        <v>688385</v>
      </c>
      <c r="C1836" t="s">
        <v>3970</v>
      </c>
      <c r="D1836" t="s">
        <v>890</v>
      </c>
      <c r="E1836">
        <v>567079411</v>
      </c>
      <c r="F1836">
        <v>471521314</v>
      </c>
      <c r="P1836">
        <v>47</v>
      </c>
      <c r="Q1836" t="s">
        <v>3971</v>
      </c>
    </row>
    <row r="1837" spans="1:17" x14ac:dyDescent="0.3">
      <c r="A1837" t="s">
        <v>17</v>
      </c>
      <c r="B1837" t="str">
        <f>"600784"</f>
        <v>600784</v>
      </c>
      <c r="C1837" t="s">
        <v>3972</v>
      </c>
      <c r="D1837" t="s">
        <v>466</v>
      </c>
      <c r="E1837">
        <v>566944837</v>
      </c>
      <c r="F1837">
        <v>605675355</v>
      </c>
      <c r="G1837">
        <v>736963231</v>
      </c>
      <c r="H1837">
        <v>838506281</v>
      </c>
      <c r="I1837">
        <v>754786922</v>
      </c>
      <c r="J1837">
        <v>645980463</v>
      </c>
      <c r="K1837">
        <v>458945235</v>
      </c>
      <c r="L1837">
        <v>395464401</v>
      </c>
      <c r="M1837">
        <v>282141708</v>
      </c>
      <c r="N1837">
        <v>191122937</v>
      </c>
      <c r="O1837">
        <v>230140319</v>
      </c>
      <c r="P1837">
        <v>75</v>
      </c>
      <c r="Q1837" t="s">
        <v>3973</v>
      </c>
    </row>
    <row r="1838" spans="1:17" x14ac:dyDescent="0.3">
      <c r="A1838" t="s">
        <v>17</v>
      </c>
      <c r="B1838" t="str">
        <f>"601599"</f>
        <v>601599</v>
      </c>
      <c r="C1838" t="s">
        <v>3974</v>
      </c>
      <c r="D1838" t="s">
        <v>3204</v>
      </c>
      <c r="E1838">
        <v>566677330</v>
      </c>
      <c r="F1838">
        <v>634474721</v>
      </c>
      <c r="G1838">
        <v>1644968819</v>
      </c>
      <c r="H1838">
        <v>2227950868</v>
      </c>
      <c r="I1838">
        <v>1409438334</v>
      </c>
      <c r="J1838">
        <v>877897788</v>
      </c>
      <c r="K1838">
        <v>521865655</v>
      </c>
      <c r="L1838">
        <v>441833514</v>
      </c>
      <c r="M1838">
        <v>374746558</v>
      </c>
      <c r="N1838">
        <v>153699320</v>
      </c>
      <c r="O1838">
        <v>211579177</v>
      </c>
      <c r="P1838">
        <v>60</v>
      </c>
      <c r="Q1838" t="s">
        <v>3975</v>
      </c>
    </row>
    <row r="1839" spans="1:17" x14ac:dyDescent="0.3">
      <c r="A1839" t="s">
        <v>17</v>
      </c>
      <c r="B1839" t="str">
        <f>"601368"</f>
        <v>601368</v>
      </c>
      <c r="C1839" t="s">
        <v>3976</v>
      </c>
      <c r="D1839" t="s">
        <v>308</v>
      </c>
      <c r="E1839">
        <v>566602206</v>
      </c>
      <c r="F1839">
        <v>178212134</v>
      </c>
      <c r="G1839">
        <v>207970911</v>
      </c>
      <c r="H1839">
        <v>196358041</v>
      </c>
      <c r="I1839">
        <v>182603655</v>
      </c>
      <c r="J1839">
        <v>154845607</v>
      </c>
      <c r="K1839">
        <v>143858136</v>
      </c>
      <c r="L1839">
        <v>102075652</v>
      </c>
      <c r="M1839">
        <v>0</v>
      </c>
      <c r="P1839">
        <v>109</v>
      </c>
      <c r="Q1839" t="s">
        <v>3977</v>
      </c>
    </row>
    <row r="1840" spans="1:17" x14ac:dyDescent="0.3">
      <c r="A1840" t="s">
        <v>17</v>
      </c>
      <c r="B1840" t="str">
        <f>"603161"</f>
        <v>603161</v>
      </c>
      <c r="C1840" t="s">
        <v>3978</v>
      </c>
      <c r="D1840" t="s">
        <v>122</v>
      </c>
      <c r="E1840">
        <v>566601838</v>
      </c>
      <c r="F1840">
        <v>518960091</v>
      </c>
      <c r="G1840">
        <v>420855795</v>
      </c>
      <c r="H1840">
        <v>516154760</v>
      </c>
      <c r="I1840">
        <v>379235336</v>
      </c>
      <c r="J1840">
        <v>0</v>
      </c>
      <c r="P1840">
        <v>81</v>
      </c>
      <c r="Q1840" t="s">
        <v>3979</v>
      </c>
    </row>
    <row r="1841" spans="1:17" x14ac:dyDescent="0.3">
      <c r="A1841" t="s">
        <v>73</v>
      </c>
      <c r="B1841" t="str">
        <f>"300031"</f>
        <v>300031</v>
      </c>
      <c r="C1841" t="s">
        <v>3980</v>
      </c>
      <c r="D1841" t="s">
        <v>899</v>
      </c>
      <c r="E1841">
        <v>566218939</v>
      </c>
      <c r="F1841">
        <v>537844056</v>
      </c>
      <c r="G1841">
        <v>516496907</v>
      </c>
      <c r="H1841">
        <v>462678487</v>
      </c>
      <c r="I1841">
        <v>395855468</v>
      </c>
      <c r="J1841">
        <v>389994805</v>
      </c>
      <c r="K1841">
        <v>407836718</v>
      </c>
      <c r="L1841">
        <v>253774124</v>
      </c>
      <c r="M1841">
        <v>249908885</v>
      </c>
      <c r="N1841">
        <v>233166754</v>
      </c>
      <c r="O1841">
        <v>164031518</v>
      </c>
      <c r="P1841">
        <v>259</v>
      </c>
      <c r="Q1841" t="s">
        <v>3981</v>
      </c>
    </row>
    <row r="1842" spans="1:17" x14ac:dyDescent="0.3">
      <c r="A1842" t="s">
        <v>17</v>
      </c>
      <c r="B1842" t="str">
        <f>"688418"</f>
        <v>688418</v>
      </c>
      <c r="C1842" t="s">
        <v>3982</v>
      </c>
      <c r="D1842" t="s">
        <v>2542</v>
      </c>
      <c r="E1842">
        <v>566027320</v>
      </c>
      <c r="F1842">
        <v>495780362</v>
      </c>
      <c r="G1842">
        <v>351635656</v>
      </c>
      <c r="P1842">
        <v>40</v>
      </c>
      <c r="Q1842" t="s">
        <v>3983</v>
      </c>
    </row>
    <row r="1843" spans="1:17" x14ac:dyDescent="0.3">
      <c r="A1843" t="s">
        <v>73</v>
      </c>
      <c r="B1843" t="str">
        <f>"002778"</f>
        <v>002778</v>
      </c>
      <c r="C1843" t="s">
        <v>3984</v>
      </c>
      <c r="D1843" t="s">
        <v>998</v>
      </c>
      <c r="E1843">
        <v>565988403</v>
      </c>
      <c r="F1843">
        <v>385409038</v>
      </c>
      <c r="G1843">
        <v>122930397</v>
      </c>
      <c r="H1843">
        <v>153137739</v>
      </c>
      <c r="I1843">
        <v>124238772</v>
      </c>
      <c r="J1843">
        <v>126362092</v>
      </c>
      <c r="K1843">
        <v>138655170</v>
      </c>
      <c r="L1843">
        <v>133914653</v>
      </c>
      <c r="M1843">
        <v>0</v>
      </c>
      <c r="P1843">
        <v>75</v>
      </c>
      <c r="Q1843" t="s">
        <v>3985</v>
      </c>
    </row>
    <row r="1844" spans="1:17" x14ac:dyDescent="0.3">
      <c r="A1844" t="s">
        <v>73</v>
      </c>
      <c r="B1844" t="str">
        <f>"300130"</f>
        <v>300130</v>
      </c>
      <c r="C1844" t="s">
        <v>3986</v>
      </c>
      <c r="D1844" t="s">
        <v>158</v>
      </c>
      <c r="E1844">
        <v>565933896</v>
      </c>
      <c r="F1844">
        <v>401810158</v>
      </c>
      <c r="G1844">
        <v>388580300</v>
      </c>
      <c r="H1844">
        <v>395437038</v>
      </c>
      <c r="I1844">
        <v>353252969</v>
      </c>
      <c r="J1844">
        <v>312677099</v>
      </c>
      <c r="K1844">
        <v>403521092</v>
      </c>
      <c r="L1844">
        <v>327721660</v>
      </c>
      <c r="M1844">
        <v>198603087</v>
      </c>
      <c r="N1844">
        <v>179591687</v>
      </c>
      <c r="O1844">
        <v>122998274</v>
      </c>
      <c r="P1844">
        <v>202</v>
      </c>
      <c r="Q1844" t="s">
        <v>3987</v>
      </c>
    </row>
    <row r="1845" spans="1:17" x14ac:dyDescent="0.3">
      <c r="A1845" t="s">
        <v>73</v>
      </c>
      <c r="B1845" t="str">
        <f>"300248"</f>
        <v>300248</v>
      </c>
      <c r="C1845" t="s">
        <v>3988</v>
      </c>
      <c r="D1845" t="s">
        <v>158</v>
      </c>
      <c r="E1845">
        <v>564904276</v>
      </c>
      <c r="F1845">
        <v>470019567</v>
      </c>
      <c r="G1845">
        <v>472691510</v>
      </c>
      <c r="H1845">
        <v>429653150</v>
      </c>
      <c r="I1845">
        <v>333679309</v>
      </c>
      <c r="J1845">
        <v>226672131</v>
      </c>
      <c r="K1845">
        <v>189164825</v>
      </c>
      <c r="L1845">
        <v>160610224</v>
      </c>
      <c r="M1845">
        <v>132532896</v>
      </c>
      <c r="N1845">
        <v>141798889</v>
      </c>
      <c r="O1845">
        <v>111697617</v>
      </c>
      <c r="P1845">
        <v>209</v>
      </c>
      <c r="Q1845" t="s">
        <v>3989</v>
      </c>
    </row>
    <row r="1846" spans="1:17" x14ac:dyDescent="0.3">
      <c r="A1846" t="s">
        <v>17</v>
      </c>
      <c r="B1846" t="str">
        <f>"688069"</f>
        <v>688069</v>
      </c>
      <c r="C1846" t="s">
        <v>3990</v>
      </c>
      <c r="D1846" t="s">
        <v>308</v>
      </c>
      <c r="E1846">
        <v>564673973</v>
      </c>
      <c r="F1846">
        <v>525066316</v>
      </c>
      <c r="G1846">
        <v>166987119</v>
      </c>
      <c r="P1846">
        <v>79</v>
      </c>
      <c r="Q1846" t="s">
        <v>3991</v>
      </c>
    </row>
    <row r="1847" spans="1:17" x14ac:dyDescent="0.3">
      <c r="A1847" t="s">
        <v>73</v>
      </c>
      <c r="B1847" t="str">
        <f>"301268"</f>
        <v>301268</v>
      </c>
      <c r="C1847" t="s">
        <v>3992</v>
      </c>
      <c r="E1847">
        <v>564641962</v>
      </c>
      <c r="P1847">
        <v>2</v>
      </c>
      <c r="Q1847" t="s">
        <v>3993</v>
      </c>
    </row>
    <row r="1848" spans="1:17" x14ac:dyDescent="0.3">
      <c r="A1848" t="s">
        <v>73</v>
      </c>
      <c r="B1848" t="str">
        <f>"300679"</f>
        <v>300679</v>
      </c>
      <c r="C1848" t="s">
        <v>3994</v>
      </c>
      <c r="D1848" t="s">
        <v>42</v>
      </c>
      <c r="E1848">
        <v>564510877</v>
      </c>
      <c r="F1848">
        <v>547326595</v>
      </c>
      <c r="G1848">
        <v>407638381</v>
      </c>
      <c r="H1848">
        <v>322968583</v>
      </c>
      <c r="I1848">
        <v>246971438</v>
      </c>
      <c r="J1848">
        <v>0</v>
      </c>
      <c r="P1848">
        <v>334</v>
      </c>
      <c r="Q1848" t="s">
        <v>3995</v>
      </c>
    </row>
    <row r="1849" spans="1:17" x14ac:dyDescent="0.3">
      <c r="A1849" t="s">
        <v>73</v>
      </c>
      <c r="B1849" t="str">
        <f>"002478"</f>
        <v>002478</v>
      </c>
      <c r="C1849" t="s">
        <v>3996</v>
      </c>
      <c r="D1849" t="s">
        <v>928</v>
      </c>
      <c r="E1849">
        <v>564426698</v>
      </c>
      <c r="F1849">
        <v>550790772</v>
      </c>
      <c r="G1849">
        <v>717289766</v>
      </c>
      <c r="H1849">
        <v>816221960</v>
      </c>
      <c r="I1849">
        <v>623592175</v>
      </c>
      <c r="J1849">
        <v>461524761</v>
      </c>
      <c r="K1849">
        <v>575371116</v>
      </c>
      <c r="L1849">
        <v>585952162</v>
      </c>
      <c r="M1849">
        <v>680208833</v>
      </c>
      <c r="N1849">
        <v>547798412</v>
      </c>
      <c r="O1849">
        <v>544310383</v>
      </c>
      <c r="P1849">
        <v>208</v>
      </c>
      <c r="Q1849" t="s">
        <v>3997</v>
      </c>
    </row>
    <row r="1850" spans="1:17" x14ac:dyDescent="0.3">
      <c r="A1850" t="s">
        <v>17</v>
      </c>
      <c r="B1850" t="str">
        <f>"603728"</f>
        <v>603728</v>
      </c>
      <c r="C1850" t="s">
        <v>3998</v>
      </c>
      <c r="D1850" t="s">
        <v>689</v>
      </c>
      <c r="E1850">
        <v>564384042</v>
      </c>
      <c r="F1850">
        <v>477894816</v>
      </c>
      <c r="G1850">
        <v>393619231</v>
      </c>
      <c r="H1850">
        <v>417834073</v>
      </c>
      <c r="I1850">
        <v>408366743</v>
      </c>
      <c r="J1850">
        <v>365593641</v>
      </c>
      <c r="P1850">
        <v>310</v>
      </c>
      <c r="Q1850" t="s">
        <v>3999</v>
      </c>
    </row>
    <row r="1851" spans="1:17" x14ac:dyDescent="0.3">
      <c r="A1851" t="s">
        <v>17</v>
      </c>
      <c r="B1851" t="str">
        <f>"603083"</f>
        <v>603083</v>
      </c>
      <c r="C1851" t="s">
        <v>4000</v>
      </c>
      <c r="D1851" t="s">
        <v>332</v>
      </c>
      <c r="E1851">
        <v>563169041</v>
      </c>
      <c r="F1851">
        <v>673339387</v>
      </c>
      <c r="G1851">
        <v>579978988</v>
      </c>
      <c r="H1851">
        <v>702681699</v>
      </c>
      <c r="I1851">
        <v>524214312</v>
      </c>
      <c r="P1851">
        <v>272</v>
      </c>
      <c r="Q1851" t="s">
        <v>4001</v>
      </c>
    </row>
    <row r="1852" spans="1:17" x14ac:dyDescent="0.3">
      <c r="A1852" t="s">
        <v>17</v>
      </c>
      <c r="B1852" t="str">
        <f>"688208"</f>
        <v>688208</v>
      </c>
      <c r="C1852" t="s">
        <v>4002</v>
      </c>
      <c r="D1852" t="s">
        <v>158</v>
      </c>
      <c r="E1852">
        <v>563035286</v>
      </c>
      <c r="F1852">
        <v>339435200</v>
      </c>
      <c r="G1852">
        <v>216922157</v>
      </c>
      <c r="P1852">
        <v>220</v>
      </c>
      <c r="Q1852" t="s">
        <v>4003</v>
      </c>
    </row>
    <row r="1853" spans="1:17" x14ac:dyDescent="0.3">
      <c r="A1853" t="s">
        <v>73</v>
      </c>
      <c r="B1853" t="str">
        <f>"002100"</f>
        <v>002100</v>
      </c>
      <c r="C1853" t="s">
        <v>4004</v>
      </c>
      <c r="D1853" t="s">
        <v>2130</v>
      </c>
      <c r="E1853">
        <v>562498770</v>
      </c>
      <c r="F1853">
        <v>489977769</v>
      </c>
      <c r="G1853">
        <v>451072075</v>
      </c>
      <c r="H1853">
        <v>476259646</v>
      </c>
      <c r="I1853">
        <v>353241585</v>
      </c>
      <c r="J1853">
        <v>306859617</v>
      </c>
      <c r="K1853">
        <v>283233654</v>
      </c>
      <c r="L1853">
        <v>266867602</v>
      </c>
      <c r="M1853">
        <v>203922202</v>
      </c>
      <c r="N1853">
        <v>154511954</v>
      </c>
      <c r="O1853">
        <v>157153023</v>
      </c>
      <c r="P1853">
        <v>737</v>
      </c>
      <c r="Q1853" t="s">
        <v>4005</v>
      </c>
    </row>
    <row r="1854" spans="1:17" x14ac:dyDescent="0.3">
      <c r="A1854" t="s">
        <v>73</v>
      </c>
      <c r="B1854" t="str">
        <f>"002105"</f>
        <v>002105</v>
      </c>
      <c r="C1854" t="s">
        <v>4006</v>
      </c>
      <c r="D1854" t="s">
        <v>3193</v>
      </c>
      <c r="E1854">
        <v>562278463</v>
      </c>
      <c r="F1854">
        <v>568520994</v>
      </c>
      <c r="G1854">
        <v>300863748</v>
      </c>
      <c r="H1854">
        <v>375119886</v>
      </c>
      <c r="I1854">
        <v>321170424</v>
      </c>
      <c r="J1854">
        <v>339870507</v>
      </c>
      <c r="K1854">
        <v>293647397</v>
      </c>
      <c r="L1854">
        <v>305479315</v>
      </c>
      <c r="M1854">
        <v>314181588</v>
      </c>
      <c r="N1854">
        <v>306516399</v>
      </c>
      <c r="O1854">
        <v>327068811</v>
      </c>
      <c r="P1854">
        <v>217</v>
      </c>
      <c r="Q1854" t="s">
        <v>4007</v>
      </c>
    </row>
    <row r="1855" spans="1:17" x14ac:dyDescent="0.3">
      <c r="A1855" t="s">
        <v>17</v>
      </c>
      <c r="B1855" t="str">
        <f>"603191"</f>
        <v>603191</v>
      </c>
      <c r="C1855" t="s">
        <v>4008</v>
      </c>
      <c r="E1855">
        <v>561734334</v>
      </c>
      <c r="P1855">
        <v>5</v>
      </c>
      <c r="Q1855" t="s">
        <v>4009</v>
      </c>
    </row>
    <row r="1856" spans="1:17" x14ac:dyDescent="0.3">
      <c r="A1856" t="s">
        <v>17</v>
      </c>
      <c r="B1856" t="str">
        <f>"600225"</f>
        <v>600225</v>
      </c>
      <c r="C1856" t="s">
        <v>4010</v>
      </c>
      <c r="D1856" t="s">
        <v>27</v>
      </c>
      <c r="E1856">
        <v>561234180</v>
      </c>
      <c r="F1856">
        <v>657497812</v>
      </c>
      <c r="G1856">
        <v>816171344</v>
      </c>
      <c r="H1856">
        <v>831286089</v>
      </c>
      <c r="I1856">
        <v>448673206</v>
      </c>
      <c r="J1856">
        <v>10517325</v>
      </c>
      <c r="K1856">
        <v>574187544</v>
      </c>
      <c r="L1856">
        <v>740512947</v>
      </c>
      <c r="M1856">
        <v>106693122</v>
      </c>
      <c r="N1856">
        <v>25613125</v>
      </c>
      <c r="O1856">
        <v>161477747</v>
      </c>
      <c r="P1856">
        <v>110</v>
      </c>
      <c r="Q1856" t="s">
        <v>4011</v>
      </c>
    </row>
    <row r="1857" spans="1:17" x14ac:dyDescent="0.3">
      <c r="A1857" t="s">
        <v>17</v>
      </c>
      <c r="B1857" t="str">
        <f>"600189"</f>
        <v>600189</v>
      </c>
      <c r="C1857" t="s">
        <v>4012</v>
      </c>
      <c r="D1857" t="s">
        <v>4013</v>
      </c>
      <c r="E1857">
        <v>560640431</v>
      </c>
      <c r="F1857">
        <v>359883742</v>
      </c>
      <c r="G1857">
        <v>113180426</v>
      </c>
      <c r="H1857">
        <v>93817084</v>
      </c>
      <c r="I1857">
        <v>90254900</v>
      </c>
      <c r="J1857">
        <v>30561163</v>
      </c>
      <c r="K1857">
        <v>31026040</v>
      </c>
      <c r="L1857">
        <v>192963903</v>
      </c>
      <c r="M1857">
        <v>138182140</v>
      </c>
      <c r="N1857">
        <v>89864089</v>
      </c>
      <c r="O1857">
        <v>94250086</v>
      </c>
      <c r="P1857">
        <v>177</v>
      </c>
      <c r="Q1857" t="s">
        <v>4014</v>
      </c>
    </row>
    <row r="1858" spans="1:17" x14ac:dyDescent="0.3">
      <c r="A1858" t="s">
        <v>73</v>
      </c>
      <c r="B1858" t="str">
        <f>"300598"</f>
        <v>300598</v>
      </c>
      <c r="C1858" t="s">
        <v>4015</v>
      </c>
      <c r="D1858" t="s">
        <v>795</v>
      </c>
      <c r="E1858">
        <v>560374623</v>
      </c>
      <c r="F1858">
        <v>468078638</v>
      </c>
      <c r="G1858">
        <v>143429129</v>
      </c>
      <c r="H1858">
        <v>278959706</v>
      </c>
      <c r="I1858">
        <v>218930345</v>
      </c>
      <c r="J1858">
        <v>190466734</v>
      </c>
      <c r="K1858">
        <v>0</v>
      </c>
      <c r="P1858">
        <v>319</v>
      </c>
      <c r="Q1858" t="s">
        <v>4016</v>
      </c>
    </row>
    <row r="1859" spans="1:17" x14ac:dyDescent="0.3">
      <c r="A1859" t="s">
        <v>17</v>
      </c>
      <c r="B1859" t="str">
        <f>"603356"</f>
        <v>603356</v>
      </c>
      <c r="C1859" t="s">
        <v>4017</v>
      </c>
      <c r="D1859" t="s">
        <v>744</v>
      </c>
      <c r="E1859">
        <v>559586804</v>
      </c>
      <c r="F1859">
        <v>575485048</v>
      </c>
      <c r="G1859">
        <v>440519648</v>
      </c>
      <c r="H1859">
        <v>321006878</v>
      </c>
      <c r="I1859">
        <v>191939012</v>
      </c>
      <c r="P1859">
        <v>65</v>
      </c>
      <c r="Q1859" t="s">
        <v>4018</v>
      </c>
    </row>
    <row r="1860" spans="1:17" x14ac:dyDescent="0.3">
      <c r="A1860" t="s">
        <v>73</v>
      </c>
      <c r="B1860" t="str">
        <f>"300217"</f>
        <v>300217</v>
      </c>
      <c r="C1860" t="s">
        <v>4019</v>
      </c>
      <c r="D1860" t="s">
        <v>654</v>
      </c>
      <c r="E1860">
        <v>559491158</v>
      </c>
      <c r="F1860">
        <v>584415808</v>
      </c>
      <c r="G1860">
        <v>531990815</v>
      </c>
      <c r="H1860">
        <v>685456078</v>
      </c>
      <c r="I1860">
        <v>518789760</v>
      </c>
      <c r="J1860">
        <v>483537018</v>
      </c>
      <c r="K1860">
        <v>262683467</v>
      </c>
      <c r="L1860">
        <v>364295804</v>
      </c>
      <c r="M1860">
        <v>250164128</v>
      </c>
      <c r="N1860">
        <v>236671037</v>
      </c>
      <c r="O1860">
        <v>180458071</v>
      </c>
      <c r="P1860">
        <v>160</v>
      </c>
      <c r="Q1860" t="s">
        <v>4020</v>
      </c>
    </row>
    <row r="1861" spans="1:17" x14ac:dyDescent="0.3">
      <c r="A1861" t="s">
        <v>17</v>
      </c>
      <c r="B1861" t="str">
        <f>"688101"</f>
        <v>688101</v>
      </c>
      <c r="C1861" t="s">
        <v>4021</v>
      </c>
      <c r="D1861" t="s">
        <v>308</v>
      </c>
      <c r="E1861">
        <v>559366463</v>
      </c>
      <c r="F1861">
        <v>464934720</v>
      </c>
      <c r="G1861">
        <v>325686577</v>
      </c>
      <c r="P1861">
        <v>77</v>
      </c>
      <c r="Q1861" t="s">
        <v>4022</v>
      </c>
    </row>
    <row r="1862" spans="1:17" x14ac:dyDescent="0.3">
      <c r="A1862" t="s">
        <v>73</v>
      </c>
      <c r="B1862" t="str">
        <f>"300470"</f>
        <v>300470</v>
      </c>
      <c r="C1862" t="s">
        <v>4023</v>
      </c>
      <c r="D1862" t="s">
        <v>873</v>
      </c>
      <c r="E1862">
        <v>559080334</v>
      </c>
      <c r="F1862">
        <v>511434270</v>
      </c>
      <c r="G1862">
        <v>434522568</v>
      </c>
      <c r="H1862">
        <v>402682330</v>
      </c>
      <c r="I1862">
        <v>303162129</v>
      </c>
      <c r="J1862">
        <v>266009064</v>
      </c>
      <c r="K1862">
        <v>190719315</v>
      </c>
      <c r="L1862">
        <v>178898810</v>
      </c>
      <c r="M1862">
        <v>0</v>
      </c>
      <c r="P1862">
        <v>347</v>
      </c>
      <c r="Q1862" t="s">
        <v>4024</v>
      </c>
    </row>
    <row r="1863" spans="1:17" x14ac:dyDescent="0.3">
      <c r="A1863" t="s">
        <v>73</v>
      </c>
      <c r="B1863" t="str">
        <f>"002556"</f>
        <v>002556</v>
      </c>
      <c r="C1863" t="s">
        <v>4025</v>
      </c>
      <c r="D1863" t="s">
        <v>1368</v>
      </c>
      <c r="E1863">
        <v>558871135</v>
      </c>
      <c r="F1863">
        <v>544320543</v>
      </c>
      <c r="G1863">
        <v>576323516</v>
      </c>
      <c r="H1863">
        <v>486183791</v>
      </c>
      <c r="I1863">
        <v>361537622</v>
      </c>
      <c r="J1863">
        <v>385553750</v>
      </c>
      <c r="K1863">
        <v>374877098</v>
      </c>
      <c r="L1863">
        <v>371210894</v>
      </c>
      <c r="M1863">
        <v>298440754</v>
      </c>
      <c r="N1863">
        <v>249375221</v>
      </c>
      <c r="O1863">
        <v>111179624</v>
      </c>
      <c r="P1863">
        <v>110</v>
      </c>
      <c r="Q1863" t="s">
        <v>4026</v>
      </c>
    </row>
    <row r="1864" spans="1:17" x14ac:dyDescent="0.3">
      <c r="A1864" t="s">
        <v>17</v>
      </c>
      <c r="B1864" t="str">
        <f>"688596"</f>
        <v>688596</v>
      </c>
      <c r="C1864" t="s">
        <v>4027</v>
      </c>
      <c r="D1864" t="s">
        <v>1451</v>
      </c>
      <c r="E1864">
        <v>558853163</v>
      </c>
      <c r="F1864">
        <v>311208563</v>
      </c>
      <c r="G1864">
        <v>323710735</v>
      </c>
      <c r="H1864">
        <v>0</v>
      </c>
      <c r="P1864">
        <v>61</v>
      </c>
      <c r="Q1864" t="s">
        <v>4028</v>
      </c>
    </row>
    <row r="1865" spans="1:17" x14ac:dyDescent="0.3">
      <c r="A1865" t="s">
        <v>17</v>
      </c>
      <c r="B1865" t="str">
        <f>"600353"</f>
        <v>600353</v>
      </c>
      <c r="C1865" t="s">
        <v>4029</v>
      </c>
      <c r="D1865" t="s">
        <v>651</v>
      </c>
      <c r="E1865">
        <v>558592841</v>
      </c>
      <c r="F1865">
        <v>429473198</v>
      </c>
      <c r="G1865">
        <v>397177299</v>
      </c>
      <c r="H1865">
        <v>463040788</v>
      </c>
      <c r="I1865">
        <v>330481785</v>
      </c>
      <c r="J1865">
        <v>370105290</v>
      </c>
      <c r="K1865">
        <v>380277760</v>
      </c>
      <c r="L1865">
        <v>256148614</v>
      </c>
      <c r="M1865">
        <v>164118217</v>
      </c>
      <c r="N1865">
        <v>161470727</v>
      </c>
      <c r="O1865">
        <v>128939434</v>
      </c>
      <c r="P1865">
        <v>141</v>
      </c>
      <c r="Q1865" t="s">
        <v>4030</v>
      </c>
    </row>
    <row r="1866" spans="1:17" x14ac:dyDescent="0.3">
      <c r="A1866" t="s">
        <v>17</v>
      </c>
      <c r="B1866" t="str">
        <f>"600128"</f>
        <v>600128</v>
      </c>
      <c r="C1866" t="s">
        <v>4031</v>
      </c>
      <c r="D1866" t="s">
        <v>299</v>
      </c>
      <c r="E1866">
        <v>556783060</v>
      </c>
      <c r="F1866">
        <v>446437090</v>
      </c>
      <c r="G1866">
        <v>318829142</v>
      </c>
      <c r="H1866">
        <v>388607911</v>
      </c>
      <c r="I1866">
        <v>421534784</v>
      </c>
      <c r="J1866">
        <v>372330787</v>
      </c>
      <c r="K1866">
        <v>314301586</v>
      </c>
      <c r="L1866">
        <v>402988904</v>
      </c>
      <c r="M1866">
        <v>355874132</v>
      </c>
      <c r="N1866">
        <v>167939041</v>
      </c>
      <c r="O1866">
        <v>178072771</v>
      </c>
      <c r="P1866">
        <v>77</v>
      </c>
      <c r="Q1866" t="s">
        <v>4032</v>
      </c>
    </row>
    <row r="1867" spans="1:17" x14ac:dyDescent="0.3">
      <c r="A1867" t="s">
        <v>73</v>
      </c>
      <c r="B1867" t="str">
        <f>"300486"</f>
        <v>300486</v>
      </c>
      <c r="C1867" t="s">
        <v>4033</v>
      </c>
      <c r="D1867" t="s">
        <v>1967</v>
      </c>
      <c r="E1867">
        <v>556701492</v>
      </c>
      <c r="F1867">
        <v>581685614</v>
      </c>
      <c r="G1867">
        <v>483045489</v>
      </c>
      <c r="H1867">
        <v>314264518</v>
      </c>
      <c r="I1867">
        <v>247663763</v>
      </c>
      <c r="J1867">
        <v>227464483</v>
      </c>
      <c r="K1867">
        <v>240550259</v>
      </c>
      <c r="L1867">
        <v>224324050</v>
      </c>
      <c r="M1867">
        <v>0</v>
      </c>
      <c r="P1867">
        <v>74</v>
      </c>
      <c r="Q1867" t="s">
        <v>4034</v>
      </c>
    </row>
    <row r="1868" spans="1:17" x14ac:dyDescent="0.3">
      <c r="A1868" t="s">
        <v>73</v>
      </c>
      <c r="B1868" t="str">
        <f>"002740"</f>
        <v>002740</v>
      </c>
      <c r="C1868" t="s">
        <v>4035</v>
      </c>
      <c r="D1868" t="s">
        <v>1260</v>
      </c>
      <c r="E1868">
        <v>556679641</v>
      </c>
      <c r="F1868">
        <v>710942866</v>
      </c>
      <c r="G1868">
        <v>1365777523</v>
      </c>
      <c r="H1868">
        <v>1201056892</v>
      </c>
      <c r="I1868">
        <v>674937267</v>
      </c>
      <c r="J1868">
        <v>498306607</v>
      </c>
      <c r="K1868">
        <v>423541971</v>
      </c>
      <c r="L1868">
        <v>269953738</v>
      </c>
      <c r="M1868">
        <v>0</v>
      </c>
      <c r="P1868">
        <v>78</v>
      </c>
      <c r="Q1868" t="s">
        <v>4036</v>
      </c>
    </row>
    <row r="1869" spans="1:17" x14ac:dyDescent="0.3">
      <c r="A1869" t="s">
        <v>17</v>
      </c>
      <c r="B1869" t="str">
        <f>"688133"</f>
        <v>688133</v>
      </c>
      <c r="C1869" t="s">
        <v>4037</v>
      </c>
      <c r="D1869" t="s">
        <v>588</v>
      </c>
      <c r="E1869">
        <v>556586997</v>
      </c>
      <c r="F1869">
        <v>423090068</v>
      </c>
      <c r="G1869">
        <v>0</v>
      </c>
      <c r="H1869">
        <v>0</v>
      </c>
      <c r="P1869">
        <v>118</v>
      </c>
      <c r="Q1869" t="s">
        <v>4038</v>
      </c>
    </row>
    <row r="1870" spans="1:17" x14ac:dyDescent="0.3">
      <c r="A1870" t="s">
        <v>17</v>
      </c>
      <c r="B1870" t="str">
        <f>"600356"</f>
        <v>600356</v>
      </c>
      <c r="C1870" t="s">
        <v>4039</v>
      </c>
      <c r="D1870" t="s">
        <v>2185</v>
      </c>
      <c r="E1870">
        <v>556527412</v>
      </c>
      <c r="F1870">
        <v>496294300</v>
      </c>
      <c r="G1870">
        <v>541685000</v>
      </c>
      <c r="H1870">
        <v>582470298</v>
      </c>
      <c r="I1870">
        <v>432895184</v>
      </c>
      <c r="J1870">
        <v>409692290</v>
      </c>
      <c r="K1870">
        <v>506446324</v>
      </c>
      <c r="L1870">
        <v>403787482</v>
      </c>
      <c r="M1870">
        <v>396638301</v>
      </c>
      <c r="N1870">
        <v>344888193</v>
      </c>
      <c r="O1870">
        <v>262616289</v>
      </c>
      <c r="P1870">
        <v>116</v>
      </c>
      <c r="Q1870" t="s">
        <v>4040</v>
      </c>
    </row>
    <row r="1871" spans="1:17" x14ac:dyDescent="0.3">
      <c r="A1871" t="s">
        <v>17</v>
      </c>
      <c r="B1871" t="str">
        <f>"688002"</f>
        <v>688002</v>
      </c>
      <c r="C1871" t="s">
        <v>4041</v>
      </c>
      <c r="D1871" t="s">
        <v>502</v>
      </c>
      <c r="E1871">
        <v>556476009</v>
      </c>
      <c r="F1871">
        <v>370165851</v>
      </c>
      <c r="G1871">
        <v>165238341</v>
      </c>
      <c r="H1871">
        <v>110731511</v>
      </c>
      <c r="P1871">
        <v>407</v>
      </c>
      <c r="Q1871" t="s">
        <v>4042</v>
      </c>
    </row>
    <row r="1872" spans="1:17" x14ac:dyDescent="0.3">
      <c r="A1872" t="s">
        <v>73</v>
      </c>
      <c r="B1872" t="str">
        <f>"000792"</f>
        <v>000792</v>
      </c>
      <c r="C1872" t="s">
        <v>4043</v>
      </c>
      <c r="D1872" t="s">
        <v>4044</v>
      </c>
      <c r="E1872">
        <v>555854939</v>
      </c>
      <c r="F1872">
        <v>916519403</v>
      </c>
      <c r="G1872">
        <v>656213883</v>
      </c>
      <c r="H1872">
        <v>638567504</v>
      </c>
      <c r="I1872">
        <v>571227298</v>
      </c>
      <c r="J1872">
        <v>517059972</v>
      </c>
      <c r="K1872">
        <v>1046626239</v>
      </c>
      <c r="L1872">
        <v>366671692</v>
      </c>
      <c r="M1872">
        <v>460199872</v>
      </c>
      <c r="N1872">
        <v>83702561</v>
      </c>
      <c r="O1872">
        <v>77174098</v>
      </c>
      <c r="P1872">
        <v>422</v>
      </c>
      <c r="Q1872" t="s">
        <v>4045</v>
      </c>
    </row>
    <row r="1873" spans="1:17" x14ac:dyDescent="0.3">
      <c r="A1873" t="s">
        <v>73</v>
      </c>
      <c r="B1873" t="str">
        <f>"002317"</f>
        <v>002317</v>
      </c>
      <c r="C1873" t="s">
        <v>4046</v>
      </c>
      <c r="D1873" t="s">
        <v>215</v>
      </c>
      <c r="E1873">
        <v>555633435</v>
      </c>
      <c r="F1873">
        <v>524201512</v>
      </c>
      <c r="G1873">
        <v>561273759</v>
      </c>
      <c r="H1873">
        <v>558427049</v>
      </c>
      <c r="I1873">
        <v>541934838</v>
      </c>
      <c r="J1873">
        <v>417990682</v>
      </c>
      <c r="K1873">
        <v>281058379</v>
      </c>
      <c r="L1873">
        <v>297895053</v>
      </c>
      <c r="M1873">
        <v>213500825</v>
      </c>
      <c r="N1873">
        <v>141867209</v>
      </c>
      <c r="O1873">
        <v>88012242</v>
      </c>
      <c r="P1873">
        <v>344</v>
      </c>
      <c r="Q1873" t="s">
        <v>4047</v>
      </c>
    </row>
    <row r="1874" spans="1:17" x14ac:dyDescent="0.3">
      <c r="A1874" t="s">
        <v>17</v>
      </c>
      <c r="B1874" t="str">
        <f>"603638"</f>
        <v>603638</v>
      </c>
      <c r="C1874" t="s">
        <v>4048</v>
      </c>
      <c r="D1874" t="s">
        <v>2394</v>
      </c>
      <c r="E1874">
        <v>555090677</v>
      </c>
      <c r="F1874">
        <v>719950011</v>
      </c>
      <c r="G1874">
        <v>317563275</v>
      </c>
      <c r="H1874">
        <v>242389014</v>
      </c>
      <c r="I1874">
        <v>130659330</v>
      </c>
      <c r="J1874">
        <v>95068666</v>
      </c>
      <c r="P1874">
        <v>665</v>
      </c>
      <c r="Q1874" t="s">
        <v>4049</v>
      </c>
    </row>
    <row r="1875" spans="1:17" x14ac:dyDescent="0.3">
      <c r="A1875" t="s">
        <v>17</v>
      </c>
      <c r="B1875" t="str">
        <f>"600488"</f>
        <v>600488</v>
      </c>
      <c r="C1875" t="s">
        <v>4050</v>
      </c>
      <c r="D1875" t="s">
        <v>348</v>
      </c>
      <c r="E1875">
        <v>554877229</v>
      </c>
      <c r="F1875">
        <v>456050664</v>
      </c>
      <c r="G1875">
        <v>471764644</v>
      </c>
      <c r="H1875">
        <v>337223373</v>
      </c>
      <c r="I1875">
        <v>362048066</v>
      </c>
      <c r="J1875">
        <v>252684659</v>
      </c>
      <c r="K1875">
        <v>180698631</v>
      </c>
      <c r="L1875">
        <v>219586740</v>
      </c>
      <c r="M1875">
        <v>250162867</v>
      </c>
      <c r="N1875">
        <v>157678818</v>
      </c>
      <c r="O1875">
        <v>156175675</v>
      </c>
      <c r="P1875">
        <v>98</v>
      </c>
      <c r="Q1875" t="s">
        <v>4051</v>
      </c>
    </row>
    <row r="1876" spans="1:17" x14ac:dyDescent="0.3">
      <c r="A1876" t="s">
        <v>73</v>
      </c>
      <c r="B1876" t="str">
        <f>"002949"</f>
        <v>002949</v>
      </c>
      <c r="C1876" t="s">
        <v>4052</v>
      </c>
      <c r="D1876" t="s">
        <v>661</v>
      </c>
      <c r="E1876">
        <v>554039086</v>
      </c>
      <c r="F1876">
        <v>468670203</v>
      </c>
      <c r="G1876">
        <v>166797566</v>
      </c>
      <c r="H1876">
        <v>322840579</v>
      </c>
      <c r="I1876">
        <v>0</v>
      </c>
      <c r="P1876">
        <v>158</v>
      </c>
      <c r="Q1876" t="s">
        <v>4053</v>
      </c>
    </row>
    <row r="1877" spans="1:17" x14ac:dyDescent="0.3">
      <c r="A1877" t="s">
        <v>73</v>
      </c>
      <c r="B1877" t="str">
        <f>"002347"</f>
        <v>002347</v>
      </c>
      <c r="C1877" t="s">
        <v>4054</v>
      </c>
      <c r="D1877" t="s">
        <v>146</v>
      </c>
      <c r="E1877">
        <v>553748027</v>
      </c>
      <c r="F1877">
        <v>518641611</v>
      </c>
      <c r="G1877">
        <v>484083642</v>
      </c>
      <c r="H1877">
        <v>488262726</v>
      </c>
      <c r="I1877">
        <v>468601677</v>
      </c>
      <c r="J1877">
        <v>496859626</v>
      </c>
      <c r="K1877">
        <v>513939097</v>
      </c>
      <c r="L1877">
        <v>459046943</v>
      </c>
      <c r="M1877">
        <v>419911978</v>
      </c>
      <c r="N1877">
        <v>399277937</v>
      </c>
      <c r="O1877">
        <v>232093042</v>
      </c>
      <c r="P1877">
        <v>75</v>
      </c>
      <c r="Q1877" t="s">
        <v>4055</v>
      </c>
    </row>
    <row r="1878" spans="1:17" x14ac:dyDescent="0.3">
      <c r="A1878" t="s">
        <v>73</v>
      </c>
      <c r="B1878" t="str">
        <f>"002653"</f>
        <v>002653</v>
      </c>
      <c r="C1878" t="s">
        <v>4056</v>
      </c>
      <c r="D1878" t="s">
        <v>348</v>
      </c>
      <c r="E1878">
        <v>553389955</v>
      </c>
      <c r="F1878">
        <v>429422946</v>
      </c>
      <c r="G1878">
        <v>403039021</v>
      </c>
      <c r="H1878">
        <v>619997908</v>
      </c>
      <c r="I1878">
        <v>412552865</v>
      </c>
      <c r="J1878">
        <v>217939541</v>
      </c>
      <c r="K1878">
        <v>22407314</v>
      </c>
      <c r="L1878">
        <v>13325335</v>
      </c>
      <c r="M1878">
        <v>15653287</v>
      </c>
      <c r="N1878">
        <v>8905443</v>
      </c>
      <c r="O1878">
        <v>3141621</v>
      </c>
      <c r="P1878">
        <v>549</v>
      </c>
      <c r="Q1878" t="s">
        <v>4057</v>
      </c>
    </row>
    <row r="1879" spans="1:17" x14ac:dyDescent="0.3">
      <c r="A1879" t="s">
        <v>17</v>
      </c>
      <c r="B1879" t="str">
        <f>"605090"</f>
        <v>605090</v>
      </c>
      <c r="C1879" t="s">
        <v>4058</v>
      </c>
      <c r="D1879" t="s">
        <v>469</v>
      </c>
      <c r="E1879">
        <v>550363761</v>
      </c>
      <c r="F1879">
        <v>190955453</v>
      </c>
      <c r="P1879">
        <v>51</v>
      </c>
      <c r="Q1879" t="s">
        <v>4059</v>
      </c>
    </row>
    <row r="1880" spans="1:17" x14ac:dyDescent="0.3">
      <c r="A1880" t="s">
        <v>73</v>
      </c>
      <c r="B1880" t="str">
        <f>"300575"</f>
        <v>300575</v>
      </c>
      <c r="C1880" t="s">
        <v>4060</v>
      </c>
      <c r="D1880" t="s">
        <v>272</v>
      </c>
      <c r="E1880">
        <v>550306460</v>
      </c>
      <c r="F1880">
        <v>359135216</v>
      </c>
      <c r="G1880">
        <v>244969273</v>
      </c>
      <c r="H1880">
        <v>300250445</v>
      </c>
      <c r="I1880">
        <v>297533776</v>
      </c>
      <c r="J1880">
        <v>279179125</v>
      </c>
      <c r="K1880">
        <v>0</v>
      </c>
      <c r="P1880">
        <v>187</v>
      </c>
      <c r="Q1880" t="s">
        <v>4061</v>
      </c>
    </row>
    <row r="1881" spans="1:17" x14ac:dyDescent="0.3">
      <c r="A1881" t="s">
        <v>73</v>
      </c>
      <c r="B1881" t="str">
        <f>"000692"</f>
        <v>000692</v>
      </c>
      <c r="C1881" t="s">
        <v>4062</v>
      </c>
      <c r="D1881" t="s">
        <v>1106</v>
      </c>
      <c r="E1881">
        <v>550008028</v>
      </c>
      <c r="F1881">
        <v>421547146</v>
      </c>
      <c r="G1881">
        <v>670431936</v>
      </c>
      <c r="H1881">
        <v>668953038</v>
      </c>
      <c r="I1881">
        <v>575970632</v>
      </c>
      <c r="J1881">
        <v>516658310</v>
      </c>
      <c r="K1881">
        <v>384162986</v>
      </c>
      <c r="L1881">
        <v>374530763</v>
      </c>
      <c r="M1881">
        <v>342261026</v>
      </c>
      <c r="N1881">
        <v>233261583</v>
      </c>
      <c r="O1881">
        <v>238991056</v>
      </c>
      <c r="P1881">
        <v>77</v>
      </c>
      <c r="Q1881" t="s">
        <v>4063</v>
      </c>
    </row>
    <row r="1882" spans="1:17" x14ac:dyDescent="0.3">
      <c r="A1882" t="s">
        <v>17</v>
      </c>
      <c r="B1882" t="str">
        <f>"605056"</f>
        <v>605056</v>
      </c>
      <c r="C1882" t="s">
        <v>4064</v>
      </c>
      <c r="D1882" t="s">
        <v>2280</v>
      </c>
      <c r="E1882">
        <v>549848577</v>
      </c>
      <c r="F1882">
        <v>471273715</v>
      </c>
      <c r="P1882">
        <v>21</v>
      </c>
      <c r="Q1882" t="s">
        <v>4065</v>
      </c>
    </row>
    <row r="1883" spans="1:17" x14ac:dyDescent="0.3">
      <c r="A1883" t="s">
        <v>17</v>
      </c>
      <c r="B1883" t="str">
        <f>"605183"</f>
        <v>605183</v>
      </c>
      <c r="C1883" t="s">
        <v>4066</v>
      </c>
      <c r="D1883" t="s">
        <v>1698</v>
      </c>
      <c r="E1883">
        <v>548471989</v>
      </c>
      <c r="F1883">
        <v>371044020</v>
      </c>
      <c r="G1883">
        <v>266289352</v>
      </c>
      <c r="H1883">
        <v>305286837</v>
      </c>
      <c r="I1883">
        <v>247560960</v>
      </c>
      <c r="P1883">
        <v>63</v>
      </c>
      <c r="Q1883" t="s">
        <v>4067</v>
      </c>
    </row>
    <row r="1884" spans="1:17" x14ac:dyDescent="0.3">
      <c r="A1884" t="s">
        <v>17</v>
      </c>
      <c r="B1884" t="str">
        <f>"603279"</f>
        <v>603279</v>
      </c>
      <c r="C1884" t="s">
        <v>4068</v>
      </c>
      <c r="D1884" t="s">
        <v>540</v>
      </c>
      <c r="E1884">
        <v>548447493</v>
      </c>
      <c r="F1884">
        <v>422708044</v>
      </c>
      <c r="G1884">
        <v>510055655</v>
      </c>
      <c r="H1884">
        <v>0</v>
      </c>
      <c r="I1884">
        <v>0</v>
      </c>
      <c r="P1884">
        <v>231</v>
      </c>
      <c r="Q1884" t="s">
        <v>4069</v>
      </c>
    </row>
    <row r="1885" spans="1:17" x14ac:dyDescent="0.3">
      <c r="A1885" t="s">
        <v>73</v>
      </c>
      <c r="B1885" t="str">
        <f>"301027"</f>
        <v>301027</v>
      </c>
      <c r="C1885" t="s">
        <v>4070</v>
      </c>
      <c r="D1885" t="s">
        <v>661</v>
      </c>
      <c r="E1885">
        <v>548100706</v>
      </c>
      <c r="F1885">
        <v>308741255</v>
      </c>
      <c r="P1885">
        <v>25</v>
      </c>
      <c r="Q1885" t="s">
        <v>4071</v>
      </c>
    </row>
    <row r="1886" spans="1:17" x14ac:dyDescent="0.3">
      <c r="A1886" t="s">
        <v>73</v>
      </c>
      <c r="B1886" t="str">
        <f>"002885"</f>
        <v>002885</v>
      </c>
      <c r="C1886" t="s">
        <v>4072</v>
      </c>
      <c r="D1886" t="s">
        <v>42</v>
      </c>
      <c r="E1886">
        <v>547079193</v>
      </c>
      <c r="F1886">
        <v>385984296</v>
      </c>
      <c r="G1886">
        <v>266743190</v>
      </c>
      <c r="H1886">
        <v>315897230</v>
      </c>
      <c r="I1886">
        <v>397256728</v>
      </c>
      <c r="J1886">
        <v>190514051</v>
      </c>
      <c r="P1886">
        <v>199</v>
      </c>
      <c r="Q1886" t="s">
        <v>4073</v>
      </c>
    </row>
    <row r="1887" spans="1:17" x14ac:dyDescent="0.3">
      <c r="A1887" t="s">
        <v>17</v>
      </c>
      <c r="B1887" t="str">
        <f>"600126"</f>
        <v>600126</v>
      </c>
      <c r="C1887" t="s">
        <v>4074</v>
      </c>
      <c r="D1887" t="s">
        <v>221</v>
      </c>
      <c r="E1887">
        <v>545350885</v>
      </c>
      <c r="F1887">
        <v>365414609</v>
      </c>
      <c r="G1887">
        <v>265321675</v>
      </c>
      <c r="H1887">
        <v>305823522</v>
      </c>
      <c r="I1887">
        <v>115014721</v>
      </c>
      <c r="J1887">
        <v>324320815</v>
      </c>
      <c r="K1887">
        <v>167165180</v>
      </c>
      <c r="L1887">
        <v>65564773</v>
      </c>
      <c r="M1887">
        <v>131695365</v>
      </c>
      <c r="N1887">
        <v>112609994</v>
      </c>
      <c r="O1887">
        <v>192279238</v>
      </c>
      <c r="P1887">
        <v>231</v>
      </c>
      <c r="Q1887" t="s">
        <v>4075</v>
      </c>
    </row>
    <row r="1888" spans="1:17" x14ac:dyDescent="0.3">
      <c r="A1888" t="s">
        <v>17</v>
      </c>
      <c r="B1888" t="str">
        <f>"600400"</f>
        <v>600400</v>
      </c>
      <c r="C1888" t="s">
        <v>4076</v>
      </c>
      <c r="D1888" t="s">
        <v>991</v>
      </c>
      <c r="E1888">
        <v>544348066</v>
      </c>
      <c r="F1888">
        <v>370832916</v>
      </c>
      <c r="G1888">
        <v>337425688</v>
      </c>
      <c r="H1888">
        <v>343450729</v>
      </c>
      <c r="I1888">
        <v>140951323</v>
      </c>
      <c r="J1888">
        <v>150009288</v>
      </c>
      <c r="K1888">
        <v>144371202</v>
      </c>
      <c r="L1888">
        <v>187289048</v>
      </c>
      <c r="M1888">
        <v>463404768</v>
      </c>
      <c r="N1888">
        <v>458991157</v>
      </c>
      <c r="O1888">
        <v>347019907</v>
      </c>
      <c r="P1888">
        <v>165</v>
      </c>
      <c r="Q1888" t="s">
        <v>4077</v>
      </c>
    </row>
    <row r="1889" spans="1:17" x14ac:dyDescent="0.3">
      <c r="A1889" t="s">
        <v>73</v>
      </c>
      <c r="B1889" t="str">
        <f>"002539"</f>
        <v>002539</v>
      </c>
      <c r="C1889" t="s">
        <v>4078</v>
      </c>
      <c r="D1889" t="s">
        <v>4079</v>
      </c>
      <c r="E1889">
        <v>544265076</v>
      </c>
      <c r="F1889">
        <v>526946325</v>
      </c>
      <c r="G1889">
        <v>498470885</v>
      </c>
      <c r="H1889">
        <v>425036685</v>
      </c>
      <c r="I1889">
        <v>395468521</v>
      </c>
      <c r="J1889">
        <v>677424261</v>
      </c>
      <c r="K1889">
        <v>493023792</v>
      </c>
      <c r="L1889">
        <v>359019098</v>
      </c>
      <c r="M1889">
        <v>218316217</v>
      </c>
      <c r="N1889">
        <v>105526352</v>
      </c>
      <c r="O1889">
        <v>96529473</v>
      </c>
      <c r="P1889">
        <v>240</v>
      </c>
      <c r="Q1889" t="s">
        <v>4080</v>
      </c>
    </row>
    <row r="1890" spans="1:17" x14ac:dyDescent="0.3">
      <c r="A1890" t="s">
        <v>73</v>
      </c>
      <c r="B1890" t="str">
        <f>"300350"</f>
        <v>300350</v>
      </c>
      <c r="C1890" t="s">
        <v>4081</v>
      </c>
      <c r="D1890" t="s">
        <v>233</v>
      </c>
      <c r="E1890">
        <v>543635589</v>
      </c>
      <c r="F1890">
        <v>579249472</v>
      </c>
      <c r="G1890">
        <v>686213099</v>
      </c>
      <c r="H1890">
        <v>724968513</v>
      </c>
      <c r="I1890">
        <v>404729376</v>
      </c>
      <c r="J1890">
        <v>251406654</v>
      </c>
      <c r="K1890">
        <v>236910508</v>
      </c>
      <c r="L1890">
        <v>438977526</v>
      </c>
      <c r="M1890">
        <v>264762918</v>
      </c>
      <c r="N1890">
        <v>194778833</v>
      </c>
      <c r="O1890">
        <v>0</v>
      </c>
      <c r="P1890">
        <v>106</v>
      </c>
      <c r="Q1890" t="s">
        <v>4082</v>
      </c>
    </row>
    <row r="1891" spans="1:17" x14ac:dyDescent="0.3">
      <c r="A1891" t="s">
        <v>73</v>
      </c>
      <c r="B1891" t="str">
        <f>"002689"</f>
        <v>002689</v>
      </c>
      <c r="C1891" t="s">
        <v>4083</v>
      </c>
      <c r="D1891" t="s">
        <v>744</v>
      </c>
      <c r="E1891">
        <v>540821227</v>
      </c>
      <c r="F1891">
        <v>499661184</v>
      </c>
      <c r="G1891">
        <v>573552472</v>
      </c>
      <c r="H1891">
        <v>746708027</v>
      </c>
      <c r="I1891">
        <v>820539796</v>
      </c>
      <c r="J1891">
        <v>696583645</v>
      </c>
      <c r="K1891">
        <v>752462279</v>
      </c>
      <c r="L1891">
        <v>769552709</v>
      </c>
      <c r="M1891">
        <v>541956301</v>
      </c>
      <c r="N1891">
        <v>502873546</v>
      </c>
      <c r="O1891">
        <v>0</v>
      </c>
      <c r="P1891">
        <v>87</v>
      </c>
      <c r="Q1891" t="s">
        <v>4084</v>
      </c>
    </row>
    <row r="1892" spans="1:17" x14ac:dyDescent="0.3">
      <c r="A1892" t="s">
        <v>73</v>
      </c>
      <c r="B1892" t="str">
        <f>"000889"</f>
        <v>000889</v>
      </c>
      <c r="C1892" t="s">
        <v>4085</v>
      </c>
      <c r="D1892" t="s">
        <v>853</v>
      </c>
      <c r="E1892">
        <v>540559610</v>
      </c>
      <c r="F1892">
        <v>950845721</v>
      </c>
      <c r="G1892">
        <v>992991349</v>
      </c>
      <c r="H1892">
        <v>1241961643</v>
      </c>
      <c r="I1892">
        <v>844942974</v>
      </c>
      <c r="J1892">
        <v>571015518</v>
      </c>
      <c r="K1892">
        <v>547183362</v>
      </c>
      <c r="L1892">
        <v>109390647</v>
      </c>
      <c r="M1892">
        <v>33805890</v>
      </c>
      <c r="N1892">
        <v>34925219</v>
      </c>
      <c r="O1892">
        <v>33726287</v>
      </c>
      <c r="P1892">
        <v>157</v>
      </c>
      <c r="Q1892" t="s">
        <v>4086</v>
      </c>
    </row>
    <row r="1893" spans="1:17" x14ac:dyDescent="0.3">
      <c r="A1893" t="s">
        <v>17</v>
      </c>
      <c r="B1893" t="str">
        <f>"603506"</f>
        <v>603506</v>
      </c>
      <c r="C1893" t="s">
        <v>4087</v>
      </c>
      <c r="D1893" t="s">
        <v>1209</v>
      </c>
      <c r="E1893">
        <v>539700525</v>
      </c>
      <c r="F1893">
        <v>410277524</v>
      </c>
      <c r="G1893">
        <v>374319770</v>
      </c>
      <c r="H1893">
        <v>290485625</v>
      </c>
      <c r="I1893">
        <v>178793712</v>
      </c>
      <c r="P1893">
        <v>355</v>
      </c>
      <c r="Q1893" t="s">
        <v>4088</v>
      </c>
    </row>
    <row r="1894" spans="1:17" x14ac:dyDescent="0.3">
      <c r="A1894" t="s">
        <v>73</v>
      </c>
      <c r="B1894" t="str">
        <f>"002785"</f>
        <v>002785</v>
      </c>
      <c r="C1894" t="s">
        <v>4089</v>
      </c>
      <c r="D1894" t="s">
        <v>808</v>
      </c>
      <c r="E1894">
        <v>538936136</v>
      </c>
      <c r="F1894">
        <v>553079228</v>
      </c>
      <c r="G1894">
        <v>518891979</v>
      </c>
      <c r="H1894">
        <v>578160314</v>
      </c>
      <c r="I1894">
        <v>512543908</v>
      </c>
      <c r="J1894">
        <v>508574254</v>
      </c>
      <c r="K1894">
        <v>418051830</v>
      </c>
      <c r="L1894">
        <v>373845222</v>
      </c>
      <c r="M1894">
        <v>0</v>
      </c>
      <c r="P1894">
        <v>57</v>
      </c>
      <c r="Q1894" t="s">
        <v>4090</v>
      </c>
    </row>
    <row r="1895" spans="1:17" x14ac:dyDescent="0.3">
      <c r="A1895" t="s">
        <v>73</v>
      </c>
      <c r="B1895" t="str">
        <f>"300719"</f>
        <v>300719</v>
      </c>
      <c r="C1895" t="s">
        <v>4091</v>
      </c>
      <c r="D1895" t="s">
        <v>130</v>
      </c>
      <c r="E1895">
        <v>538173398</v>
      </c>
      <c r="F1895">
        <v>576010963</v>
      </c>
      <c r="G1895">
        <v>530189975</v>
      </c>
      <c r="H1895">
        <v>302940182</v>
      </c>
      <c r="I1895">
        <v>283802221</v>
      </c>
      <c r="J1895">
        <v>0</v>
      </c>
      <c r="P1895">
        <v>93</v>
      </c>
      <c r="Q1895" t="s">
        <v>4092</v>
      </c>
    </row>
    <row r="1896" spans="1:17" x14ac:dyDescent="0.3">
      <c r="A1896" t="s">
        <v>73</v>
      </c>
      <c r="B1896" t="str">
        <f>"002598"</f>
        <v>002598</v>
      </c>
      <c r="C1896" t="s">
        <v>4093</v>
      </c>
      <c r="D1896" t="s">
        <v>873</v>
      </c>
      <c r="E1896">
        <v>537532435</v>
      </c>
      <c r="F1896">
        <v>432642852</v>
      </c>
      <c r="G1896">
        <v>367719112</v>
      </c>
      <c r="H1896">
        <v>332161815</v>
      </c>
      <c r="I1896">
        <v>258222919</v>
      </c>
      <c r="J1896">
        <v>212262392</v>
      </c>
      <c r="K1896">
        <v>205680758</v>
      </c>
      <c r="L1896">
        <v>178835571</v>
      </c>
      <c r="M1896">
        <v>147506573</v>
      </c>
      <c r="N1896">
        <v>130848030</v>
      </c>
      <c r="O1896">
        <v>106309038</v>
      </c>
      <c r="P1896">
        <v>88</v>
      </c>
      <c r="Q1896" t="s">
        <v>4094</v>
      </c>
    </row>
    <row r="1897" spans="1:17" x14ac:dyDescent="0.3">
      <c r="A1897" t="s">
        <v>73</v>
      </c>
      <c r="B1897" t="str">
        <f>"300221"</f>
        <v>300221</v>
      </c>
      <c r="C1897" t="s">
        <v>4095</v>
      </c>
      <c r="D1897" t="s">
        <v>570</v>
      </c>
      <c r="E1897">
        <v>537194561</v>
      </c>
      <c r="F1897">
        <v>505095077</v>
      </c>
      <c r="G1897">
        <v>277856427</v>
      </c>
      <c r="H1897">
        <v>446715528</v>
      </c>
      <c r="I1897">
        <v>663605718</v>
      </c>
      <c r="J1897">
        <v>781142035</v>
      </c>
      <c r="K1897">
        <v>384473525</v>
      </c>
      <c r="L1897">
        <v>324927281</v>
      </c>
      <c r="M1897">
        <v>298670823</v>
      </c>
      <c r="N1897">
        <v>248272569</v>
      </c>
      <c r="O1897">
        <v>241734877</v>
      </c>
      <c r="P1897">
        <v>173</v>
      </c>
      <c r="Q1897" t="s">
        <v>4096</v>
      </c>
    </row>
    <row r="1898" spans="1:17" x14ac:dyDescent="0.3">
      <c r="A1898" t="s">
        <v>17</v>
      </c>
      <c r="B1898" t="str">
        <f>"600229"</f>
        <v>600229</v>
      </c>
      <c r="C1898" t="s">
        <v>4097</v>
      </c>
      <c r="D1898" t="s">
        <v>1921</v>
      </c>
      <c r="E1898">
        <v>536094539</v>
      </c>
      <c r="F1898">
        <v>490443464</v>
      </c>
      <c r="G1898">
        <v>600569979</v>
      </c>
      <c r="H1898">
        <v>541798430</v>
      </c>
      <c r="I1898">
        <v>468410747</v>
      </c>
      <c r="J1898">
        <v>393785011</v>
      </c>
      <c r="K1898">
        <v>361151279</v>
      </c>
      <c r="L1898">
        <v>200677579</v>
      </c>
      <c r="M1898">
        <v>148563424</v>
      </c>
      <c r="N1898">
        <v>153737929</v>
      </c>
      <c r="O1898">
        <v>134704553</v>
      </c>
      <c r="P1898">
        <v>174</v>
      </c>
      <c r="Q1898" t="s">
        <v>4098</v>
      </c>
    </row>
    <row r="1899" spans="1:17" x14ac:dyDescent="0.3">
      <c r="A1899" t="s">
        <v>73</v>
      </c>
      <c r="B1899" t="str">
        <f>"300860"</f>
        <v>300860</v>
      </c>
      <c r="C1899" t="s">
        <v>4099</v>
      </c>
      <c r="D1899" t="s">
        <v>3335</v>
      </c>
      <c r="E1899">
        <v>535241719</v>
      </c>
      <c r="F1899">
        <v>365917140</v>
      </c>
      <c r="G1899">
        <v>0</v>
      </c>
      <c r="P1899">
        <v>95</v>
      </c>
      <c r="Q1899" t="s">
        <v>4100</v>
      </c>
    </row>
    <row r="1900" spans="1:17" x14ac:dyDescent="0.3">
      <c r="A1900" t="s">
        <v>17</v>
      </c>
      <c r="B1900" t="str">
        <f>"688663"</f>
        <v>688663</v>
      </c>
      <c r="C1900" t="s">
        <v>4101</v>
      </c>
      <c r="D1900" t="s">
        <v>230</v>
      </c>
      <c r="E1900">
        <v>534497334</v>
      </c>
      <c r="F1900">
        <v>424146666</v>
      </c>
      <c r="P1900">
        <v>32</v>
      </c>
      <c r="Q1900" t="s">
        <v>4102</v>
      </c>
    </row>
    <row r="1901" spans="1:17" x14ac:dyDescent="0.3">
      <c r="A1901" t="s">
        <v>73</v>
      </c>
      <c r="B1901" t="str">
        <f>"002947"</f>
        <v>002947</v>
      </c>
      <c r="C1901" t="s">
        <v>4103</v>
      </c>
      <c r="D1901" t="s">
        <v>42</v>
      </c>
      <c r="E1901">
        <v>534363580</v>
      </c>
      <c r="F1901">
        <v>289418069</v>
      </c>
      <c r="G1901">
        <v>182730927</v>
      </c>
      <c r="H1901">
        <v>179847016</v>
      </c>
      <c r="J1901">
        <v>186858861</v>
      </c>
      <c r="P1901">
        <v>266</v>
      </c>
      <c r="Q1901" t="s">
        <v>4104</v>
      </c>
    </row>
    <row r="1902" spans="1:17" x14ac:dyDescent="0.3">
      <c r="A1902" t="s">
        <v>17</v>
      </c>
      <c r="B1902" t="str">
        <f>"688619"</f>
        <v>688619</v>
      </c>
      <c r="C1902" t="s">
        <v>4105</v>
      </c>
      <c r="D1902" t="s">
        <v>119</v>
      </c>
      <c r="E1902">
        <v>534306007</v>
      </c>
      <c r="F1902">
        <v>557289873</v>
      </c>
      <c r="P1902">
        <v>31</v>
      </c>
      <c r="Q1902" t="s">
        <v>4106</v>
      </c>
    </row>
    <row r="1903" spans="1:17" x14ac:dyDescent="0.3">
      <c r="A1903" t="s">
        <v>73</v>
      </c>
      <c r="B1903" t="str">
        <f>"002094"</f>
        <v>002094</v>
      </c>
      <c r="C1903" t="s">
        <v>4107</v>
      </c>
      <c r="D1903" t="s">
        <v>2859</v>
      </c>
      <c r="E1903">
        <v>534116039</v>
      </c>
      <c r="F1903">
        <v>628741488</v>
      </c>
      <c r="G1903">
        <v>694568746</v>
      </c>
      <c r="H1903">
        <v>0</v>
      </c>
      <c r="I1903">
        <v>655817688</v>
      </c>
      <c r="J1903">
        <v>513565151</v>
      </c>
      <c r="K1903">
        <v>245659928</v>
      </c>
      <c r="L1903">
        <v>263761265</v>
      </c>
      <c r="M1903">
        <v>174202346</v>
      </c>
      <c r="N1903">
        <v>124719216</v>
      </c>
      <c r="O1903">
        <v>200045741</v>
      </c>
      <c r="P1903">
        <v>183</v>
      </c>
      <c r="Q1903" t="s">
        <v>4108</v>
      </c>
    </row>
    <row r="1904" spans="1:17" x14ac:dyDescent="0.3">
      <c r="A1904" t="s">
        <v>17</v>
      </c>
      <c r="B1904" t="str">
        <f>"688328"</f>
        <v>688328</v>
      </c>
      <c r="C1904" t="s">
        <v>4109</v>
      </c>
      <c r="D1904" t="s">
        <v>1451</v>
      </c>
      <c r="E1904">
        <v>533583359</v>
      </c>
      <c r="F1904">
        <v>418383580</v>
      </c>
      <c r="P1904">
        <v>39</v>
      </c>
      <c r="Q1904" t="s">
        <v>4110</v>
      </c>
    </row>
    <row r="1905" spans="1:17" x14ac:dyDescent="0.3">
      <c r="A1905" t="s">
        <v>73</v>
      </c>
      <c r="B1905" t="str">
        <f>"002863"</f>
        <v>002863</v>
      </c>
      <c r="C1905" t="s">
        <v>4111</v>
      </c>
      <c r="D1905" t="s">
        <v>781</v>
      </c>
      <c r="E1905">
        <v>533044188</v>
      </c>
      <c r="F1905">
        <v>451474269</v>
      </c>
      <c r="G1905">
        <v>396960128</v>
      </c>
      <c r="H1905">
        <v>380718925</v>
      </c>
      <c r="I1905">
        <v>455899121</v>
      </c>
      <c r="J1905">
        <v>448037154</v>
      </c>
      <c r="P1905">
        <v>104</v>
      </c>
      <c r="Q1905" t="s">
        <v>4112</v>
      </c>
    </row>
    <row r="1906" spans="1:17" x14ac:dyDescent="0.3">
      <c r="A1906" t="s">
        <v>73</v>
      </c>
      <c r="B1906" t="str">
        <f>"300374"</f>
        <v>300374</v>
      </c>
      <c r="C1906" t="s">
        <v>4113</v>
      </c>
      <c r="D1906" t="s">
        <v>1412</v>
      </c>
      <c r="E1906">
        <v>532840694</v>
      </c>
      <c r="F1906">
        <v>667170557</v>
      </c>
      <c r="G1906">
        <v>779451770</v>
      </c>
      <c r="H1906">
        <v>895771126</v>
      </c>
      <c r="I1906">
        <v>555805488</v>
      </c>
      <c r="J1906">
        <v>463692802</v>
      </c>
      <c r="K1906">
        <v>391626102</v>
      </c>
      <c r="L1906">
        <v>247711962</v>
      </c>
      <c r="M1906">
        <v>0</v>
      </c>
      <c r="P1906">
        <v>61</v>
      </c>
      <c r="Q1906" t="s">
        <v>4114</v>
      </c>
    </row>
    <row r="1907" spans="1:17" x14ac:dyDescent="0.3">
      <c r="A1907" t="s">
        <v>17</v>
      </c>
      <c r="B1907" t="str">
        <f>"688012"</f>
        <v>688012</v>
      </c>
      <c r="C1907" t="s">
        <v>4115</v>
      </c>
      <c r="D1907" t="s">
        <v>1291</v>
      </c>
      <c r="E1907">
        <v>532763920</v>
      </c>
      <c r="F1907">
        <v>340013452</v>
      </c>
      <c r="G1907">
        <v>426267722</v>
      </c>
      <c r="H1907">
        <v>377648327</v>
      </c>
      <c r="P1907">
        <v>620</v>
      </c>
      <c r="Q1907" t="s">
        <v>4116</v>
      </c>
    </row>
    <row r="1908" spans="1:17" x14ac:dyDescent="0.3">
      <c r="A1908" t="s">
        <v>73</v>
      </c>
      <c r="B1908" t="str">
        <f>"300196"</f>
        <v>300196</v>
      </c>
      <c r="C1908" t="s">
        <v>4117</v>
      </c>
      <c r="D1908" t="s">
        <v>598</v>
      </c>
      <c r="E1908">
        <v>531838043</v>
      </c>
      <c r="F1908">
        <v>387980424</v>
      </c>
      <c r="G1908">
        <v>357366385</v>
      </c>
      <c r="H1908">
        <v>382918300</v>
      </c>
      <c r="I1908">
        <v>348006467</v>
      </c>
      <c r="J1908">
        <v>333868072</v>
      </c>
      <c r="K1908">
        <v>339841687</v>
      </c>
      <c r="L1908">
        <v>206956073</v>
      </c>
      <c r="M1908">
        <v>197975318</v>
      </c>
      <c r="N1908">
        <v>118037510</v>
      </c>
      <c r="O1908">
        <v>55299100</v>
      </c>
      <c r="P1908">
        <v>232</v>
      </c>
      <c r="Q1908" t="s">
        <v>4118</v>
      </c>
    </row>
    <row r="1909" spans="1:17" x14ac:dyDescent="0.3">
      <c r="A1909" t="s">
        <v>73</v>
      </c>
      <c r="B1909" t="str">
        <f>"002067"</f>
        <v>002067</v>
      </c>
      <c r="C1909" t="s">
        <v>4119</v>
      </c>
      <c r="D1909" t="s">
        <v>644</v>
      </c>
      <c r="E1909">
        <v>531825237</v>
      </c>
      <c r="F1909">
        <v>452094501</v>
      </c>
      <c r="G1909">
        <v>367957128</v>
      </c>
      <c r="H1909">
        <v>489307404</v>
      </c>
      <c r="I1909">
        <v>530152278</v>
      </c>
      <c r="J1909">
        <v>437034999</v>
      </c>
      <c r="K1909">
        <v>485357890</v>
      </c>
      <c r="L1909">
        <v>471832024</v>
      </c>
      <c r="M1909">
        <v>468001688</v>
      </c>
      <c r="N1909">
        <v>441359673</v>
      </c>
      <c r="O1909">
        <v>530614683</v>
      </c>
      <c r="P1909">
        <v>173</v>
      </c>
      <c r="Q1909" t="s">
        <v>4120</v>
      </c>
    </row>
    <row r="1910" spans="1:17" x14ac:dyDescent="0.3">
      <c r="A1910" t="s">
        <v>73</v>
      </c>
      <c r="B1910" t="str">
        <f>"300094"</f>
        <v>300094</v>
      </c>
      <c r="C1910" t="s">
        <v>4121</v>
      </c>
      <c r="D1910" t="s">
        <v>3754</v>
      </c>
      <c r="E1910">
        <v>531800942</v>
      </c>
      <c r="F1910">
        <v>540292336</v>
      </c>
      <c r="G1910">
        <v>816074567</v>
      </c>
      <c r="H1910">
        <v>697567667</v>
      </c>
      <c r="I1910">
        <v>804032645</v>
      </c>
      <c r="J1910">
        <v>763811893</v>
      </c>
      <c r="K1910">
        <v>610432753</v>
      </c>
      <c r="L1910">
        <v>567067698</v>
      </c>
      <c r="M1910">
        <v>470205381</v>
      </c>
      <c r="N1910">
        <v>357374874</v>
      </c>
      <c r="O1910">
        <v>335948016</v>
      </c>
      <c r="P1910">
        <v>123</v>
      </c>
      <c r="Q1910" t="s">
        <v>4122</v>
      </c>
    </row>
    <row r="1911" spans="1:17" x14ac:dyDescent="0.3">
      <c r="A1911" t="s">
        <v>73</v>
      </c>
      <c r="B1911" t="str">
        <f>"000566"</f>
        <v>000566</v>
      </c>
      <c r="C1911" t="s">
        <v>4123</v>
      </c>
      <c r="D1911" t="s">
        <v>348</v>
      </c>
      <c r="E1911">
        <v>531644816</v>
      </c>
      <c r="F1911">
        <v>732649739</v>
      </c>
      <c r="G1911">
        <v>683817307</v>
      </c>
      <c r="H1911">
        <v>837771613</v>
      </c>
      <c r="I1911">
        <v>688649942</v>
      </c>
      <c r="J1911">
        <v>591436091</v>
      </c>
      <c r="K1911">
        <v>399858080</v>
      </c>
      <c r="L1911">
        <v>382312698</v>
      </c>
      <c r="M1911">
        <v>278069215</v>
      </c>
      <c r="N1911">
        <v>186512101</v>
      </c>
      <c r="O1911">
        <v>152247040</v>
      </c>
      <c r="P1911">
        <v>195</v>
      </c>
      <c r="Q1911" t="s">
        <v>4124</v>
      </c>
    </row>
    <row r="1912" spans="1:17" x14ac:dyDescent="0.3">
      <c r="A1912" t="s">
        <v>17</v>
      </c>
      <c r="B1912" t="str">
        <f>"688345"</f>
        <v>688345</v>
      </c>
      <c r="C1912" t="s">
        <v>4125</v>
      </c>
      <c r="D1912" t="s">
        <v>125</v>
      </c>
      <c r="E1912">
        <v>530822574</v>
      </c>
      <c r="F1912">
        <v>308856783</v>
      </c>
      <c r="P1912">
        <v>39</v>
      </c>
      <c r="Q1912" t="s">
        <v>4126</v>
      </c>
    </row>
    <row r="1913" spans="1:17" x14ac:dyDescent="0.3">
      <c r="A1913" t="s">
        <v>73</v>
      </c>
      <c r="B1913" t="str">
        <f>"300294"</f>
        <v>300294</v>
      </c>
      <c r="C1913" t="s">
        <v>4127</v>
      </c>
      <c r="D1913" t="s">
        <v>1538</v>
      </c>
      <c r="E1913">
        <v>530677726</v>
      </c>
      <c r="F1913">
        <v>510241377</v>
      </c>
      <c r="G1913">
        <v>681216241</v>
      </c>
      <c r="H1913">
        <v>653121260</v>
      </c>
      <c r="I1913">
        <v>377328627</v>
      </c>
      <c r="J1913">
        <v>148529964</v>
      </c>
      <c r="K1913">
        <v>96941807</v>
      </c>
      <c r="L1913">
        <v>70202073</v>
      </c>
      <c r="M1913">
        <v>38644868</v>
      </c>
      <c r="N1913">
        <v>8637106</v>
      </c>
      <c r="O1913">
        <v>5110160</v>
      </c>
      <c r="P1913">
        <v>495</v>
      </c>
      <c r="Q1913" t="s">
        <v>4128</v>
      </c>
    </row>
    <row r="1914" spans="1:17" x14ac:dyDescent="0.3">
      <c r="A1914" t="s">
        <v>17</v>
      </c>
      <c r="B1914" t="str">
        <f>"688560"</f>
        <v>688560</v>
      </c>
      <c r="C1914" t="s">
        <v>4129</v>
      </c>
      <c r="D1914" t="s">
        <v>919</v>
      </c>
      <c r="E1914">
        <v>529347180</v>
      </c>
      <c r="F1914">
        <v>454981907</v>
      </c>
      <c r="P1914">
        <v>38</v>
      </c>
      <c r="Q1914" t="s">
        <v>4130</v>
      </c>
    </row>
    <row r="1915" spans="1:17" x14ac:dyDescent="0.3">
      <c r="A1915" t="s">
        <v>17</v>
      </c>
      <c r="B1915" t="str">
        <f>"600963"</f>
        <v>600963</v>
      </c>
      <c r="C1915" t="s">
        <v>4131</v>
      </c>
      <c r="D1915" t="s">
        <v>644</v>
      </c>
      <c r="E1915">
        <v>529324525</v>
      </c>
      <c r="F1915">
        <v>667838927</v>
      </c>
      <c r="G1915">
        <v>967117954</v>
      </c>
      <c r="H1915">
        <v>699757050</v>
      </c>
      <c r="I1915">
        <v>744875161</v>
      </c>
      <c r="J1915">
        <v>696901054</v>
      </c>
      <c r="K1915">
        <v>1000776337</v>
      </c>
      <c r="L1915">
        <v>934143595</v>
      </c>
      <c r="M1915">
        <v>1146608908</v>
      </c>
      <c r="N1915">
        <v>1228107143</v>
      </c>
      <c r="O1915">
        <v>1253609074</v>
      </c>
      <c r="P1915">
        <v>201</v>
      </c>
      <c r="Q1915" t="s">
        <v>4132</v>
      </c>
    </row>
    <row r="1916" spans="1:17" x14ac:dyDescent="0.3">
      <c r="A1916" t="s">
        <v>17</v>
      </c>
      <c r="B1916" t="str">
        <f>"600152"</f>
        <v>600152</v>
      </c>
      <c r="C1916" t="s">
        <v>4133</v>
      </c>
      <c r="D1916" t="s">
        <v>125</v>
      </c>
      <c r="E1916">
        <v>529297724</v>
      </c>
      <c r="F1916">
        <v>532409531</v>
      </c>
      <c r="G1916">
        <v>417238008</v>
      </c>
      <c r="H1916">
        <v>406102212</v>
      </c>
      <c r="I1916">
        <v>336580924</v>
      </c>
      <c r="J1916">
        <v>45230100</v>
      </c>
      <c r="K1916">
        <v>49846758</v>
      </c>
      <c r="L1916">
        <v>72770263</v>
      </c>
      <c r="M1916">
        <v>137863028</v>
      </c>
      <c r="N1916">
        <v>151463970</v>
      </c>
      <c r="O1916">
        <v>199312572</v>
      </c>
      <c r="P1916">
        <v>147</v>
      </c>
      <c r="Q1916" t="s">
        <v>4134</v>
      </c>
    </row>
    <row r="1917" spans="1:17" x14ac:dyDescent="0.3">
      <c r="A1917" t="s">
        <v>73</v>
      </c>
      <c r="B1917" t="str">
        <f>"002562"</f>
        <v>002562</v>
      </c>
      <c r="C1917" t="s">
        <v>4135</v>
      </c>
      <c r="D1917" t="s">
        <v>1430</v>
      </c>
      <c r="E1917">
        <v>528957076</v>
      </c>
      <c r="F1917">
        <v>409252888</v>
      </c>
      <c r="G1917">
        <v>344692662</v>
      </c>
      <c r="H1917">
        <v>210248289</v>
      </c>
      <c r="I1917">
        <v>295227452</v>
      </c>
      <c r="J1917">
        <v>176596689</v>
      </c>
      <c r="K1917">
        <v>164690018</v>
      </c>
      <c r="L1917">
        <v>126945370</v>
      </c>
      <c r="M1917">
        <v>133174640</v>
      </c>
      <c r="N1917">
        <v>139004626</v>
      </c>
      <c r="O1917">
        <v>158449550</v>
      </c>
      <c r="P1917">
        <v>260</v>
      </c>
      <c r="Q1917" t="s">
        <v>4136</v>
      </c>
    </row>
    <row r="1918" spans="1:17" x14ac:dyDescent="0.3">
      <c r="A1918" t="s">
        <v>17</v>
      </c>
      <c r="B1918" t="str">
        <f>"603901"</f>
        <v>603901</v>
      </c>
      <c r="C1918" t="s">
        <v>4137</v>
      </c>
      <c r="D1918" t="s">
        <v>2099</v>
      </c>
      <c r="E1918">
        <v>528067428</v>
      </c>
      <c r="F1918">
        <v>380457209</v>
      </c>
      <c r="G1918">
        <v>373488169</v>
      </c>
      <c r="H1918">
        <v>0</v>
      </c>
      <c r="I1918">
        <v>365964059</v>
      </c>
      <c r="J1918">
        <v>262953112</v>
      </c>
      <c r="K1918">
        <v>208768051</v>
      </c>
      <c r="L1918">
        <v>185016259</v>
      </c>
      <c r="M1918">
        <v>0</v>
      </c>
      <c r="P1918">
        <v>140</v>
      </c>
      <c r="Q1918" t="s">
        <v>4138</v>
      </c>
    </row>
    <row r="1919" spans="1:17" x14ac:dyDescent="0.3">
      <c r="A1919" t="s">
        <v>73</v>
      </c>
      <c r="B1919" t="str">
        <f>"300146"</f>
        <v>300146</v>
      </c>
      <c r="C1919" t="s">
        <v>4139</v>
      </c>
      <c r="D1919" t="s">
        <v>4140</v>
      </c>
      <c r="E1919">
        <v>527456245</v>
      </c>
      <c r="F1919">
        <v>442731274</v>
      </c>
      <c r="G1919">
        <v>343433548</v>
      </c>
      <c r="H1919">
        <v>298839305</v>
      </c>
      <c r="I1919">
        <v>277206286</v>
      </c>
      <c r="J1919">
        <v>179344341</v>
      </c>
      <c r="K1919">
        <v>153145027</v>
      </c>
      <c r="L1919">
        <v>145757411</v>
      </c>
      <c r="M1919">
        <v>110993481</v>
      </c>
      <c r="N1919">
        <v>82006530</v>
      </c>
      <c r="O1919">
        <v>42982216</v>
      </c>
      <c r="P1919">
        <v>2832</v>
      </c>
      <c r="Q1919" t="s">
        <v>4141</v>
      </c>
    </row>
    <row r="1920" spans="1:17" x14ac:dyDescent="0.3">
      <c r="A1920" t="s">
        <v>17</v>
      </c>
      <c r="B1920" t="str">
        <f>"688679"</f>
        <v>688679</v>
      </c>
      <c r="C1920" t="s">
        <v>4142</v>
      </c>
      <c r="D1920" t="s">
        <v>623</v>
      </c>
      <c r="E1920">
        <v>527146769</v>
      </c>
      <c r="F1920">
        <v>294970491</v>
      </c>
      <c r="P1920">
        <v>31</v>
      </c>
      <c r="Q1920" t="s">
        <v>4143</v>
      </c>
    </row>
    <row r="1921" spans="1:17" x14ac:dyDescent="0.3">
      <c r="A1921" t="s">
        <v>73</v>
      </c>
      <c r="B1921" t="str">
        <f>"300697"</f>
        <v>300697</v>
      </c>
      <c r="C1921" t="s">
        <v>4144</v>
      </c>
      <c r="D1921" t="s">
        <v>452</v>
      </c>
      <c r="E1921">
        <v>526488418</v>
      </c>
      <c r="F1921">
        <v>406110819</v>
      </c>
      <c r="G1921">
        <v>338060591</v>
      </c>
      <c r="H1921">
        <v>355144343</v>
      </c>
      <c r="I1921">
        <v>390779090</v>
      </c>
      <c r="J1921">
        <v>0</v>
      </c>
      <c r="P1921">
        <v>77</v>
      </c>
      <c r="Q1921" t="s">
        <v>4145</v>
      </c>
    </row>
    <row r="1922" spans="1:17" x14ac:dyDescent="0.3">
      <c r="A1922" t="s">
        <v>73</v>
      </c>
      <c r="B1922" t="str">
        <f>"002194"</f>
        <v>002194</v>
      </c>
      <c r="C1922" t="s">
        <v>4146</v>
      </c>
      <c r="D1922" t="s">
        <v>189</v>
      </c>
      <c r="E1922">
        <v>526144648</v>
      </c>
      <c r="F1922">
        <v>465773232</v>
      </c>
      <c r="G1922">
        <v>299271103</v>
      </c>
      <c r="H1922">
        <v>390782870</v>
      </c>
      <c r="I1922">
        <v>300603778</v>
      </c>
      <c r="J1922">
        <v>436246541</v>
      </c>
      <c r="K1922">
        <v>542789100</v>
      </c>
      <c r="L1922">
        <v>578188922</v>
      </c>
      <c r="M1922">
        <v>495551534</v>
      </c>
      <c r="N1922">
        <v>319857485</v>
      </c>
      <c r="O1922">
        <v>315018323</v>
      </c>
      <c r="P1922">
        <v>906</v>
      </c>
      <c r="Q1922" t="s">
        <v>4147</v>
      </c>
    </row>
    <row r="1923" spans="1:17" x14ac:dyDescent="0.3">
      <c r="A1923" t="s">
        <v>17</v>
      </c>
      <c r="B1923" t="str">
        <f>"688082"</f>
        <v>688082</v>
      </c>
      <c r="C1923" t="s">
        <v>4148</v>
      </c>
      <c r="D1923" t="s">
        <v>1291</v>
      </c>
      <c r="E1923">
        <v>525375869</v>
      </c>
      <c r="P1923">
        <v>35</v>
      </c>
      <c r="Q1923" t="s">
        <v>4149</v>
      </c>
    </row>
    <row r="1924" spans="1:17" x14ac:dyDescent="0.3">
      <c r="A1924" t="s">
        <v>17</v>
      </c>
      <c r="B1924" t="str">
        <f>"603011"</f>
        <v>603011</v>
      </c>
      <c r="C1924" t="s">
        <v>4150</v>
      </c>
      <c r="D1924" t="s">
        <v>1451</v>
      </c>
      <c r="E1924">
        <v>525074308</v>
      </c>
      <c r="F1924">
        <v>365845021</v>
      </c>
      <c r="G1924">
        <v>397429669</v>
      </c>
      <c r="H1924">
        <v>420957665</v>
      </c>
      <c r="I1924">
        <v>387302802</v>
      </c>
      <c r="J1924">
        <v>312738581</v>
      </c>
      <c r="K1924">
        <v>288853957</v>
      </c>
      <c r="L1924">
        <v>223750046</v>
      </c>
      <c r="M1924">
        <v>0</v>
      </c>
      <c r="P1924">
        <v>82</v>
      </c>
      <c r="Q1924" t="s">
        <v>4151</v>
      </c>
    </row>
    <row r="1925" spans="1:17" x14ac:dyDescent="0.3">
      <c r="A1925" t="s">
        <v>73</v>
      </c>
      <c r="B1925" t="str">
        <f>"002448"</f>
        <v>002448</v>
      </c>
      <c r="C1925" t="s">
        <v>4152</v>
      </c>
      <c r="D1925" t="s">
        <v>122</v>
      </c>
      <c r="E1925">
        <v>524999438</v>
      </c>
      <c r="F1925">
        <v>534325353</v>
      </c>
      <c r="G1925">
        <v>343447041</v>
      </c>
      <c r="H1925">
        <v>376313543</v>
      </c>
      <c r="I1925">
        <v>329590670</v>
      </c>
      <c r="J1925">
        <v>308359067</v>
      </c>
      <c r="K1925">
        <v>175667643</v>
      </c>
      <c r="L1925">
        <v>177857699</v>
      </c>
      <c r="M1925">
        <v>124570344</v>
      </c>
      <c r="N1925">
        <v>131767249</v>
      </c>
      <c r="O1925">
        <v>141890439</v>
      </c>
      <c r="P1925">
        <v>194</v>
      </c>
      <c r="Q1925" t="s">
        <v>4153</v>
      </c>
    </row>
    <row r="1926" spans="1:17" x14ac:dyDescent="0.3">
      <c r="A1926" t="s">
        <v>17</v>
      </c>
      <c r="B1926" t="str">
        <f>"600269"</f>
        <v>600269</v>
      </c>
      <c r="C1926" t="s">
        <v>4154</v>
      </c>
      <c r="D1926" t="s">
        <v>1592</v>
      </c>
      <c r="E1926">
        <v>524986765</v>
      </c>
      <c r="F1926">
        <v>558623255</v>
      </c>
      <c r="G1926">
        <v>522053713</v>
      </c>
      <c r="H1926">
        <v>512834621</v>
      </c>
      <c r="I1926">
        <v>410949944</v>
      </c>
      <c r="J1926">
        <v>409592289</v>
      </c>
      <c r="K1926">
        <v>210229088</v>
      </c>
      <c r="L1926">
        <v>440612400</v>
      </c>
      <c r="M1926">
        <v>468190440</v>
      </c>
      <c r="N1926">
        <v>241948078</v>
      </c>
      <c r="O1926">
        <v>245901014</v>
      </c>
      <c r="P1926">
        <v>405</v>
      </c>
      <c r="Q1926" t="s">
        <v>4155</v>
      </c>
    </row>
    <row r="1927" spans="1:17" x14ac:dyDescent="0.3">
      <c r="A1927" t="s">
        <v>73</v>
      </c>
      <c r="B1927" t="str">
        <f>"002288"</f>
        <v>002288</v>
      </c>
      <c r="C1927" t="s">
        <v>4156</v>
      </c>
      <c r="D1927" t="s">
        <v>418</v>
      </c>
      <c r="E1927">
        <v>524905843</v>
      </c>
      <c r="F1927">
        <v>494593225</v>
      </c>
      <c r="G1927">
        <v>311278160</v>
      </c>
      <c r="H1927">
        <v>476738220</v>
      </c>
      <c r="I1927">
        <v>518043722</v>
      </c>
      <c r="J1927">
        <v>473455757</v>
      </c>
      <c r="K1927">
        <v>534801307</v>
      </c>
      <c r="L1927">
        <v>499166771</v>
      </c>
      <c r="M1927">
        <v>487622562</v>
      </c>
      <c r="N1927">
        <v>295944126</v>
      </c>
      <c r="O1927">
        <v>219854084</v>
      </c>
      <c r="P1927">
        <v>176</v>
      </c>
      <c r="Q1927" t="s">
        <v>4157</v>
      </c>
    </row>
    <row r="1928" spans="1:17" x14ac:dyDescent="0.3">
      <c r="A1928" t="s">
        <v>73</v>
      </c>
      <c r="B1928" t="str">
        <f>"002176"</f>
        <v>002176</v>
      </c>
      <c r="C1928" t="s">
        <v>4158</v>
      </c>
      <c r="D1928" t="s">
        <v>689</v>
      </c>
      <c r="E1928">
        <v>524838875</v>
      </c>
      <c r="F1928">
        <v>592212304</v>
      </c>
      <c r="G1928">
        <v>579670677</v>
      </c>
      <c r="H1928">
        <v>877339856</v>
      </c>
      <c r="I1928">
        <v>1355735936</v>
      </c>
      <c r="J1928">
        <v>717190197</v>
      </c>
      <c r="K1928">
        <v>683904327</v>
      </c>
      <c r="L1928">
        <v>335495480</v>
      </c>
      <c r="M1928">
        <v>315739345</v>
      </c>
      <c r="N1928">
        <v>233040558</v>
      </c>
      <c r="O1928">
        <v>220834149</v>
      </c>
      <c r="P1928">
        <v>317</v>
      </c>
      <c r="Q1928" t="s">
        <v>4159</v>
      </c>
    </row>
    <row r="1929" spans="1:17" x14ac:dyDescent="0.3">
      <c r="A1929" t="s">
        <v>73</v>
      </c>
      <c r="B1929" t="str">
        <f>"002420"</f>
        <v>002420</v>
      </c>
      <c r="C1929" t="s">
        <v>4160</v>
      </c>
      <c r="D1929" t="s">
        <v>654</v>
      </c>
      <c r="E1929">
        <v>524540169</v>
      </c>
      <c r="F1929">
        <v>557735938</v>
      </c>
      <c r="G1929">
        <v>579069985</v>
      </c>
      <c r="H1929">
        <v>556932228</v>
      </c>
      <c r="I1929">
        <v>923692674</v>
      </c>
      <c r="J1929">
        <v>896299989</v>
      </c>
      <c r="K1929">
        <v>963608716</v>
      </c>
      <c r="L1929">
        <v>933045235</v>
      </c>
      <c r="M1929">
        <v>925093982</v>
      </c>
      <c r="N1929">
        <v>637359520</v>
      </c>
      <c r="O1929">
        <v>576925483</v>
      </c>
      <c r="P1929">
        <v>82</v>
      </c>
      <c r="Q1929" t="s">
        <v>4161</v>
      </c>
    </row>
    <row r="1930" spans="1:17" x14ac:dyDescent="0.3">
      <c r="A1930" t="s">
        <v>73</v>
      </c>
      <c r="B1930" t="str">
        <f>"002658"</f>
        <v>002658</v>
      </c>
      <c r="C1930" t="s">
        <v>4162</v>
      </c>
      <c r="D1930" t="s">
        <v>540</v>
      </c>
      <c r="E1930">
        <v>523440179</v>
      </c>
      <c r="F1930">
        <v>403635005</v>
      </c>
      <c r="G1930">
        <v>372490714</v>
      </c>
      <c r="H1930">
        <v>462189281</v>
      </c>
      <c r="I1930">
        <v>435655975</v>
      </c>
      <c r="J1930">
        <v>480300402</v>
      </c>
      <c r="K1930">
        <v>409024317</v>
      </c>
      <c r="L1930">
        <v>326821319</v>
      </c>
      <c r="M1930">
        <v>264585660</v>
      </c>
      <c r="N1930">
        <v>201895714</v>
      </c>
      <c r="O1930">
        <v>137476172</v>
      </c>
      <c r="P1930">
        <v>231</v>
      </c>
      <c r="Q1930" t="s">
        <v>4163</v>
      </c>
    </row>
    <row r="1931" spans="1:17" x14ac:dyDescent="0.3">
      <c r="A1931" t="s">
        <v>73</v>
      </c>
      <c r="B1931" t="str">
        <f>"000055"</f>
        <v>000055</v>
      </c>
      <c r="C1931" t="s">
        <v>4164</v>
      </c>
      <c r="D1931" t="s">
        <v>808</v>
      </c>
      <c r="E1931">
        <v>521602831</v>
      </c>
      <c r="F1931">
        <v>452811227</v>
      </c>
      <c r="G1931">
        <v>275062962</v>
      </c>
      <c r="H1931">
        <v>1956300646</v>
      </c>
      <c r="I1931">
        <v>1893447312</v>
      </c>
      <c r="J1931">
        <v>2032718651</v>
      </c>
      <c r="K1931">
        <v>1453667877</v>
      </c>
      <c r="L1931">
        <v>1128679107</v>
      </c>
      <c r="M1931">
        <v>905792590</v>
      </c>
      <c r="N1931">
        <v>796475262</v>
      </c>
      <c r="O1931">
        <v>663259437</v>
      </c>
      <c r="P1931">
        <v>318</v>
      </c>
      <c r="Q1931" t="s">
        <v>4165</v>
      </c>
    </row>
    <row r="1932" spans="1:17" x14ac:dyDescent="0.3">
      <c r="A1932" t="s">
        <v>73</v>
      </c>
      <c r="B1932" t="str">
        <f>"000818"</f>
        <v>000818</v>
      </c>
      <c r="C1932" t="s">
        <v>4166</v>
      </c>
      <c r="D1932" t="s">
        <v>641</v>
      </c>
      <c r="E1932">
        <v>521557556</v>
      </c>
      <c r="F1932">
        <v>545123067</v>
      </c>
      <c r="G1932">
        <v>454711459</v>
      </c>
      <c r="H1932">
        <v>456157226</v>
      </c>
      <c r="I1932">
        <v>284827404</v>
      </c>
      <c r="J1932">
        <v>57996309</v>
      </c>
      <c r="K1932">
        <v>48667328</v>
      </c>
      <c r="L1932">
        <v>41447455</v>
      </c>
      <c r="M1932">
        <v>35504180</v>
      </c>
      <c r="N1932">
        <v>58770677</v>
      </c>
      <c r="O1932">
        <v>33063603</v>
      </c>
      <c r="P1932">
        <v>258</v>
      </c>
      <c r="Q1932" t="s">
        <v>4167</v>
      </c>
    </row>
    <row r="1933" spans="1:17" x14ac:dyDescent="0.3">
      <c r="A1933" t="s">
        <v>73</v>
      </c>
      <c r="B1933" t="str">
        <f>"002014"</f>
        <v>002014</v>
      </c>
      <c r="C1933" t="s">
        <v>4168</v>
      </c>
      <c r="D1933" t="s">
        <v>1474</v>
      </c>
      <c r="E1933">
        <v>521156898</v>
      </c>
      <c r="F1933">
        <v>508355582</v>
      </c>
      <c r="G1933">
        <v>429419915</v>
      </c>
      <c r="H1933">
        <v>420011548</v>
      </c>
      <c r="I1933">
        <v>405410553</v>
      </c>
      <c r="J1933">
        <v>347842467</v>
      </c>
      <c r="K1933">
        <v>319141530</v>
      </c>
      <c r="L1933">
        <v>301056065</v>
      </c>
      <c r="M1933">
        <v>277025813</v>
      </c>
      <c r="N1933">
        <v>264036990</v>
      </c>
      <c r="O1933">
        <v>229842225</v>
      </c>
      <c r="P1933">
        <v>467</v>
      </c>
      <c r="Q1933" t="s">
        <v>4169</v>
      </c>
    </row>
    <row r="1934" spans="1:17" x14ac:dyDescent="0.3">
      <c r="A1934" t="s">
        <v>17</v>
      </c>
      <c r="B1934" t="str">
        <f>"600681"</f>
        <v>600681</v>
      </c>
      <c r="C1934" t="s">
        <v>4170</v>
      </c>
      <c r="D1934" t="s">
        <v>469</v>
      </c>
      <c r="E1934">
        <v>521065339</v>
      </c>
      <c r="F1934">
        <v>716438723</v>
      </c>
      <c r="G1934">
        <v>953320596</v>
      </c>
      <c r="H1934">
        <v>1518677044</v>
      </c>
      <c r="I1934">
        <v>1171920976</v>
      </c>
      <c r="J1934">
        <v>298478042</v>
      </c>
      <c r="K1934">
        <v>135036922</v>
      </c>
      <c r="L1934">
        <v>36540562</v>
      </c>
      <c r="M1934">
        <v>7663234</v>
      </c>
      <c r="N1934">
        <v>0</v>
      </c>
      <c r="O1934">
        <v>1900723</v>
      </c>
      <c r="P1934">
        <v>472</v>
      </c>
      <c r="Q1934" t="s">
        <v>4171</v>
      </c>
    </row>
    <row r="1935" spans="1:17" x14ac:dyDescent="0.3">
      <c r="A1935" t="s">
        <v>17</v>
      </c>
      <c r="B1935" t="str">
        <f>"603595"</f>
        <v>603595</v>
      </c>
      <c r="C1935" t="s">
        <v>4172</v>
      </c>
      <c r="D1935" t="s">
        <v>42</v>
      </c>
      <c r="E1935">
        <v>520035176</v>
      </c>
      <c r="F1935">
        <v>387339141</v>
      </c>
      <c r="G1935">
        <v>242505578</v>
      </c>
      <c r="H1935">
        <v>176372567</v>
      </c>
      <c r="I1935">
        <v>367290735</v>
      </c>
      <c r="J1935">
        <v>142575369</v>
      </c>
      <c r="P1935">
        <v>184</v>
      </c>
      <c r="Q1935" t="s">
        <v>4173</v>
      </c>
    </row>
    <row r="1936" spans="1:17" x14ac:dyDescent="0.3">
      <c r="A1936" t="s">
        <v>17</v>
      </c>
      <c r="B1936" t="str">
        <f>"688505"</f>
        <v>688505</v>
      </c>
      <c r="C1936" t="s">
        <v>4174</v>
      </c>
      <c r="D1936" t="s">
        <v>348</v>
      </c>
      <c r="E1936">
        <v>519797116</v>
      </c>
      <c r="F1936">
        <v>357742055</v>
      </c>
      <c r="G1936">
        <v>269615699</v>
      </c>
      <c r="P1936">
        <v>69</v>
      </c>
      <c r="Q1936" t="s">
        <v>4175</v>
      </c>
    </row>
    <row r="1937" spans="1:17" x14ac:dyDescent="0.3">
      <c r="A1937" t="s">
        <v>73</v>
      </c>
      <c r="B1937" t="str">
        <f>"002849"</f>
        <v>002849</v>
      </c>
      <c r="C1937" t="s">
        <v>4176</v>
      </c>
      <c r="D1937" t="s">
        <v>2280</v>
      </c>
      <c r="E1937">
        <v>519642108</v>
      </c>
      <c r="F1937">
        <v>801082018</v>
      </c>
      <c r="G1937">
        <v>706235608</v>
      </c>
      <c r="H1937">
        <v>503852920</v>
      </c>
      <c r="I1937">
        <v>324960143</v>
      </c>
      <c r="J1937">
        <v>181150593</v>
      </c>
      <c r="P1937">
        <v>177</v>
      </c>
      <c r="Q1937" t="s">
        <v>4177</v>
      </c>
    </row>
    <row r="1938" spans="1:17" x14ac:dyDescent="0.3">
      <c r="A1938" t="s">
        <v>73</v>
      </c>
      <c r="B1938" t="str">
        <f>"002599"</f>
        <v>002599</v>
      </c>
      <c r="C1938" t="s">
        <v>4178</v>
      </c>
      <c r="D1938" t="s">
        <v>4179</v>
      </c>
      <c r="E1938">
        <v>519636416</v>
      </c>
      <c r="F1938">
        <v>605819402</v>
      </c>
      <c r="G1938">
        <v>519864341</v>
      </c>
      <c r="H1938">
        <v>463427649</v>
      </c>
      <c r="I1938">
        <v>374887474</v>
      </c>
      <c r="J1938">
        <v>299186980</v>
      </c>
      <c r="K1938">
        <v>217018560</v>
      </c>
      <c r="L1938">
        <v>192003212</v>
      </c>
      <c r="M1938">
        <v>156520072</v>
      </c>
      <c r="N1938">
        <v>163501282</v>
      </c>
      <c r="O1938">
        <v>122058626</v>
      </c>
      <c r="P1938">
        <v>87</v>
      </c>
      <c r="Q1938" t="s">
        <v>4180</v>
      </c>
    </row>
    <row r="1939" spans="1:17" x14ac:dyDescent="0.3">
      <c r="A1939" t="s">
        <v>73</v>
      </c>
      <c r="B1939" t="str">
        <f>"000806"</f>
        <v>000806</v>
      </c>
      <c r="C1939" t="s">
        <v>4181</v>
      </c>
      <c r="D1939" t="s">
        <v>224</v>
      </c>
      <c r="E1939">
        <v>519495727</v>
      </c>
      <c r="F1939">
        <v>471292440</v>
      </c>
      <c r="G1939">
        <v>444543735</v>
      </c>
      <c r="H1939">
        <v>558943966</v>
      </c>
      <c r="I1939">
        <v>672545952</v>
      </c>
      <c r="J1939">
        <v>569613623</v>
      </c>
      <c r="K1939">
        <v>412242686</v>
      </c>
      <c r="L1939">
        <v>486499089</v>
      </c>
      <c r="M1939">
        <v>432712874</v>
      </c>
      <c r="N1939">
        <v>451705778</v>
      </c>
      <c r="O1939">
        <v>511668378</v>
      </c>
      <c r="P1939">
        <v>123</v>
      </c>
      <c r="Q1939" t="s">
        <v>4182</v>
      </c>
    </row>
    <row r="1940" spans="1:17" x14ac:dyDescent="0.3">
      <c r="A1940" t="s">
        <v>17</v>
      </c>
      <c r="B1940" t="str">
        <f>"603559"</f>
        <v>603559</v>
      </c>
      <c r="C1940" t="s">
        <v>4183</v>
      </c>
      <c r="D1940" t="s">
        <v>853</v>
      </c>
      <c r="E1940">
        <v>519151823</v>
      </c>
      <c r="F1940">
        <v>572861840</v>
      </c>
      <c r="G1940">
        <v>628273546</v>
      </c>
      <c r="H1940">
        <v>643755195</v>
      </c>
      <c r="I1940">
        <v>437060283</v>
      </c>
      <c r="J1940">
        <v>297225665</v>
      </c>
      <c r="P1940">
        <v>159</v>
      </c>
      <c r="Q1940" t="s">
        <v>4184</v>
      </c>
    </row>
    <row r="1941" spans="1:17" x14ac:dyDescent="0.3">
      <c r="A1941" t="s">
        <v>73</v>
      </c>
      <c r="B1941" t="str">
        <f>"000911"</f>
        <v>000911</v>
      </c>
      <c r="C1941" t="s">
        <v>4185</v>
      </c>
      <c r="D1941" t="s">
        <v>2469</v>
      </c>
      <c r="E1941">
        <v>518744500</v>
      </c>
      <c r="F1941">
        <v>403252492</v>
      </c>
      <c r="G1941">
        <v>376327469</v>
      </c>
      <c r="H1941">
        <v>482975773</v>
      </c>
      <c r="I1941">
        <v>545215103</v>
      </c>
      <c r="J1941">
        <v>749830851</v>
      </c>
      <c r="K1941">
        <v>302172874</v>
      </c>
      <c r="L1941">
        <v>601197503</v>
      </c>
      <c r="M1941">
        <v>398597664</v>
      </c>
      <c r="N1941">
        <v>251395922</v>
      </c>
      <c r="O1941">
        <v>328258768</v>
      </c>
      <c r="P1941">
        <v>334</v>
      </c>
      <c r="Q1941" t="s">
        <v>4186</v>
      </c>
    </row>
    <row r="1942" spans="1:17" x14ac:dyDescent="0.3">
      <c r="A1942" t="s">
        <v>73</v>
      </c>
      <c r="B1942" t="str">
        <f>"002782"</f>
        <v>002782</v>
      </c>
      <c r="C1942" t="s">
        <v>4187</v>
      </c>
      <c r="D1942" t="s">
        <v>42</v>
      </c>
      <c r="E1942">
        <v>518503663</v>
      </c>
      <c r="F1942">
        <v>340207078</v>
      </c>
      <c r="G1942">
        <v>240967268</v>
      </c>
      <c r="H1942">
        <v>226685729</v>
      </c>
      <c r="I1942">
        <v>244409500</v>
      </c>
      <c r="J1942">
        <v>200002806</v>
      </c>
      <c r="K1942">
        <v>193496198</v>
      </c>
      <c r="L1942">
        <v>0</v>
      </c>
      <c r="M1942">
        <v>0</v>
      </c>
      <c r="P1942">
        <v>167</v>
      </c>
      <c r="Q1942" t="s">
        <v>4188</v>
      </c>
    </row>
    <row r="1943" spans="1:17" x14ac:dyDescent="0.3">
      <c r="A1943" t="s">
        <v>17</v>
      </c>
      <c r="B1943" t="str">
        <f>"603363"</f>
        <v>603363</v>
      </c>
      <c r="C1943" t="s">
        <v>4189</v>
      </c>
      <c r="D1943" t="s">
        <v>2130</v>
      </c>
      <c r="E1943">
        <v>518416212</v>
      </c>
      <c r="F1943">
        <v>528109511</v>
      </c>
      <c r="G1943">
        <v>479809462</v>
      </c>
      <c r="H1943">
        <v>578180938</v>
      </c>
      <c r="I1943">
        <v>553853080</v>
      </c>
      <c r="P1943">
        <v>310</v>
      </c>
      <c r="Q1943" t="s">
        <v>4190</v>
      </c>
    </row>
    <row r="1944" spans="1:17" x14ac:dyDescent="0.3">
      <c r="A1944" t="s">
        <v>73</v>
      </c>
      <c r="B1944" t="str">
        <f>"002901"</f>
        <v>002901</v>
      </c>
      <c r="C1944" t="s">
        <v>4191</v>
      </c>
      <c r="D1944" t="s">
        <v>1523</v>
      </c>
      <c r="E1944">
        <v>517458717</v>
      </c>
      <c r="F1944">
        <v>293189241</v>
      </c>
      <c r="G1944">
        <v>245764535</v>
      </c>
      <c r="H1944">
        <v>122920964</v>
      </c>
      <c r="I1944">
        <v>80406809</v>
      </c>
      <c r="P1944">
        <v>1702</v>
      </c>
      <c r="Q1944" t="s">
        <v>4192</v>
      </c>
    </row>
    <row r="1945" spans="1:17" x14ac:dyDescent="0.3">
      <c r="A1945" t="s">
        <v>73</v>
      </c>
      <c r="B1945" t="str">
        <f>"300101"</f>
        <v>300101</v>
      </c>
      <c r="C1945" t="s">
        <v>4193</v>
      </c>
      <c r="D1945" t="s">
        <v>502</v>
      </c>
      <c r="E1945">
        <v>516565245</v>
      </c>
      <c r="F1945">
        <v>504679817</v>
      </c>
      <c r="G1945">
        <v>385977128</v>
      </c>
      <c r="H1945">
        <v>329041008</v>
      </c>
      <c r="I1945">
        <v>290317754</v>
      </c>
      <c r="J1945">
        <v>326804486</v>
      </c>
      <c r="K1945">
        <v>150750699</v>
      </c>
      <c r="L1945">
        <v>128880592</v>
      </c>
      <c r="M1945">
        <v>162207278</v>
      </c>
      <c r="N1945">
        <v>130170203</v>
      </c>
      <c r="O1945">
        <v>129788776</v>
      </c>
      <c r="P1945">
        <v>3120</v>
      </c>
      <c r="Q1945" t="s">
        <v>4194</v>
      </c>
    </row>
    <row r="1946" spans="1:17" x14ac:dyDescent="0.3">
      <c r="A1946" t="s">
        <v>73</v>
      </c>
      <c r="B1946" t="str">
        <f>"002939"</f>
        <v>002939</v>
      </c>
      <c r="C1946" t="s">
        <v>4195</v>
      </c>
      <c r="D1946" t="s">
        <v>53</v>
      </c>
      <c r="E1946">
        <v>516496238</v>
      </c>
      <c r="F1946">
        <v>894575388</v>
      </c>
      <c r="G1946">
        <v>622817221</v>
      </c>
      <c r="H1946">
        <v>364588773</v>
      </c>
      <c r="I1946">
        <v>0</v>
      </c>
      <c r="M1946">
        <v>467964700</v>
      </c>
      <c r="N1946">
        <v>0</v>
      </c>
      <c r="P1946">
        <v>832</v>
      </c>
      <c r="Q1946" t="s">
        <v>4196</v>
      </c>
    </row>
    <row r="1947" spans="1:17" x14ac:dyDescent="0.3">
      <c r="A1947" t="s">
        <v>17</v>
      </c>
      <c r="B1947" t="str">
        <f>"688096"</f>
        <v>688096</v>
      </c>
      <c r="C1947" t="s">
        <v>4197</v>
      </c>
      <c r="D1947" t="s">
        <v>308</v>
      </c>
      <c r="E1947">
        <v>515868052</v>
      </c>
      <c r="F1947">
        <v>380233950</v>
      </c>
      <c r="G1947">
        <v>313989974</v>
      </c>
      <c r="H1947">
        <v>249988044</v>
      </c>
      <c r="I1947">
        <v>154395289</v>
      </c>
      <c r="P1947">
        <v>73</v>
      </c>
      <c r="Q1947" t="s">
        <v>4198</v>
      </c>
    </row>
    <row r="1948" spans="1:17" x14ac:dyDescent="0.3">
      <c r="A1948" t="s">
        <v>73</v>
      </c>
      <c r="B1948" t="str">
        <f>"002681"</f>
        <v>002681</v>
      </c>
      <c r="C1948" t="s">
        <v>4199</v>
      </c>
      <c r="D1948" t="s">
        <v>42</v>
      </c>
      <c r="E1948">
        <v>515292403</v>
      </c>
      <c r="F1948">
        <v>668813223</v>
      </c>
      <c r="G1948">
        <v>637880714</v>
      </c>
      <c r="H1948">
        <v>800239447</v>
      </c>
      <c r="I1948">
        <v>763236635</v>
      </c>
      <c r="J1948">
        <v>408977511</v>
      </c>
      <c r="K1948">
        <v>325803328</v>
      </c>
      <c r="L1948">
        <v>293841720</v>
      </c>
      <c r="M1948">
        <v>103762063</v>
      </c>
      <c r="N1948">
        <v>126505164</v>
      </c>
      <c r="O1948">
        <v>150315364</v>
      </c>
      <c r="P1948">
        <v>216</v>
      </c>
      <c r="Q1948" t="s">
        <v>4200</v>
      </c>
    </row>
    <row r="1949" spans="1:17" x14ac:dyDescent="0.3">
      <c r="A1949" t="s">
        <v>17</v>
      </c>
      <c r="B1949" t="str">
        <f>"600063"</f>
        <v>600063</v>
      </c>
      <c r="C1949" t="s">
        <v>4201</v>
      </c>
      <c r="D1949" t="s">
        <v>4202</v>
      </c>
      <c r="E1949">
        <v>513027610</v>
      </c>
      <c r="F1949">
        <v>388110971</v>
      </c>
      <c r="G1949">
        <v>292685421</v>
      </c>
      <c r="H1949">
        <v>487544009</v>
      </c>
      <c r="I1949">
        <v>513168974</v>
      </c>
      <c r="J1949">
        <v>376939952</v>
      </c>
      <c r="K1949">
        <v>286136723</v>
      </c>
      <c r="L1949">
        <v>204504466</v>
      </c>
      <c r="M1949">
        <v>181918248</v>
      </c>
      <c r="N1949">
        <v>219038920</v>
      </c>
      <c r="O1949">
        <v>143025229</v>
      </c>
      <c r="P1949">
        <v>224</v>
      </c>
      <c r="Q1949" t="s">
        <v>4203</v>
      </c>
    </row>
    <row r="1950" spans="1:17" x14ac:dyDescent="0.3">
      <c r="A1950" t="s">
        <v>73</v>
      </c>
      <c r="B1950" t="str">
        <f>"300002"</f>
        <v>300002</v>
      </c>
      <c r="C1950" t="s">
        <v>4204</v>
      </c>
      <c r="D1950" t="s">
        <v>899</v>
      </c>
      <c r="E1950">
        <v>513019310</v>
      </c>
      <c r="F1950">
        <v>646263991</v>
      </c>
      <c r="G1950">
        <v>729269433</v>
      </c>
      <c r="H1950">
        <v>1092052804</v>
      </c>
      <c r="I1950">
        <v>1096401176</v>
      </c>
      <c r="J1950">
        <v>1066695004</v>
      </c>
      <c r="K1950">
        <v>894683036</v>
      </c>
      <c r="L1950">
        <v>928596790</v>
      </c>
      <c r="M1950">
        <v>852023425</v>
      </c>
      <c r="N1950">
        <v>743893776</v>
      </c>
      <c r="O1950">
        <v>653749668</v>
      </c>
      <c r="P1950">
        <v>282</v>
      </c>
      <c r="Q1950" t="s">
        <v>4205</v>
      </c>
    </row>
    <row r="1951" spans="1:17" x14ac:dyDescent="0.3">
      <c r="A1951" t="s">
        <v>17</v>
      </c>
      <c r="B1951" t="str">
        <f>"603628"</f>
        <v>603628</v>
      </c>
      <c r="C1951" t="s">
        <v>4206</v>
      </c>
      <c r="D1951" t="s">
        <v>919</v>
      </c>
      <c r="E1951">
        <v>512795369</v>
      </c>
      <c r="F1951">
        <v>424591393</v>
      </c>
      <c r="G1951">
        <v>363388204</v>
      </c>
      <c r="H1951">
        <v>515146408</v>
      </c>
      <c r="I1951">
        <v>525247193</v>
      </c>
      <c r="J1951">
        <v>317175833</v>
      </c>
      <c r="P1951">
        <v>80</v>
      </c>
      <c r="Q1951" t="s">
        <v>4207</v>
      </c>
    </row>
    <row r="1952" spans="1:17" x14ac:dyDescent="0.3">
      <c r="A1952" t="s">
        <v>17</v>
      </c>
      <c r="B1952" t="str">
        <f>"688086"</f>
        <v>688086</v>
      </c>
      <c r="C1952" t="s">
        <v>4208</v>
      </c>
      <c r="D1952" t="s">
        <v>158</v>
      </c>
      <c r="E1952">
        <v>512460867</v>
      </c>
      <c r="F1952">
        <v>612601264</v>
      </c>
      <c r="G1952">
        <v>690316704</v>
      </c>
      <c r="H1952">
        <v>0</v>
      </c>
      <c r="I1952">
        <v>209139313</v>
      </c>
      <c r="P1952">
        <v>84</v>
      </c>
      <c r="Q1952" t="s">
        <v>4209</v>
      </c>
    </row>
    <row r="1953" spans="1:17" x14ac:dyDescent="0.3">
      <c r="A1953" t="s">
        <v>17</v>
      </c>
      <c r="B1953" t="str">
        <f>"601000"</f>
        <v>601000</v>
      </c>
      <c r="C1953" t="s">
        <v>4210</v>
      </c>
      <c r="D1953" t="s">
        <v>706</v>
      </c>
      <c r="E1953">
        <v>512222310</v>
      </c>
      <c r="F1953">
        <v>430967830</v>
      </c>
      <c r="G1953">
        <v>1057612400</v>
      </c>
      <c r="H1953">
        <v>1002854868</v>
      </c>
      <c r="I1953">
        <v>921635140</v>
      </c>
      <c r="J1953">
        <v>810483250</v>
      </c>
      <c r="K1953">
        <v>706037119</v>
      </c>
      <c r="L1953">
        <v>378088124</v>
      </c>
      <c r="M1953">
        <v>234404179</v>
      </c>
      <c r="N1953">
        <v>177713506</v>
      </c>
      <c r="O1953">
        <v>115811006</v>
      </c>
      <c r="P1953">
        <v>892</v>
      </c>
      <c r="Q1953" t="s">
        <v>4211</v>
      </c>
    </row>
    <row r="1954" spans="1:17" x14ac:dyDescent="0.3">
      <c r="A1954" t="s">
        <v>17</v>
      </c>
      <c r="B1954" t="str">
        <f>"603020"</f>
        <v>603020</v>
      </c>
      <c r="C1954" t="s">
        <v>4212</v>
      </c>
      <c r="D1954" t="s">
        <v>1430</v>
      </c>
      <c r="E1954">
        <v>511823239</v>
      </c>
      <c r="F1954">
        <v>483839601</v>
      </c>
      <c r="G1954">
        <v>424150774</v>
      </c>
      <c r="H1954">
        <v>439683228</v>
      </c>
      <c r="I1954">
        <v>362681517</v>
      </c>
      <c r="J1954">
        <v>290255337</v>
      </c>
      <c r="K1954">
        <v>259786656</v>
      </c>
      <c r="L1954">
        <v>258787908</v>
      </c>
      <c r="M1954">
        <v>0</v>
      </c>
      <c r="P1954">
        <v>195</v>
      </c>
      <c r="Q1954" t="s">
        <v>4213</v>
      </c>
    </row>
    <row r="1955" spans="1:17" x14ac:dyDescent="0.3">
      <c r="A1955" t="s">
        <v>17</v>
      </c>
      <c r="B1955" t="str">
        <f>"688598"</f>
        <v>688598</v>
      </c>
      <c r="C1955" t="s">
        <v>4214</v>
      </c>
      <c r="D1955" t="s">
        <v>919</v>
      </c>
      <c r="E1955">
        <v>511514764</v>
      </c>
      <c r="F1955">
        <v>142591251</v>
      </c>
      <c r="G1955">
        <v>71703755</v>
      </c>
      <c r="P1955">
        <v>262</v>
      </c>
      <c r="Q1955" t="s">
        <v>4215</v>
      </c>
    </row>
    <row r="1956" spans="1:17" x14ac:dyDescent="0.3">
      <c r="A1956" t="s">
        <v>73</v>
      </c>
      <c r="B1956" t="str">
        <f>"200468"</f>
        <v>200468</v>
      </c>
      <c r="C1956" t="s">
        <v>4216</v>
      </c>
      <c r="E1956">
        <v>510594050.74400002</v>
      </c>
      <c r="F1956">
        <v>571048016.19099998</v>
      </c>
      <c r="G1956">
        <v>666476613.53429997</v>
      </c>
      <c r="H1956">
        <v>1177209013.2156</v>
      </c>
      <c r="I1956">
        <v>935444430.66100001</v>
      </c>
      <c r="J1956">
        <v>1048252608.2194</v>
      </c>
      <c r="K1956">
        <v>1074049433.6008</v>
      </c>
      <c r="L1956">
        <v>1124181888.75</v>
      </c>
      <c r="M1956">
        <v>1100990533.4424</v>
      </c>
      <c r="N1956">
        <v>1006530611.8308001</v>
      </c>
      <c r="O1956">
        <v>1061760286.7819999</v>
      </c>
      <c r="P1956">
        <v>4</v>
      </c>
      <c r="Q1956" t="s">
        <v>4217</v>
      </c>
    </row>
    <row r="1957" spans="1:17" x14ac:dyDescent="0.3">
      <c r="A1957" t="s">
        <v>73</v>
      </c>
      <c r="B1957" t="str">
        <f>"002968"</f>
        <v>002968</v>
      </c>
      <c r="C1957" t="s">
        <v>4218</v>
      </c>
      <c r="D1957" t="s">
        <v>1209</v>
      </c>
      <c r="E1957">
        <v>510447550</v>
      </c>
      <c r="F1957">
        <v>312540939</v>
      </c>
      <c r="G1957">
        <v>214039401</v>
      </c>
      <c r="H1957">
        <v>0</v>
      </c>
      <c r="P1957">
        <v>234</v>
      </c>
      <c r="Q1957" t="s">
        <v>4219</v>
      </c>
    </row>
    <row r="1958" spans="1:17" x14ac:dyDescent="0.3">
      <c r="A1958" t="s">
        <v>17</v>
      </c>
      <c r="B1958" t="str">
        <f>"603866"</f>
        <v>603866</v>
      </c>
      <c r="C1958" t="s">
        <v>4220</v>
      </c>
      <c r="D1958" t="s">
        <v>3675</v>
      </c>
      <c r="E1958">
        <v>510181340</v>
      </c>
      <c r="F1958">
        <v>452332794</v>
      </c>
      <c r="G1958">
        <v>538345497</v>
      </c>
      <c r="H1958">
        <v>425810872</v>
      </c>
      <c r="I1958">
        <v>321443536</v>
      </c>
      <c r="J1958">
        <v>271986048</v>
      </c>
      <c r="K1958">
        <v>224512724</v>
      </c>
      <c r="L1958">
        <v>0</v>
      </c>
      <c r="M1958">
        <v>0</v>
      </c>
      <c r="P1958">
        <v>7676</v>
      </c>
      <c r="Q1958" t="s">
        <v>4221</v>
      </c>
    </row>
    <row r="1959" spans="1:17" x14ac:dyDescent="0.3">
      <c r="A1959" t="s">
        <v>17</v>
      </c>
      <c r="B1959" t="str">
        <f>"688105"</f>
        <v>688105</v>
      </c>
      <c r="C1959" t="s">
        <v>4222</v>
      </c>
      <c r="D1959" t="s">
        <v>773</v>
      </c>
      <c r="E1959">
        <v>508937422</v>
      </c>
      <c r="P1959">
        <v>51</v>
      </c>
      <c r="Q1959" t="s">
        <v>4223</v>
      </c>
    </row>
    <row r="1960" spans="1:17" x14ac:dyDescent="0.3">
      <c r="A1960" t="s">
        <v>17</v>
      </c>
      <c r="B1960" t="str">
        <f>"600184"</f>
        <v>600184</v>
      </c>
      <c r="C1960" t="s">
        <v>4224</v>
      </c>
      <c r="D1960" t="s">
        <v>1743</v>
      </c>
      <c r="E1960">
        <v>508366432</v>
      </c>
      <c r="F1960">
        <v>408538848</v>
      </c>
      <c r="G1960">
        <v>481292535</v>
      </c>
      <c r="H1960">
        <v>639058319</v>
      </c>
      <c r="I1960">
        <v>541496816</v>
      </c>
      <c r="J1960">
        <v>630556460</v>
      </c>
      <c r="K1960">
        <v>576099337</v>
      </c>
      <c r="L1960">
        <v>538406864</v>
      </c>
      <c r="M1960">
        <v>472674466</v>
      </c>
      <c r="N1960">
        <v>540895241</v>
      </c>
      <c r="O1960">
        <v>601484700</v>
      </c>
      <c r="P1960">
        <v>143</v>
      </c>
      <c r="Q1960" t="s">
        <v>4225</v>
      </c>
    </row>
    <row r="1961" spans="1:17" x14ac:dyDescent="0.3">
      <c r="A1961" t="s">
        <v>17</v>
      </c>
      <c r="B1961" t="str">
        <f>"603010"</f>
        <v>603010</v>
      </c>
      <c r="C1961" t="s">
        <v>4226</v>
      </c>
      <c r="D1961" t="s">
        <v>3079</v>
      </c>
      <c r="E1961">
        <v>508364786</v>
      </c>
      <c r="F1961">
        <v>500970476</v>
      </c>
      <c r="G1961">
        <v>240292808</v>
      </c>
      <c r="H1961">
        <v>243702939</v>
      </c>
      <c r="I1961">
        <v>163930155</v>
      </c>
      <c r="J1961">
        <v>200465279</v>
      </c>
      <c r="K1961">
        <v>144703326</v>
      </c>
      <c r="L1961">
        <v>132415609</v>
      </c>
      <c r="M1961">
        <v>0</v>
      </c>
      <c r="P1961">
        <v>279</v>
      </c>
      <c r="Q1961" t="s">
        <v>4227</v>
      </c>
    </row>
    <row r="1962" spans="1:17" x14ac:dyDescent="0.3">
      <c r="A1962" t="s">
        <v>73</v>
      </c>
      <c r="B1962" t="str">
        <f>"002261"</f>
        <v>002261</v>
      </c>
      <c r="C1962" t="s">
        <v>4228</v>
      </c>
      <c r="D1962" t="s">
        <v>4229</v>
      </c>
      <c r="E1962">
        <v>507097483</v>
      </c>
      <c r="F1962">
        <v>492889202</v>
      </c>
      <c r="G1962">
        <v>520453115</v>
      </c>
      <c r="H1962">
        <v>478758844</v>
      </c>
      <c r="I1962">
        <v>483015001</v>
      </c>
      <c r="J1962">
        <v>463356360</v>
      </c>
      <c r="K1962">
        <v>401520391</v>
      </c>
      <c r="L1962">
        <v>226789223</v>
      </c>
      <c r="M1962">
        <v>177122466</v>
      </c>
      <c r="N1962">
        <v>156669612</v>
      </c>
      <c r="O1962">
        <v>122173069</v>
      </c>
      <c r="P1962">
        <v>299</v>
      </c>
      <c r="Q1962" t="s">
        <v>4230</v>
      </c>
    </row>
    <row r="1963" spans="1:17" x14ac:dyDescent="0.3">
      <c r="A1963" t="s">
        <v>17</v>
      </c>
      <c r="B1963" t="str">
        <f>"688311"</f>
        <v>688311</v>
      </c>
      <c r="C1963" t="s">
        <v>4231</v>
      </c>
      <c r="D1963" t="s">
        <v>502</v>
      </c>
      <c r="E1963">
        <v>506613317</v>
      </c>
      <c r="F1963">
        <v>427367181</v>
      </c>
      <c r="G1963">
        <v>204278281</v>
      </c>
      <c r="P1963">
        <v>74</v>
      </c>
      <c r="Q1963" t="s">
        <v>4232</v>
      </c>
    </row>
    <row r="1964" spans="1:17" x14ac:dyDescent="0.3">
      <c r="A1964" t="s">
        <v>73</v>
      </c>
      <c r="B1964" t="str">
        <f>"002927"</f>
        <v>002927</v>
      </c>
      <c r="C1964" t="s">
        <v>4233</v>
      </c>
      <c r="D1964" t="s">
        <v>230</v>
      </c>
      <c r="E1964">
        <v>506426721</v>
      </c>
      <c r="F1964">
        <v>386872028</v>
      </c>
      <c r="G1964">
        <v>343364977</v>
      </c>
      <c r="H1964">
        <v>196125031</v>
      </c>
      <c r="I1964">
        <v>162694947</v>
      </c>
      <c r="P1964">
        <v>117</v>
      </c>
      <c r="Q1964" t="s">
        <v>4234</v>
      </c>
    </row>
    <row r="1965" spans="1:17" x14ac:dyDescent="0.3">
      <c r="A1965" t="s">
        <v>17</v>
      </c>
      <c r="B1965" t="str">
        <f>"603717"</f>
        <v>603717</v>
      </c>
      <c r="C1965" t="s">
        <v>4235</v>
      </c>
      <c r="D1965" t="s">
        <v>445</v>
      </c>
      <c r="E1965">
        <v>506337274</v>
      </c>
      <c r="F1965">
        <v>635915476</v>
      </c>
      <c r="G1965">
        <v>702855319</v>
      </c>
      <c r="H1965">
        <v>616435638</v>
      </c>
      <c r="I1965">
        <v>426796576</v>
      </c>
      <c r="J1965">
        <v>295940432</v>
      </c>
      <c r="P1965">
        <v>55</v>
      </c>
      <c r="Q1965" t="s">
        <v>4236</v>
      </c>
    </row>
    <row r="1966" spans="1:17" x14ac:dyDescent="0.3">
      <c r="A1966" t="s">
        <v>73</v>
      </c>
      <c r="B1966" t="str">
        <f>"001228"</f>
        <v>001228</v>
      </c>
      <c r="C1966" t="s">
        <v>4237</v>
      </c>
      <c r="E1966">
        <v>505955793</v>
      </c>
      <c r="P1966">
        <v>2</v>
      </c>
      <c r="Q1966" t="s">
        <v>4238</v>
      </c>
    </row>
    <row r="1967" spans="1:17" x14ac:dyDescent="0.3">
      <c r="A1967" t="s">
        <v>17</v>
      </c>
      <c r="B1967" t="str">
        <f>"603225"</f>
        <v>603225</v>
      </c>
      <c r="C1967" t="s">
        <v>4239</v>
      </c>
      <c r="D1967" t="s">
        <v>2854</v>
      </c>
      <c r="E1967">
        <v>505885690</v>
      </c>
      <c r="F1967">
        <v>456170298</v>
      </c>
      <c r="G1967">
        <v>484929975</v>
      </c>
      <c r="H1967">
        <v>523706415</v>
      </c>
      <c r="I1967">
        <v>346075402</v>
      </c>
      <c r="J1967">
        <v>256549371</v>
      </c>
      <c r="K1967">
        <v>0</v>
      </c>
      <c r="P1967">
        <v>388</v>
      </c>
      <c r="Q1967" t="s">
        <v>4240</v>
      </c>
    </row>
    <row r="1968" spans="1:17" x14ac:dyDescent="0.3">
      <c r="A1968" t="s">
        <v>73</v>
      </c>
      <c r="B1968" t="str">
        <f>"300593"</f>
        <v>300593</v>
      </c>
      <c r="C1968" t="s">
        <v>4241</v>
      </c>
      <c r="D1968" t="s">
        <v>747</v>
      </c>
      <c r="E1968">
        <v>505129973</v>
      </c>
      <c r="F1968">
        <v>410798433</v>
      </c>
      <c r="G1968">
        <v>242343858</v>
      </c>
      <c r="H1968">
        <v>247605790</v>
      </c>
      <c r="I1968">
        <v>128168926</v>
      </c>
      <c r="J1968">
        <v>128934416</v>
      </c>
      <c r="K1968">
        <v>0</v>
      </c>
      <c r="P1968">
        <v>254</v>
      </c>
      <c r="Q1968" t="s">
        <v>4242</v>
      </c>
    </row>
    <row r="1969" spans="1:17" x14ac:dyDescent="0.3">
      <c r="A1969" t="s">
        <v>73</v>
      </c>
      <c r="B1969" t="str">
        <f>"002125"</f>
        <v>002125</v>
      </c>
      <c r="C1969" t="s">
        <v>4243</v>
      </c>
      <c r="D1969" t="s">
        <v>2246</v>
      </c>
      <c r="E1969">
        <v>505057366</v>
      </c>
      <c r="F1969">
        <v>340792336</v>
      </c>
      <c r="G1969">
        <v>270983017</v>
      </c>
      <c r="H1969">
        <v>312107802</v>
      </c>
      <c r="I1969">
        <v>206104479</v>
      </c>
      <c r="J1969">
        <v>202932820</v>
      </c>
      <c r="K1969">
        <v>159887795</v>
      </c>
      <c r="L1969">
        <v>165773314</v>
      </c>
      <c r="M1969">
        <v>196881393</v>
      </c>
      <c r="N1969">
        <v>164085747</v>
      </c>
      <c r="O1969">
        <v>116354302</v>
      </c>
      <c r="P1969">
        <v>157</v>
      </c>
      <c r="Q1969" t="s">
        <v>4244</v>
      </c>
    </row>
    <row r="1970" spans="1:17" x14ac:dyDescent="0.3">
      <c r="A1970" t="s">
        <v>73</v>
      </c>
      <c r="B1970" t="str">
        <f>"002757"</f>
        <v>002757</v>
      </c>
      <c r="C1970" t="s">
        <v>4245</v>
      </c>
      <c r="D1970" t="s">
        <v>1451</v>
      </c>
      <c r="E1970">
        <v>504637109</v>
      </c>
      <c r="F1970">
        <v>467253884</v>
      </c>
      <c r="G1970">
        <v>400060372</v>
      </c>
      <c r="H1970">
        <v>278534080</v>
      </c>
      <c r="I1970">
        <v>74643878</v>
      </c>
      <c r="J1970">
        <v>79918623</v>
      </c>
      <c r="K1970">
        <v>126053124</v>
      </c>
      <c r="L1970">
        <v>66444590</v>
      </c>
      <c r="M1970">
        <v>0</v>
      </c>
      <c r="P1970">
        <v>267</v>
      </c>
      <c r="Q1970" t="s">
        <v>4246</v>
      </c>
    </row>
    <row r="1971" spans="1:17" x14ac:dyDescent="0.3">
      <c r="A1971" t="s">
        <v>17</v>
      </c>
      <c r="B1971" t="str">
        <f>"688239"</f>
        <v>688239</v>
      </c>
      <c r="C1971" t="s">
        <v>4247</v>
      </c>
      <c r="D1971" t="s">
        <v>130</v>
      </c>
      <c r="E1971">
        <v>504346567</v>
      </c>
      <c r="F1971">
        <v>410786391</v>
      </c>
      <c r="P1971">
        <v>57</v>
      </c>
      <c r="Q1971" t="s">
        <v>4248</v>
      </c>
    </row>
    <row r="1972" spans="1:17" x14ac:dyDescent="0.3">
      <c r="A1972" t="s">
        <v>73</v>
      </c>
      <c r="B1972" t="str">
        <f>"300625"</f>
        <v>300625</v>
      </c>
      <c r="C1972" t="s">
        <v>4249</v>
      </c>
      <c r="D1972" t="s">
        <v>1424</v>
      </c>
      <c r="E1972">
        <v>504184708</v>
      </c>
      <c r="F1972">
        <v>405658845</v>
      </c>
      <c r="G1972">
        <v>392227679</v>
      </c>
      <c r="H1972">
        <v>341874651</v>
      </c>
      <c r="I1972">
        <v>355238654</v>
      </c>
      <c r="J1972">
        <v>208430781</v>
      </c>
      <c r="K1972">
        <v>0</v>
      </c>
      <c r="P1972">
        <v>137</v>
      </c>
      <c r="Q1972" t="s">
        <v>4250</v>
      </c>
    </row>
    <row r="1973" spans="1:17" x14ac:dyDescent="0.3">
      <c r="A1973" t="s">
        <v>73</v>
      </c>
      <c r="B1973" t="str">
        <f>"002381"</f>
        <v>002381</v>
      </c>
      <c r="C1973" t="s">
        <v>4251</v>
      </c>
      <c r="D1973" t="s">
        <v>2295</v>
      </c>
      <c r="E1973">
        <v>503685744</v>
      </c>
      <c r="F1973">
        <v>387846418</v>
      </c>
      <c r="G1973">
        <v>360661150</v>
      </c>
      <c r="H1973">
        <v>439408671</v>
      </c>
      <c r="I1973">
        <v>380936115</v>
      </c>
      <c r="J1973">
        <v>628872959</v>
      </c>
      <c r="K1973">
        <v>826834577</v>
      </c>
      <c r="L1973">
        <v>342253816</v>
      </c>
      <c r="M1973">
        <v>329341446</v>
      </c>
      <c r="N1973">
        <v>289944055</v>
      </c>
      <c r="O1973">
        <v>272668803</v>
      </c>
      <c r="P1973">
        <v>276</v>
      </c>
      <c r="Q1973" t="s">
        <v>4252</v>
      </c>
    </row>
    <row r="1974" spans="1:17" x14ac:dyDescent="0.3">
      <c r="A1974" t="s">
        <v>73</v>
      </c>
      <c r="B1974" t="str">
        <f>"300702"</f>
        <v>300702</v>
      </c>
      <c r="C1974" t="s">
        <v>4253</v>
      </c>
      <c r="D1974" t="s">
        <v>908</v>
      </c>
      <c r="E1974">
        <v>503521493</v>
      </c>
      <c r="F1974">
        <v>470474630</v>
      </c>
      <c r="G1974">
        <v>275760056</v>
      </c>
      <c r="H1974">
        <v>312450178</v>
      </c>
      <c r="I1974">
        <v>218620681</v>
      </c>
      <c r="J1974">
        <v>0</v>
      </c>
      <c r="P1974">
        <v>411</v>
      </c>
      <c r="Q1974" t="s">
        <v>4254</v>
      </c>
    </row>
    <row r="1975" spans="1:17" x14ac:dyDescent="0.3">
      <c r="A1975" t="s">
        <v>17</v>
      </c>
      <c r="B1975" t="str">
        <f>"603619"</f>
        <v>603619</v>
      </c>
      <c r="C1975" t="s">
        <v>4255</v>
      </c>
      <c r="D1975" t="s">
        <v>227</v>
      </c>
      <c r="E1975">
        <v>503380098</v>
      </c>
      <c r="F1975">
        <v>488861422</v>
      </c>
      <c r="G1975">
        <v>651179292</v>
      </c>
      <c r="H1975">
        <v>755967247</v>
      </c>
      <c r="I1975">
        <v>716557855</v>
      </c>
      <c r="J1975">
        <v>0</v>
      </c>
      <c r="P1975">
        <v>74</v>
      </c>
      <c r="Q1975" t="s">
        <v>4256</v>
      </c>
    </row>
    <row r="1976" spans="1:17" x14ac:dyDescent="0.3">
      <c r="A1976" t="s">
        <v>73</v>
      </c>
      <c r="B1976" t="str">
        <f>"300843"</f>
        <v>300843</v>
      </c>
      <c r="C1976" t="s">
        <v>4257</v>
      </c>
      <c r="D1976" t="s">
        <v>42</v>
      </c>
      <c r="E1976">
        <v>502309756</v>
      </c>
      <c r="F1976">
        <v>481106095</v>
      </c>
      <c r="G1976">
        <v>254290632</v>
      </c>
      <c r="H1976">
        <v>0</v>
      </c>
      <c r="P1976">
        <v>80</v>
      </c>
      <c r="Q1976" t="s">
        <v>4258</v>
      </c>
    </row>
    <row r="1977" spans="1:17" x14ac:dyDescent="0.3">
      <c r="A1977" t="s">
        <v>73</v>
      </c>
      <c r="B1977" t="str">
        <f>"002022"</f>
        <v>002022</v>
      </c>
      <c r="C1977" t="s">
        <v>4259</v>
      </c>
      <c r="D1977" t="s">
        <v>773</v>
      </c>
      <c r="E1977">
        <v>501904662</v>
      </c>
      <c r="F1977">
        <v>1000344864</v>
      </c>
      <c r="G1977">
        <v>699638337</v>
      </c>
      <c r="H1977">
        <v>579147525</v>
      </c>
      <c r="I1977">
        <v>398909033</v>
      </c>
      <c r="J1977">
        <v>205795606</v>
      </c>
      <c r="K1977">
        <v>232307642</v>
      </c>
      <c r="L1977">
        <v>187537751</v>
      </c>
      <c r="M1977">
        <v>138272938</v>
      </c>
      <c r="N1977">
        <v>117525378</v>
      </c>
      <c r="O1977">
        <v>117814253</v>
      </c>
      <c r="P1977">
        <v>1024</v>
      </c>
      <c r="Q1977" t="s">
        <v>4260</v>
      </c>
    </row>
    <row r="1978" spans="1:17" x14ac:dyDescent="0.3">
      <c r="A1978" t="s">
        <v>73</v>
      </c>
      <c r="B1978" t="str">
        <f>"300577"</f>
        <v>300577</v>
      </c>
      <c r="C1978" t="s">
        <v>4261</v>
      </c>
      <c r="D1978" t="s">
        <v>2601</v>
      </c>
      <c r="E1978">
        <v>501646931</v>
      </c>
      <c r="F1978">
        <v>357972603</v>
      </c>
      <c r="G1978">
        <v>372379345</v>
      </c>
      <c r="H1978">
        <v>307138004</v>
      </c>
      <c r="I1978">
        <v>244084956</v>
      </c>
      <c r="J1978">
        <v>159775331</v>
      </c>
      <c r="K1978">
        <v>0</v>
      </c>
      <c r="P1978">
        <v>486</v>
      </c>
      <c r="Q1978" t="s">
        <v>4262</v>
      </c>
    </row>
    <row r="1979" spans="1:17" x14ac:dyDescent="0.3">
      <c r="A1979" t="s">
        <v>17</v>
      </c>
      <c r="B1979" t="str">
        <f>"603565"</f>
        <v>603565</v>
      </c>
      <c r="C1979" t="s">
        <v>4263</v>
      </c>
      <c r="D1979" t="s">
        <v>246</v>
      </c>
      <c r="E1979">
        <v>501269935</v>
      </c>
      <c r="F1979">
        <v>508206002</v>
      </c>
      <c r="P1979">
        <v>225</v>
      </c>
      <c r="Q1979" t="s">
        <v>4264</v>
      </c>
    </row>
    <row r="1980" spans="1:17" x14ac:dyDescent="0.3">
      <c r="A1980" t="s">
        <v>73</v>
      </c>
      <c r="B1980" t="str">
        <f>"300322"</f>
        <v>300322</v>
      </c>
      <c r="C1980" t="s">
        <v>4265</v>
      </c>
      <c r="D1980" t="s">
        <v>42</v>
      </c>
      <c r="E1980">
        <v>500985389</v>
      </c>
      <c r="F1980">
        <v>573840614</v>
      </c>
      <c r="G1980">
        <v>349503349</v>
      </c>
      <c r="H1980">
        <v>348908290</v>
      </c>
      <c r="I1980">
        <v>328445922</v>
      </c>
      <c r="J1980">
        <v>290060724</v>
      </c>
      <c r="K1980">
        <v>335867106</v>
      </c>
      <c r="L1980">
        <v>146420340</v>
      </c>
      <c r="M1980">
        <v>86152686</v>
      </c>
      <c r="N1980">
        <v>61271538</v>
      </c>
      <c r="O1980">
        <v>48596613</v>
      </c>
      <c r="P1980">
        <v>387</v>
      </c>
      <c r="Q1980" t="s">
        <v>4266</v>
      </c>
    </row>
    <row r="1981" spans="1:17" x14ac:dyDescent="0.3">
      <c r="A1981" t="s">
        <v>73</v>
      </c>
      <c r="B1981" t="str">
        <f>"300435"</f>
        <v>300435</v>
      </c>
      <c r="C1981" t="s">
        <v>4267</v>
      </c>
      <c r="D1981" t="s">
        <v>469</v>
      </c>
      <c r="E1981">
        <v>500454214</v>
      </c>
      <c r="F1981">
        <v>535210295</v>
      </c>
      <c r="G1981">
        <v>540026539</v>
      </c>
      <c r="H1981">
        <v>315557439</v>
      </c>
      <c r="I1981">
        <v>327871405</v>
      </c>
      <c r="J1981">
        <v>301574279</v>
      </c>
      <c r="K1981">
        <v>227492466</v>
      </c>
      <c r="L1981">
        <v>144134316</v>
      </c>
      <c r="M1981">
        <v>0</v>
      </c>
      <c r="P1981">
        <v>111</v>
      </c>
      <c r="Q1981" t="s">
        <v>4268</v>
      </c>
    </row>
    <row r="1982" spans="1:17" x14ac:dyDescent="0.3">
      <c r="A1982" t="s">
        <v>73</v>
      </c>
      <c r="B1982" t="str">
        <f>"002759"</f>
        <v>002759</v>
      </c>
      <c r="C1982" t="s">
        <v>4269</v>
      </c>
      <c r="D1982" t="s">
        <v>561</v>
      </c>
      <c r="E1982">
        <v>500158230</v>
      </c>
      <c r="F1982">
        <v>287639006</v>
      </c>
      <c r="G1982">
        <v>204077187</v>
      </c>
      <c r="H1982">
        <v>214218901</v>
      </c>
      <c r="I1982">
        <v>171347844</v>
      </c>
      <c r="J1982">
        <v>167391161</v>
      </c>
      <c r="K1982">
        <v>39373443</v>
      </c>
      <c r="L1982">
        <v>30927508</v>
      </c>
      <c r="P1982">
        <v>251</v>
      </c>
      <c r="Q1982" t="s">
        <v>4270</v>
      </c>
    </row>
    <row r="1983" spans="1:17" x14ac:dyDescent="0.3">
      <c r="A1983" t="s">
        <v>73</v>
      </c>
      <c r="B1983" t="str">
        <f>"000732"</f>
        <v>000732</v>
      </c>
      <c r="C1983" t="s">
        <v>4271</v>
      </c>
      <c r="D1983" t="s">
        <v>27</v>
      </c>
      <c r="E1983">
        <v>499355744</v>
      </c>
      <c r="F1983">
        <v>814992471</v>
      </c>
      <c r="G1983">
        <v>1513854106</v>
      </c>
      <c r="H1983">
        <v>2450669511</v>
      </c>
      <c r="I1983">
        <v>1933938626</v>
      </c>
      <c r="J1983">
        <v>895892455</v>
      </c>
      <c r="K1983">
        <v>430173421</v>
      </c>
      <c r="L1983">
        <v>273281772</v>
      </c>
      <c r="M1983">
        <v>384372354</v>
      </c>
      <c r="N1983">
        <v>317405876</v>
      </c>
      <c r="O1983">
        <v>111711660</v>
      </c>
      <c r="P1983">
        <v>438</v>
      </c>
      <c r="Q1983" t="s">
        <v>4272</v>
      </c>
    </row>
    <row r="1984" spans="1:17" x14ac:dyDescent="0.3">
      <c r="A1984" t="s">
        <v>17</v>
      </c>
      <c r="B1984" t="str">
        <f>"601816"</f>
        <v>601816</v>
      </c>
      <c r="C1984" t="s">
        <v>4273</v>
      </c>
      <c r="D1984" t="s">
        <v>524</v>
      </c>
      <c r="E1984">
        <v>498929413</v>
      </c>
      <c r="F1984">
        <v>1381041895</v>
      </c>
      <c r="G1984">
        <v>115326078</v>
      </c>
      <c r="H1984">
        <v>0</v>
      </c>
      <c r="P1984">
        <v>977</v>
      </c>
      <c r="Q1984" t="s">
        <v>4274</v>
      </c>
    </row>
    <row r="1985" spans="1:17" x14ac:dyDescent="0.3">
      <c r="A1985" t="s">
        <v>17</v>
      </c>
      <c r="B1985" t="str">
        <f>"600645"</f>
        <v>600645</v>
      </c>
      <c r="C1985" t="s">
        <v>4275</v>
      </c>
      <c r="D1985" t="s">
        <v>773</v>
      </c>
      <c r="E1985">
        <v>498494250</v>
      </c>
      <c r="F1985">
        <v>472198676</v>
      </c>
      <c r="G1985">
        <v>474725527</v>
      </c>
      <c r="H1985">
        <v>451683749</v>
      </c>
      <c r="I1985">
        <v>223584901</v>
      </c>
      <c r="J1985">
        <v>206224032</v>
      </c>
      <c r="K1985">
        <v>153487162</v>
      </c>
      <c r="L1985">
        <v>115223335</v>
      </c>
      <c r="M1985">
        <v>48121085</v>
      </c>
      <c r="N1985">
        <v>37795302</v>
      </c>
      <c r="O1985">
        <v>27148731</v>
      </c>
      <c r="P1985">
        <v>223</v>
      </c>
      <c r="Q1985" t="s">
        <v>4276</v>
      </c>
    </row>
    <row r="1986" spans="1:17" x14ac:dyDescent="0.3">
      <c r="A1986" t="s">
        <v>73</v>
      </c>
      <c r="B1986" t="str">
        <f>"000089"</f>
        <v>000089</v>
      </c>
      <c r="C1986" t="s">
        <v>4277</v>
      </c>
      <c r="D1986" t="s">
        <v>1900</v>
      </c>
      <c r="E1986">
        <v>497620172</v>
      </c>
      <c r="F1986">
        <v>533122663</v>
      </c>
      <c r="G1986">
        <v>426589720</v>
      </c>
      <c r="H1986">
        <v>717425960</v>
      </c>
      <c r="I1986">
        <v>613161457</v>
      </c>
      <c r="J1986">
        <v>524891216</v>
      </c>
      <c r="K1986">
        <v>510743550</v>
      </c>
      <c r="L1986">
        <v>550917000</v>
      </c>
      <c r="M1986">
        <v>493113783</v>
      </c>
      <c r="N1986">
        <v>403359932</v>
      </c>
      <c r="O1986">
        <v>372471740</v>
      </c>
      <c r="P1986">
        <v>665</v>
      </c>
      <c r="Q1986" t="s">
        <v>4278</v>
      </c>
    </row>
    <row r="1987" spans="1:17" x14ac:dyDescent="0.3">
      <c r="A1987" t="s">
        <v>73</v>
      </c>
      <c r="B1987" t="str">
        <f>"300787"</f>
        <v>300787</v>
      </c>
      <c r="C1987" t="s">
        <v>4279</v>
      </c>
      <c r="D1987" t="s">
        <v>42</v>
      </c>
      <c r="E1987">
        <v>497536275</v>
      </c>
      <c r="F1987">
        <v>338945359</v>
      </c>
      <c r="G1987">
        <v>189238791</v>
      </c>
      <c r="H1987">
        <v>184647432</v>
      </c>
      <c r="P1987">
        <v>87</v>
      </c>
      <c r="Q1987" t="s">
        <v>4280</v>
      </c>
    </row>
    <row r="1988" spans="1:17" x14ac:dyDescent="0.3">
      <c r="A1988" t="s">
        <v>17</v>
      </c>
      <c r="B1988" t="str">
        <f>"603959"</f>
        <v>603959</v>
      </c>
      <c r="C1988" t="s">
        <v>4281</v>
      </c>
      <c r="D1988" t="s">
        <v>141</v>
      </c>
      <c r="E1988">
        <v>497494469</v>
      </c>
      <c r="F1988">
        <v>549108015</v>
      </c>
      <c r="G1988">
        <v>568956572</v>
      </c>
      <c r="H1988">
        <v>672406488</v>
      </c>
      <c r="I1988">
        <v>749267737</v>
      </c>
      <c r="J1988">
        <v>733256383</v>
      </c>
      <c r="K1988">
        <v>551070826</v>
      </c>
      <c r="L1988">
        <v>0</v>
      </c>
      <c r="P1988">
        <v>80</v>
      </c>
      <c r="Q1988" t="s">
        <v>4282</v>
      </c>
    </row>
    <row r="1989" spans="1:17" x14ac:dyDescent="0.3">
      <c r="A1989" t="s">
        <v>73</v>
      </c>
      <c r="B1989" t="str">
        <f>"002734"</f>
        <v>002734</v>
      </c>
      <c r="C1989" t="s">
        <v>4283</v>
      </c>
      <c r="D1989" t="s">
        <v>272</v>
      </c>
      <c r="E1989">
        <v>496270353</v>
      </c>
      <c r="F1989">
        <v>428436031</v>
      </c>
      <c r="G1989">
        <v>515199506</v>
      </c>
      <c r="H1989">
        <v>229760435</v>
      </c>
      <c r="I1989">
        <v>180186984</v>
      </c>
      <c r="J1989">
        <v>283832246</v>
      </c>
      <c r="K1989">
        <v>167199126</v>
      </c>
      <c r="L1989">
        <v>185576137</v>
      </c>
      <c r="M1989">
        <v>0</v>
      </c>
      <c r="P1989">
        <v>261</v>
      </c>
      <c r="Q1989" t="s">
        <v>4284</v>
      </c>
    </row>
    <row r="1990" spans="1:17" x14ac:dyDescent="0.3">
      <c r="A1990" t="s">
        <v>17</v>
      </c>
      <c r="B1990" t="str">
        <f>"688116"</f>
        <v>688116</v>
      </c>
      <c r="C1990" t="s">
        <v>4285</v>
      </c>
      <c r="D1990" t="s">
        <v>561</v>
      </c>
      <c r="E1990">
        <v>495753557</v>
      </c>
      <c r="F1990">
        <v>174539663</v>
      </c>
      <c r="G1990">
        <v>81313796</v>
      </c>
      <c r="H1990">
        <v>0</v>
      </c>
      <c r="P1990">
        <v>197</v>
      </c>
      <c r="Q1990" t="s">
        <v>4286</v>
      </c>
    </row>
    <row r="1991" spans="1:17" x14ac:dyDescent="0.3">
      <c r="A1991" t="s">
        <v>17</v>
      </c>
      <c r="B1991" t="str">
        <f>"603629"</f>
        <v>603629</v>
      </c>
      <c r="C1991" t="s">
        <v>4287</v>
      </c>
      <c r="D1991" t="s">
        <v>42</v>
      </c>
      <c r="E1991">
        <v>494682470</v>
      </c>
      <c r="F1991">
        <v>391066927</v>
      </c>
      <c r="G1991">
        <v>257972783</v>
      </c>
      <c r="H1991">
        <v>410156331</v>
      </c>
      <c r="P1991">
        <v>51</v>
      </c>
      <c r="Q1991" t="s">
        <v>4288</v>
      </c>
    </row>
    <row r="1992" spans="1:17" x14ac:dyDescent="0.3">
      <c r="A1992" t="s">
        <v>17</v>
      </c>
      <c r="B1992" t="str">
        <f>"688236"</f>
        <v>688236</v>
      </c>
      <c r="C1992" t="s">
        <v>4289</v>
      </c>
      <c r="D1992" t="s">
        <v>1523</v>
      </c>
      <c r="E1992">
        <v>494512379</v>
      </c>
      <c r="P1992">
        <v>20</v>
      </c>
      <c r="Q1992" t="s">
        <v>4290</v>
      </c>
    </row>
    <row r="1993" spans="1:17" x14ac:dyDescent="0.3">
      <c r="A1993" t="s">
        <v>73</v>
      </c>
      <c r="B1993" t="str">
        <f>"002205"</f>
        <v>002205</v>
      </c>
      <c r="C1993" t="s">
        <v>4291</v>
      </c>
      <c r="D1993" t="s">
        <v>472</v>
      </c>
      <c r="E1993">
        <v>494494434</v>
      </c>
      <c r="F1993">
        <v>335484686</v>
      </c>
      <c r="G1993">
        <v>292972309</v>
      </c>
      <c r="H1993">
        <v>423614347</v>
      </c>
      <c r="I1993">
        <v>492209287</v>
      </c>
      <c r="J1993">
        <v>499647409</v>
      </c>
      <c r="K1993">
        <v>521542029</v>
      </c>
      <c r="L1993">
        <v>498335890</v>
      </c>
      <c r="M1993">
        <v>426164082</v>
      </c>
      <c r="N1993">
        <v>390496038</v>
      </c>
      <c r="O1993">
        <v>369223471</v>
      </c>
      <c r="P1993">
        <v>86</v>
      </c>
      <c r="Q1993" t="s">
        <v>4292</v>
      </c>
    </row>
    <row r="1994" spans="1:17" x14ac:dyDescent="0.3">
      <c r="A1994" t="s">
        <v>17</v>
      </c>
      <c r="B1994" t="str">
        <f>"605286"</f>
        <v>605286</v>
      </c>
      <c r="C1994" t="s">
        <v>4293</v>
      </c>
      <c r="D1994" t="s">
        <v>744</v>
      </c>
      <c r="E1994">
        <v>494217003</v>
      </c>
      <c r="F1994">
        <v>338089109</v>
      </c>
      <c r="P1994">
        <v>27</v>
      </c>
      <c r="Q1994" t="s">
        <v>4294</v>
      </c>
    </row>
    <row r="1995" spans="1:17" x14ac:dyDescent="0.3">
      <c r="A1995" t="s">
        <v>17</v>
      </c>
      <c r="B1995" t="str">
        <f>"601155"</f>
        <v>601155</v>
      </c>
      <c r="C1995" t="s">
        <v>4295</v>
      </c>
      <c r="D1995" t="s">
        <v>697</v>
      </c>
      <c r="E1995">
        <v>494066146</v>
      </c>
      <c r="F1995">
        <v>254939916</v>
      </c>
      <c r="G1995">
        <v>271257837</v>
      </c>
      <c r="H1995">
        <v>133110840</v>
      </c>
      <c r="I1995">
        <v>85690259</v>
      </c>
      <c r="J1995">
        <v>39221762</v>
      </c>
      <c r="K1995">
        <v>20764081</v>
      </c>
      <c r="L1995">
        <v>0</v>
      </c>
      <c r="P1995">
        <v>7593</v>
      </c>
      <c r="Q1995" t="s">
        <v>4296</v>
      </c>
    </row>
    <row r="1996" spans="1:17" x14ac:dyDescent="0.3">
      <c r="A1996" t="s">
        <v>73</v>
      </c>
      <c r="B1996" t="str">
        <f>"002020"</f>
        <v>002020</v>
      </c>
      <c r="C1996" t="s">
        <v>4297</v>
      </c>
      <c r="D1996" t="s">
        <v>348</v>
      </c>
      <c r="E1996">
        <v>493403659</v>
      </c>
      <c r="F1996">
        <v>387663870</v>
      </c>
      <c r="G1996">
        <v>438691396</v>
      </c>
      <c r="H1996">
        <v>488494443</v>
      </c>
      <c r="I1996">
        <v>399908080</v>
      </c>
      <c r="J1996">
        <v>299646385</v>
      </c>
      <c r="K1996">
        <v>262905758</v>
      </c>
      <c r="L1996">
        <v>188517270</v>
      </c>
      <c r="M1996">
        <v>152796128</v>
      </c>
      <c r="N1996">
        <v>114241236</v>
      </c>
      <c r="O1996">
        <v>90378309</v>
      </c>
      <c r="P1996">
        <v>619</v>
      </c>
      <c r="Q1996" t="s">
        <v>4298</v>
      </c>
    </row>
    <row r="1997" spans="1:17" x14ac:dyDescent="0.3">
      <c r="A1997" t="s">
        <v>73</v>
      </c>
      <c r="B1997" t="str">
        <f>"300830"</f>
        <v>300830</v>
      </c>
      <c r="C1997" t="s">
        <v>4299</v>
      </c>
      <c r="D1997" t="s">
        <v>795</v>
      </c>
      <c r="E1997">
        <v>493235111</v>
      </c>
      <c r="F1997">
        <v>452802758</v>
      </c>
      <c r="G1997">
        <v>411136539</v>
      </c>
      <c r="H1997">
        <v>0</v>
      </c>
      <c r="P1997">
        <v>74</v>
      </c>
      <c r="Q1997" t="s">
        <v>4300</v>
      </c>
    </row>
    <row r="1998" spans="1:17" x14ac:dyDescent="0.3">
      <c r="A1998" t="s">
        <v>73</v>
      </c>
      <c r="B1998" t="str">
        <f>"002545"</f>
        <v>002545</v>
      </c>
      <c r="C1998" t="s">
        <v>4301</v>
      </c>
      <c r="D1998" t="s">
        <v>711</v>
      </c>
      <c r="E1998">
        <v>491993015</v>
      </c>
      <c r="F1998">
        <v>551051631</v>
      </c>
      <c r="G1998">
        <v>634834833</v>
      </c>
      <c r="H1998">
        <v>0</v>
      </c>
      <c r="I1998">
        <v>639443858</v>
      </c>
      <c r="J1998">
        <v>744889507</v>
      </c>
      <c r="K1998">
        <v>553364353</v>
      </c>
      <c r="L1998">
        <v>709371177</v>
      </c>
      <c r="M1998">
        <v>970710553</v>
      </c>
      <c r="N1998">
        <v>1042932171</v>
      </c>
      <c r="O1998">
        <v>1015505266</v>
      </c>
      <c r="P1998">
        <v>138</v>
      </c>
      <c r="Q1998" t="s">
        <v>4302</v>
      </c>
    </row>
    <row r="1999" spans="1:17" x14ac:dyDescent="0.3">
      <c r="A1999" t="s">
        <v>73</v>
      </c>
      <c r="B1999" t="str">
        <f>"000728"</f>
        <v>000728</v>
      </c>
      <c r="C1999" t="s">
        <v>4303</v>
      </c>
      <c r="D1999" t="s">
        <v>53</v>
      </c>
      <c r="E1999">
        <v>491911513</v>
      </c>
      <c r="F1999">
        <v>451078128</v>
      </c>
      <c r="G1999">
        <v>401032229</v>
      </c>
      <c r="H1999">
        <v>404803219</v>
      </c>
      <c r="I1999">
        <v>486683604</v>
      </c>
      <c r="J1999">
        <v>619397538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1900</v>
      </c>
      <c r="Q1999" t="s">
        <v>4304</v>
      </c>
    </row>
    <row r="2000" spans="1:17" x14ac:dyDescent="0.3">
      <c r="A2000" t="s">
        <v>17</v>
      </c>
      <c r="B2000" t="str">
        <f>"603379"</f>
        <v>603379</v>
      </c>
      <c r="C2000" t="s">
        <v>4305</v>
      </c>
      <c r="D2000" t="s">
        <v>1726</v>
      </c>
      <c r="E2000">
        <v>491725597</v>
      </c>
      <c r="F2000">
        <v>370905426</v>
      </c>
      <c r="G2000">
        <v>286461766</v>
      </c>
      <c r="H2000">
        <v>427403129</v>
      </c>
      <c r="P2000">
        <v>140</v>
      </c>
      <c r="Q2000" t="s">
        <v>4306</v>
      </c>
    </row>
    <row r="2001" spans="1:17" x14ac:dyDescent="0.3">
      <c r="A2001" t="s">
        <v>17</v>
      </c>
      <c r="B2001" t="str">
        <f>"600613"</f>
        <v>600613</v>
      </c>
      <c r="C2001" t="s">
        <v>4307</v>
      </c>
      <c r="D2001" t="s">
        <v>348</v>
      </c>
      <c r="E2001">
        <v>491283588</v>
      </c>
      <c r="F2001">
        <v>519753527</v>
      </c>
      <c r="G2001">
        <v>748523870</v>
      </c>
      <c r="H2001">
        <v>903303295</v>
      </c>
      <c r="I2001">
        <v>852713240</v>
      </c>
      <c r="J2001">
        <v>876555966</v>
      </c>
      <c r="K2001">
        <v>660729328</v>
      </c>
      <c r="L2001">
        <v>564660865</v>
      </c>
      <c r="M2001">
        <v>382713056</v>
      </c>
      <c r="N2001">
        <v>68784983</v>
      </c>
      <c r="O2001">
        <v>48347880</v>
      </c>
      <c r="P2001">
        <v>121</v>
      </c>
      <c r="Q2001" t="s">
        <v>4308</v>
      </c>
    </row>
    <row r="2002" spans="1:17" x14ac:dyDescent="0.3">
      <c r="A2002" t="s">
        <v>73</v>
      </c>
      <c r="B2002" t="str">
        <f>"300342"</f>
        <v>300342</v>
      </c>
      <c r="C2002" t="s">
        <v>4309</v>
      </c>
      <c r="D2002" t="s">
        <v>654</v>
      </c>
      <c r="E2002">
        <v>490443420</v>
      </c>
      <c r="F2002">
        <v>399713391</v>
      </c>
      <c r="G2002">
        <v>351440702</v>
      </c>
      <c r="H2002">
        <v>383318953</v>
      </c>
      <c r="I2002">
        <v>337763376</v>
      </c>
      <c r="J2002">
        <v>273918307</v>
      </c>
      <c r="K2002">
        <v>225088686</v>
      </c>
      <c r="L2002">
        <v>152044473</v>
      </c>
      <c r="M2002">
        <v>119226999</v>
      </c>
      <c r="N2002">
        <v>124578453</v>
      </c>
      <c r="O2002">
        <v>0</v>
      </c>
      <c r="P2002">
        <v>181</v>
      </c>
      <c r="Q2002" t="s">
        <v>4310</v>
      </c>
    </row>
    <row r="2003" spans="1:17" x14ac:dyDescent="0.3">
      <c r="A2003" t="s">
        <v>17</v>
      </c>
      <c r="B2003" t="str">
        <f>"603131"</f>
        <v>603131</v>
      </c>
      <c r="C2003" t="s">
        <v>4311</v>
      </c>
      <c r="D2003" t="s">
        <v>873</v>
      </c>
      <c r="E2003">
        <v>489725216</v>
      </c>
      <c r="F2003">
        <v>337166369</v>
      </c>
      <c r="G2003">
        <v>203903268</v>
      </c>
      <c r="H2003">
        <v>205515634</v>
      </c>
      <c r="I2003">
        <v>121276862</v>
      </c>
      <c r="J2003">
        <v>87000320</v>
      </c>
      <c r="K2003">
        <v>0</v>
      </c>
      <c r="L2003">
        <v>0</v>
      </c>
      <c r="P2003">
        <v>143</v>
      </c>
      <c r="Q2003" t="s">
        <v>4312</v>
      </c>
    </row>
    <row r="2004" spans="1:17" x14ac:dyDescent="0.3">
      <c r="A2004" t="s">
        <v>17</v>
      </c>
      <c r="B2004" t="str">
        <f>"600185"</f>
        <v>600185</v>
      </c>
      <c r="C2004" t="s">
        <v>4313</v>
      </c>
      <c r="D2004" t="s">
        <v>27</v>
      </c>
      <c r="E2004">
        <v>489367486</v>
      </c>
      <c r="F2004">
        <v>190183628</v>
      </c>
      <c r="G2004">
        <v>206902520</v>
      </c>
      <c r="H2004">
        <v>214138690</v>
      </c>
      <c r="I2004">
        <v>335172229</v>
      </c>
      <c r="J2004">
        <v>31903920</v>
      </c>
      <c r="K2004">
        <v>14929845</v>
      </c>
      <c r="L2004">
        <v>411387</v>
      </c>
      <c r="M2004">
        <v>1695166</v>
      </c>
      <c r="N2004">
        <v>2944850</v>
      </c>
      <c r="O2004">
        <v>3261921</v>
      </c>
      <c r="P2004">
        <v>321</v>
      </c>
      <c r="Q2004" t="s">
        <v>4314</v>
      </c>
    </row>
    <row r="2005" spans="1:17" x14ac:dyDescent="0.3">
      <c r="A2005" t="s">
        <v>73</v>
      </c>
      <c r="B2005" t="str">
        <f>"300241"</f>
        <v>300241</v>
      </c>
      <c r="C2005" t="s">
        <v>4315</v>
      </c>
      <c r="D2005" t="s">
        <v>737</v>
      </c>
      <c r="E2005">
        <v>489273519</v>
      </c>
      <c r="F2005">
        <v>440773718</v>
      </c>
      <c r="G2005">
        <v>370710054</v>
      </c>
      <c r="H2005">
        <v>416064422</v>
      </c>
      <c r="I2005">
        <v>451492887</v>
      </c>
      <c r="J2005">
        <v>450253042</v>
      </c>
      <c r="K2005">
        <v>363778244</v>
      </c>
      <c r="L2005">
        <v>206102506</v>
      </c>
      <c r="M2005">
        <v>190307191</v>
      </c>
      <c r="N2005">
        <v>133058292</v>
      </c>
      <c r="O2005">
        <v>77490082</v>
      </c>
      <c r="P2005">
        <v>170</v>
      </c>
      <c r="Q2005" t="s">
        <v>4316</v>
      </c>
    </row>
    <row r="2006" spans="1:17" x14ac:dyDescent="0.3">
      <c r="A2006" t="s">
        <v>73</v>
      </c>
      <c r="B2006" t="str">
        <f>"300752"</f>
        <v>300752</v>
      </c>
      <c r="C2006" t="s">
        <v>4317</v>
      </c>
      <c r="D2006" t="s">
        <v>737</v>
      </c>
      <c r="E2006">
        <v>488974160</v>
      </c>
      <c r="F2006">
        <v>671653589</v>
      </c>
      <c r="G2006">
        <v>509510875</v>
      </c>
      <c r="H2006">
        <v>325487789</v>
      </c>
      <c r="I2006">
        <v>0</v>
      </c>
      <c r="P2006">
        <v>140</v>
      </c>
      <c r="Q2006" t="s">
        <v>4318</v>
      </c>
    </row>
    <row r="2007" spans="1:17" x14ac:dyDescent="0.3">
      <c r="A2007" t="s">
        <v>73</v>
      </c>
      <c r="B2007" t="str">
        <f>"002293"</f>
        <v>002293</v>
      </c>
      <c r="C2007" t="s">
        <v>4319</v>
      </c>
      <c r="D2007" t="s">
        <v>4320</v>
      </c>
      <c r="E2007">
        <v>488603406</v>
      </c>
      <c r="F2007">
        <v>486603307</v>
      </c>
      <c r="G2007">
        <v>385079065</v>
      </c>
      <c r="H2007">
        <v>552862732</v>
      </c>
      <c r="I2007">
        <v>460113508</v>
      </c>
      <c r="J2007">
        <v>398118230</v>
      </c>
      <c r="K2007">
        <v>338224879</v>
      </c>
      <c r="L2007">
        <v>180887944</v>
      </c>
      <c r="M2007">
        <v>130972516</v>
      </c>
      <c r="N2007">
        <v>163110572</v>
      </c>
      <c r="O2007">
        <v>132265023</v>
      </c>
      <c r="P2007">
        <v>4959</v>
      </c>
      <c r="Q2007" t="s">
        <v>4321</v>
      </c>
    </row>
    <row r="2008" spans="1:17" x14ac:dyDescent="0.3">
      <c r="A2008" t="s">
        <v>73</v>
      </c>
      <c r="B2008" t="str">
        <f>"002470"</f>
        <v>002470</v>
      </c>
      <c r="C2008" t="s">
        <v>4322</v>
      </c>
      <c r="D2008" t="s">
        <v>4079</v>
      </c>
      <c r="E2008">
        <v>488517327</v>
      </c>
      <c r="F2008">
        <v>1513865743</v>
      </c>
      <c r="G2008">
        <v>1372166760</v>
      </c>
      <c r="H2008">
        <v>1571328544</v>
      </c>
      <c r="I2008">
        <v>1191033370</v>
      </c>
      <c r="J2008">
        <v>1123512938</v>
      </c>
      <c r="K2008">
        <v>351766220</v>
      </c>
      <c r="L2008">
        <v>42839116</v>
      </c>
      <c r="M2008">
        <v>0</v>
      </c>
      <c r="N2008">
        <v>0</v>
      </c>
      <c r="O2008">
        <v>0</v>
      </c>
      <c r="P2008">
        <v>4918</v>
      </c>
      <c r="Q2008" t="s">
        <v>4323</v>
      </c>
    </row>
    <row r="2009" spans="1:17" x14ac:dyDescent="0.3">
      <c r="A2009" t="s">
        <v>73</v>
      </c>
      <c r="B2009" t="str">
        <f>"300208"</f>
        <v>300208</v>
      </c>
      <c r="C2009" t="s">
        <v>4324</v>
      </c>
      <c r="D2009" t="s">
        <v>466</v>
      </c>
      <c r="E2009">
        <v>488099508</v>
      </c>
      <c r="F2009">
        <v>983498312</v>
      </c>
      <c r="G2009">
        <v>814640233</v>
      </c>
      <c r="H2009">
        <v>798347462</v>
      </c>
      <c r="I2009">
        <v>729706635</v>
      </c>
      <c r="J2009">
        <v>1132446782</v>
      </c>
      <c r="K2009">
        <v>762647569</v>
      </c>
      <c r="L2009">
        <v>399504148</v>
      </c>
      <c r="M2009">
        <v>112208226</v>
      </c>
      <c r="N2009">
        <v>101311997</v>
      </c>
      <c r="O2009">
        <v>110553483</v>
      </c>
      <c r="P2009">
        <v>144</v>
      </c>
      <c r="Q2009" t="s">
        <v>4325</v>
      </c>
    </row>
    <row r="2010" spans="1:17" x14ac:dyDescent="0.3">
      <c r="A2010" t="s">
        <v>17</v>
      </c>
      <c r="B2010" t="str">
        <f>"605377"</f>
        <v>605377</v>
      </c>
      <c r="C2010" t="s">
        <v>4326</v>
      </c>
      <c r="D2010" t="s">
        <v>2185</v>
      </c>
      <c r="E2010">
        <v>488031446</v>
      </c>
      <c r="F2010">
        <v>394175960</v>
      </c>
      <c r="P2010">
        <v>59</v>
      </c>
      <c r="Q2010" t="s">
        <v>4327</v>
      </c>
    </row>
    <row r="2011" spans="1:17" x14ac:dyDescent="0.3">
      <c r="A2011" t="s">
        <v>17</v>
      </c>
      <c r="B2011" t="str">
        <f>"600648"</f>
        <v>600648</v>
      </c>
      <c r="C2011" t="s">
        <v>4328</v>
      </c>
      <c r="D2011" t="s">
        <v>61</v>
      </c>
      <c r="E2011">
        <v>487262869</v>
      </c>
      <c r="F2011">
        <v>589362546</v>
      </c>
      <c r="G2011">
        <v>662804257</v>
      </c>
      <c r="H2011">
        <v>664957243</v>
      </c>
      <c r="I2011">
        <v>576001449</v>
      </c>
      <c r="J2011">
        <v>626529183</v>
      </c>
      <c r="K2011">
        <v>282986533</v>
      </c>
      <c r="L2011">
        <v>184119361</v>
      </c>
      <c r="M2011">
        <v>197756542</v>
      </c>
      <c r="N2011">
        <v>259386593</v>
      </c>
      <c r="O2011">
        <v>241377055</v>
      </c>
      <c r="P2011">
        <v>139</v>
      </c>
      <c r="Q2011" t="s">
        <v>4329</v>
      </c>
    </row>
    <row r="2012" spans="1:17" x14ac:dyDescent="0.3">
      <c r="A2012" t="s">
        <v>17</v>
      </c>
      <c r="B2012" t="str">
        <f>"603980"</f>
        <v>603980</v>
      </c>
      <c r="C2012" t="s">
        <v>4330</v>
      </c>
      <c r="D2012" t="s">
        <v>1001</v>
      </c>
      <c r="E2012">
        <v>486041445</v>
      </c>
      <c r="F2012">
        <v>459871151</v>
      </c>
      <c r="G2012">
        <v>374139943</v>
      </c>
      <c r="H2012">
        <v>579315590</v>
      </c>
      <c r="I2012">
        <v>383256664</v>
      </c>
      <c r="J2012">
        <v>433615440</v>
      </c>
      <c r="P2012">
        <v>195</v>
      </c>
      <c r="Q2012" t="s">
        <v>4331</v>
      </c>
    </row>
    <row r="2013" spans="1:17" x14ac:dyDescent="0.3">
      <c r="A2013" t="s">
        <v>73</v>
      </c>
      <c r="B2013" t="str">
        <f>"300074"</f>
        <v>300074</v>
      </c>
      <c r="C2013" t="s">
        <v>4332</v>
      </c>
      <c r="D2013" t="s">
        <v>795</v>
      </c>
      <c r="E2013">
        <v>485622607</v>
      </c>
      <c r="F2013">
        <v>435968873</v>
      </c>
      <c r="G2013">
        <v>386186401</v>
      </c>
      <c r="H2013">
        <v>297619118</v>
      </c>
      <c r="I2013">
        <v>272389590</v>
      </c>
      <c r="J2013">
        <v>192540865</v>
      </c>
      <c r="K2013">
        <v>147919860</v>
      </c>
      <c r="L2013">
        <v>113143073</v>
      </c>
      <c r="M2013">
        <v>135656844</v>
      </c>
      <c r="N2013">
        <v>148817642</v>
      </c>
      <c r="O2013">
        <v>78580629</v>
      </c>
      <c r="P2013">
        <v>162</v>
      </c>
      <c r="Q2013" t="s">
        <v>4333</v>
      </c>
    </row>
    <row r="2014" spans="1:17" x14ac:dyDescent="0.3">
      <c r="A2014" t="s">
        <v>73</v>
      </c>
      <c r="B2014" t="str">
        <f>"300986"</f>
        <v>300986</v>
      </c>
      <c r="C2014" t="s">
        <v>4334</v>
      </c>
      <c r="D2014" t="s">
        <v>616</v>
      </c>
      <c r="E2014">
        <v>485511890</v>
      </c>
      <c r="F2014">
        <v>269553528</v>
      </c>
      <c r="P2014">
        <v>34</v>
      </c>
      <c r="Q2014" t="s">
        <v>4335</v>
      </c>
    </row>
    <row r="2015" spans="1:17" x14ac:dyDescent="0.3">
      <c r="A2015" t="s">
        <v>73</v>
      </c>
      <c r="B2015" t="str">
        <f>"301058"</f>
        <v>301058</v>
      </c>
      <c r="C2015" t="s">
        <v>4336</v>
      </c>
      <c r="D2015" t="s">
        <v>661</v>
      </c>
      <c r="E2015">
        <v>485008882</v>
      </c>
      <c r="P2015">
        <v>24</v>
      </c>
      <c r="Q2015" t="s">
        <v>4337</v>
      </c>
    </row>
    <row r="2016" spans="1:17" x14ac:dyDescent="0.3">
      <c r="A2016" t="s">
        <v>73</v>
      </c>
      <c r="B2016" t="str">
        <f>"002266"</f>
        <v>002266</v>
      </c>
      <c r="C2016" t="s">
        <v>4338</v>
      </c>
      <c r="D2016" t="s">
        <v>623</v>
      </c>
      <c r="E2016">
        <v>484427499</v>
      </c>
      <c r="F2016">
        <v>480288956</v>
      </c>
      <c r="G2016">
        <v>158793530</v>
      </c>
      <c r="H2016">
        <v>201850094</v>
      </c>
      <c r="I2016">
        <v>316935405</v>
      </c>
      <c r="J2016">
        <v>353457163</v>
      </c>
      <c r="K2016">
        <v>352078623</v>
      </c>
      <c r="L2016">
        <v>329052540</v>
      </c>
      <c r="M2016">
        <v>320365564</v>
      </c>
      <c r="N2016">
        <v>601854619</v>
      </c>
      <c r="O2016">
        <v>790177642</v>
      </c>
      <c r="P2016">
        <v>297</v>
      </c>
      <c r="Q2016" t="s">
        <v>4339</v>
      </c>
    </row>
    <row r="2017" spans="1:17" x14ac:dyDescent="0.3">
      <c r="A2017" t="s">
        <v>73</v>
      </c>
      <c r="B2017" t="str">
        <f>"300618"</f>
        <v>300618</v>
      </c>
      <c r="C2017" t="s">
        <v>4340</v>
      </c>
      <c r="D2017" t="s">
        <v>605</v>
      </c>
      <c r="E2017">
        <v>484126775</v>
      </c>
      <c r="F2017">
        <v>523176144</v>
      </c>
      <c r="G2017">
        <v>222553968</v>
      </c>
      <c r="H2017">
        <v>247996271</v>
      </c>
      <c r="I2017">
        <v>336056278</v>
      </c>
      <c r="J2017">
        <v>98703058</v>
      </c>
      <c r="K2017">
        <v>0</v>
      </c>
      <c r="P2017">
        <v>574</v>
      </c>
      <c r="Q2017" t="s">
        <v>4341</v>
      </c>
    </row>
    <row r="2018" spans="1:17" x14ac:dyDescent="0.3">
      <c r="A2018" t="s">
        <v>17</v>
      </c>
      <c r="B2018" t="str">
        <f>"603109"</f>
        <v>603109</v>
      </c>
      <c r="C2018" t="s">
        <v>4342</v>
      </c>
      <c r="D2018" t="s">
        <v>722</v>
      </c>
      <c r="E2018">
        <v>483993368</v>
      </c>
      <c r="F2018">
        <v>373415155</v>
      </c>
      <c r="G2018">
        <v>242875125</v>
      </c>
      <c r="P2018">
        <v>80</v>
      </c>
      <c r="Q2018" t="s">
        <v>4343</v>
      </c>
    </row>
    <row r="2019" spans="1:17" x14ac:dyDescent="0.3">
      <c r="A2019" t="s">
        <v>73</v>
      </c>
      <c r="B2019" t="str">
        <f>"002950"</f>
        <v>002950</v>
      </c>
      <c r="C2019" t="s">
        <v>4344</v>
      </c>
      <c r="D2019" t="s">
        <v>1523</v>
      </c>
      <c r="E2019">
        <v>483970098</v>
      </c>
      <c r="F2019">
        <v>437212497</v>
      </c>
      <c r="G2019">
        <v>169649548</v>
      </c>
      <c r="H2019">
        <v>210389102</v>
      </c>
      <c r="P2019">
        <v>1080</v>
      </c>
      <c r="Q2019" t="s">
        <v>4345</v>
      </c>
    </row>
    <row r="2020" spans="1:17" x14ac:dyDescent="0.3">
      <c r="A2020" t="s">
        <v>17</v>
      </c>
      <c r="B2020" t="str">
        <f>"603885"</f>
        <v>603885</v>
      </c>
      <c r="C2020" t="s">
        <v>4346</v>
      </c>
      <c r="D2020" t="s">
        <v>948</v>
      </c>
      <c r="E2020">
        <v>483963410</v>
      </c>
      <c r="F2020">
        <v>723991688</v>
      </c>
      <c r="G2020">
        <v>525821288</v>
      </c>
      <c r="H2020">
        <v>327587645</v>
      </c>
      <c r="I2020">
        <v>266449764</v>
      </c>
      <c r="J2020">
        <v>195911260</v>
      </c>
      <c r="K2020">
        <v>187124928</v>
      </c>
      <c r="L2020">
        <v>0</v>
      </c>
      <c r="M2020">
        <v>0</v>
      </c>
      <c r="P2020">
        <v>475</v>
      </c>
      <c r="Q2020" t="s">
        <v>4347</v>
      </c>
    </row>
    <row r="2021" spans="1:17" x14ac:dyDescent="0.3">
      <c r="A2021" t="s">
        <v>17</v>
      </c>
      <c r="B2021" t="str">
        <f>"600873"</f>
        <v>600873</v>
      </c>
      <c r="C2021" t="s">
        <v>4348</v>
      </c>
      <c r="D2021" t="s">
        <v>1851</v>
      </c>
      <c r="E2021">
        <v>483323672</v>
      </c>
      <c r="F2021">
        <v>466659083</v>
      </c>
      <c r="G2021">
        <v>564011485</v>
      </c>
      <c r="H2021">
        <v>508518073</v>
      </c>
      <c r="I2021">
        <v>486899888</v>
      </c>
      <c r="J2021">
        <v>401990615</v>
      </c>
      <c r="K2021">
        <v>412632537</v>
      </c>
      <c r="L2021">
        <v>441579593</v>
      </c>
      <c r="M2021">
        <v>333765874</v>
      </c>
      <c r="N2021">
        <v>322992275</v>
      </c>
      <c r="O2021">
        <v>356308375</v>
      </c>
      <c r="P2021">
        <v>990</v>
      </c>
      <c r="Q2021" t="s">
        <v>4349</v>
      </c>
    </row>
    <row r="2022" spans="1:17" x14ac:dyDescent="0.3">
      <c r="A2022" t="s">
        <v>73</v>
      </c>
      <c r="B2022" t="str">
        <f>"002102"</f>
        <v>002102</v>
      </c>
      <c r="C2022" t="s">
        <v>4350</v>
      </c>
      <c r="D2022" t="s">
        <v>908</v>
      </c>
      <c r="E2022">
        <v>482173889</v>
      </c>
      <c r="F2022">
        <v>367639234</v>
      </c>
      <c r="G2022">
        <v>413108412</v>
      </c>
      <c r="H2022">
        <v>819746192</v>
      </c>
      <c r="I2022">
        <v>746019794</v>
      </c>
      <c r="J2022">
        <v>359204105</v>
      </c>
      <c r="K2022">
        <v>289350623</v>
      </c>
      <c r="L2022">
        <v>298238106</v>
      </c>
      <c r="M2022">
        <v>153173437</v>
      </c>
      <c r="N2022">
        <v>131923758</v>
      </c>
      <c r="O2022">
        <v>162561629</v>
      </c>
      <c r="P2022">
        <v>119</v>
      </c>
      <c r="Q2022" t="s">
        <v>4351</v>
      </c>
    </row>
    <row r="2023" spans="1:17" x14ac:dyDescent="0.3">
      <c r="A2023" t="s">
        <v>73</v>
      </c>
      <c r="B2023" t="str">
        <f>"002823"</f>
        <v>002823</v>
      </c>
      <c r="C2023" t="s">
        <v>4352</v>
      </c>
      <c r="D2023" t="s">
        <v>689</v>
      </c>
      <c r="E2023">
        <v>481811593</v>
      </c>
      <c r="F2023">
        <v>502046347</v>
      </c>
      <c r="G2023">
        <v>391097478</v>
      </c>
      <c r="H2023">
        <v>370311042</v>
      </c>
      <c r="I2023">
        <v>309994534</v>
      </c>
      <c r="J2023">
        <v>255195726</v>
      </c>
      <c r="P2023">
        <v>158</v>
      </c>
      <c r="Q2023" t="s">
        <v>4353</v>
      </c>
    </row>
    <row r="2024" spans="1:17" x14ac:dyDescent="0.3">
      <c r="A2024" t="s">
        <v>73</v>
      </c>
      <c r="B2024" t="str">
        <f>"000913"</f>
        <v>000913</v>
      </c>
      <c r="C2024" t="s">
        <v>4354</v>
      </c>
      <c r="D2024" t="s">
        <v>1324</v>
      </c>
      <c r="E2024">
        <v>481278363</v>
      </c>
      <c r="F2024">
        <v>378669519</v>
      </c>
      <c r="G2024">
        <v>453462861</v>
      </c>
      <c r="H2024">
        <v>565168435</v>
      </c>
      <c r="I2024">
        <v>688839591</v>
      </c>
      <c r="J2024">
        <v>503715686</v>
      </c>
      <c r="K2024">
        <v>588073721</v>
      </c>
      <c r="L2024">
        <v>752874202</v>
      </c>
      <c r="M2024">
        <v>1155940071</v>
      </c>
      <c r="N2024">
        <v>676940414</v>
      </c>
      <c r="O2024">
        <v>731728420</v>
      </c>
      <c r="P2024">
        <v>176</v>
      </c>
      <c r="Q2024" t="s">
        <v>4355</v>
      </c>
    </row>
    <row r="2025" spans="1:17" x14ac:dyDescent="0.3">
      <c r="A2025" t="s">
        <v>73</v>
      </c>
      <c r="B2025" t="str">
        <f>"301109"</f>
        <v>301109</v>
      </c>
      <c r="C2025" t="s">
        <v>4356</v>
      </c>
      <c r="E2025">
        <v>481168762</v>
      </c>
      <c r="P2025">
        <v>3</v>
      </c>
      <c r="Q2025" t="s">
        <v>4357</v>
      </c>
    </row>
    <row r="2026" spans="1:17" x14ac:dyDescent="0.3">
      <c r="A2026" t="s">
        <v>73</v>
      </c>
      <c r="B2026" t="str">
        <f>"300205"</f>
        <v>300205</v>
      </c>
      <c r="C2026" t="s">
        <v>4358</v>
      </c>
      <c r="D2026" t="s">
        <v>332</v>
      </c>
      <c r="E2026">
        <v>480495030</v>
      </c>
      <c r="F2026">
        <v>755555333</v>
      </c>
      <c r="G2026">
        <v>856165133</v>
      </c>
      <c r="H2026">
        <v>883696239</v>
      </c>
      <c r="I2026">
        <v>740205972</v>
      </c>
      <c r="J2026">
        <v>741660013</v>
      </c>
      <c r="K2026">
        <v>690689994</v>
      </c>
      <c r="L2026">
        <v>720091516</v>
      </c>
      <c r="M2026">
        <v>698721382</v>
      </c>
      <c r="N2026">
        <v>489803877</v>
      </c>
      <c r="O2026">
        <v>340925179</v>
      </c>
      <c r="P2026">
        <v>222</v>
      </c>
      <c r="Q2026" t="s">
        <v>4359</v>
      </c>
    </row>
    <row r="2027" spans="1:17" x14ac:dyDescent="0.3">
      <c r="A2027" t="s">
        <v>73</v>
      </c>
      <c r="B2027" t="str">
        <f>"002610"</f>
        <v>002610</v>
      </c>
      <c r="C2027" t="s">
        <v>4360</v>
      </c>
      <c r="D2027" t="s">
        <v>919</v>
      </c>
      <c r="E2027">
        <v>480421764</v>
      </c>
      <c r="F2027">
        <v>499284369</v>
      </c>
      <c r="G2027">
        <v>1572747522</v>
      </c>
      <c r="H2027">
        <v>1871713539</v>
      </c>
      <c r="I2027">
        <v>1943754191</v>
      </c>
      <c r="J2027">
        <v>1792940951</v>
      </c>
      <c r="K2027">
        <v>1369797279</v>
      </c>
      <c r="L2027">
        <v>1330684591</v>
      </c>
      <c r="M2027">
        <v>742491124</v>
      </c>
      <c r="N2027">
        <v>343008359</v>
      </c>
      <c r="O2027">
        <v>242168047</v>
      </c>
      <c r="P2027">
        <v>301</v>
      </c>
      <c r="Q2027" t="s">
        <v>4361</v>
      </c>
    </row>
    <row r="2028" spans="1:17" x14ac:dyDescent="0.3">
      <c r="A2028" t="s">
        <v>73</v>
      </c>
      <c r="B2028" t="str">
        <f>"300242"</f>
        <v>300242</v>
      </c>
      <c r="C2028" t="s">
        <v>4362</v>
      </c>
      <c r="D2028" t="s">
        <v>425</v>
      </c>
      <c r="E2028">
        <v>480192975</v>
      </c>
      <c r="F2028">
        <v>1289988877</v>
      </c>
      <c r="G2028">
        <v>1365045589</v>
      </c>
      <c r="H2028">
        <v>931845836</v>
      </c>
      <c r="I2028">
        <v>974171860</v>
      </c>
      <c r="J2028">
        <v>678152225</v>
      </c>
      <c r="K2028">
        <v>506929240</v>
      </c>
      <c r="L2028">
        <v>187414357</v>
      </c>
      <c r="M2028">
        <v>45668460</v>
      </c>
      <c r="N2028">
        <v>30676459</v>
      </c>
      <c r="O2028">
        <v>40685659</v>
      </c>
      <c r="P2028">
        <v>95</v>
      </c>
      <c r="Q2028" t="s">
        <v>4363</v>
      </c>
    </row>
    <row r="2029" spans="1:17" x14ac:dyDescent="0.3">
      <c r="A2029" t="s">
        <v>17</v>
      </c>
      <c r="B2029" t="str">
        <f>"603877"</f>
        <v>603877</v>
      </c>
      <c r="C2029" t="s">
        <v>4364</v>
      </c>
      <c r="D2029" t="s">
        <v>991</v>
      </c>
      <c r="E2029">
        <v>480181845</v>
      </c>
      <c r="F2029">
        <v>617786901</v>
      </c>
      <c r="G2029">
        <v>487841488</v>
      </c>
      <c r="H2029">
        <v>418013247</v>
      </c>
      <c r="I2029">
        <v>409033480</v>
      </c>
      <c r="J2029">
        <v>272014470</v>
      </c>
      <c r="P2029">
        <v>364</v>
      </c>
      <c r="Q2029" t="s">
        <v>4365</v>
      </c>
    </row>
    <row r="2030" spans="1:17" x14ac:dyDescent="0.3">
      <c r="A2030" t="s">
        <v>17</v>
      </c>
      <c r="B2030" t="str">
        <f>"601918"</f>
        <v>601918</v>
      </c>
      <c r="C2030" t="s">
        <v>4366</v>
      </c>
      <c r="D2030" t="s">
        <v>218</v>
      </c>
      <c r="E2030">
        <v>479901026</v>
      </c>
      <c r="F2030">
        <v>471862908</v>
      </c>
      <c r="G2030">
        <v>429094367</v>
      </c>
      <c r="H2030">
        <v>396061598</v>
      </c>
      <c r="I2030">
        <v>514824084</v>
      </c>
      <c r="J2030">
        <v>743657814</v>
      </c>
      <c r="K2030">
        <v>624728726</v>
      </c>
      <c r="L2030">
        <v>636491580</v>
      </c>
      <c r="M2030">
        <v>814218973</v>
      </c>
      <c r="N2030">
        <v>751801754</v>
      </c>
      <c r="O2030">
        <v>310074014</v>
      </c>
      <c r="P2030">
        <v>237</v>
      </c>
      <c r="Q2030" t="s">
        <v>4367</v>
      </c>
    </row>
    <row r="2031" spans="1:17" x14ac:dyDescent="0.3">
      <c r="A2031" t="s">
        <v>17</v>
      </c>
      <c r="B2031" t="str">
        <f>"601099"</f>
        <v>601099</v>
      </c>
      <c r="C2031" t="s">
        <v>4368</v>
      </c>
      <c r="D2031" t="s">
        <v>53</v>
      </c>
      <c r="E2031">
        <v>479673670</v>
      </c>
      <c r="F2031">
        <v>633072197</v>
      </c>
      <c r="G2031">
        <v>633753476</v>
      </c>
      <c r="H2031">
        <v>111882166</v>
      </c>
      <c r="I2031">
        <v>114800245</v>
      </c>
      <c r="J2031">
        <v>77011008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738</v>
      </c>
      <c r="Q2031" t="s">
        <v>4369</v>
      </c>
    </row>
    <row r="2032" spans="1:17" x14ac:dyDescent="0.3">
      <c r="A2032" t="s">
        <v>73</v>
      </c>
      <c r="B2032" t="str">
        <f>"002783"</f>
        <v>002783</v>
      </c>
      <c r="C2032" t="s">
        <v>4370</v>
      </c>
      <c r="D2032" t="s">
        <v>484</v>
      </c>
      <c r="E2032">
        <v>479660906</v>
      </c>
      <c r="F2032">
        <v>434866434</v>
      </c>
      <c r="G2032">
        <v>247452255</v>
      </c>
      <c r="H2032">
        <v>276293202</v>
      </c>
      <c r="I2032">
        <v>224384963</v>
      </c>
      <c r="J2032">
        <v>221944152</v>
      </c>
      <c r="K2032">
        <v>137951523</v>
      </c>
      <c r="L2032">
        <v>0</v>
      </c>
      <c r="M2032">
        <v>0</v>
      </c>
      <c r="P2032">
        <v>112</v>
      </c>
      <c r="Q2032" t="s">
        <v>4371</v>
      </c>
    </row>
    <row r="2033" spans="1:17" x14ac:dyDescent="0.3">
      <c r="A2033" t="s">
        <v>17</v>
      </c>
      <c r="B2033" t="str">
        <f>"600982"</f>
        <v>600982</v>
      </c>
      <c r="C2033" t="s">
        <v>4372</v>
      </c>
      <c r="D2033" t="s">
        <v>1106</v>
      </c>
      <c r="E2033">
        <v>479160252</v>
      </c>
      <c r="F2033">
        <v>196874067</v>
      </c>
      <c r="G2033">
        <v>166371993</v>
      </c>
      <c r="H2033">
        <v>145387431</v>
      </c>
      <c r="I2033">
        <v>110853355</v>
      </c>
      <c r="J2033">
        <v>109565879</v>
      </c>
      <c r="K2033">
        <v>48043162</v>
      </c>
      <c r="L2033">
        <v>47218295</v>
      </c>
      <c r="M2033">
        <v>53330271</v>
      </c>
      <c r="N2033">
        <v>39158520</v>
      </c>
      <c r="O2033">
        <v>56163317</v>
      </c>
      <c r="P2033">
        <v>135</v>
      </c>
      <c r="Q2033" t="s">
        <v>4373</v>
      </c>
    </row>
    <row r="2034" spans="1:17" x14ac:dyDescent="0.3">
      <c r="A2034" t="s">
        <v>73</v>
      </c>
      <c r="B2034" t="str">
        <f>"300884"</f>
        <v>300884</v>
      </c>
      <c r="C2034" t="s">
        <v>4374</v>
      </c>
      <c r="D2034" t="s">
        <v>119</v>
      </c>
      <c r="E2034">
        <v>478902844</v>
      </c>
      <c r="F2034">
        <v>354287963</v>
      </c>
      <c r="G2034">
        <v>290333872</v>
      </c>
      <c r="H2034">
        <v>207704174</v>
      </c>
      <c r="P2034">
        <v>68</v>
      </c>
      <c r="Q2034" t="s">
        <v>4375</v>
      </c>
    </row>
    <row r="2035" spans="1:17" x14ac:dyDescent="0.3">
      <c r="A2035" t="s">
        <v>73</v>
      </c>
      <c r="B2035" t="str">
        <f>"300251"</f>
        <v>300251</v>
      </c>
      <c r="C2035" t="s">
        <v>4376</v>
      </c>
      <c r="D2035" t="s">
        <v>1306</v>
      </c>
      <c r="E2035">
        <v>478360891</v>
      </c>
      <c r="F2035">
        <v>549745369</v>
      </c>
      <c r="G2035">
        <v>357543950</v>
      </c>
      <c r="H2035">
        <v>1155888330</v>
      </c>
      <c r="I2035">
        <v>580221505</v>
      </c>
      <c r="J2035">
        <v>462053867</v>
      </c>
      <c r="K2035">
        <v>959559152</v>
      </c>
      <c r="L2035">
        <v>677420064</v>
      </c>
      <c r="M2035">
        <v>555263235</v>
      </c>
      <c r="N2035">
        <v>558953219</v>
      </c>
      <c r="O2035">
        <v>244722066</v>
      </c>
      <c r="P2035">
        <v>807</v>
      </c>
      <c r="Q2035" t="s">
        <v>4377</v>
      </c>
    </row>
    <row r="2036" spans="1:17" x14ac:dyDescent="0.3">
      <c r="A2036" t="s">
        <v>73</v>
      </c>
      <c r="B2036" t="str">
        <f>"300659"</f>
        <v>300659</v>
      </c>
      <c r="C2036" t="s">
        <v>4378</v>
      </c>
      <c r="D2036" t="s">
        <v>158</v>
      </c>
      <c r="E2036">
        <v>477834268</v>
      </c>
      <c r="F2036">
        <v>366521634</v>
      </c>
      <c r="G2036">
        <v>205552608</v>
      </c>
      <c r="H2036">
        <v>159342705</v>
      </c>
      <c r="I2036">
        <v>116882107</v>
      </c>
      <c r="J2036">
        <v>62326658</v>
      </c>
      <c r="K2036">
        <v>0</v>
      </c>
      <c r="P2036">
        <v>272</v>
      </c>
      <c r="Q2036" t="s">
        <v>4379</v>
      </c>
    </row>
    <row r="2037" spans="1:17" x14ac:dyDescent="0.3">
      <c r="A2037" t="s">
        <v>73</v>
      </c>
      <c r="B2037" t="str">
        <f>"002404"</f>
        <v>002404</v>
      </c>
      <c r="C2037" t="s">
        <v>4380</v>
      </c>
      <c r="D2037" t="s">
        <v>3204</v>
      </c>
      <c r="E2037">
        <v>477685862</v>
      </c>
      <c r="F2037">
        <v>327074405</v>
      </c>
      <c r="G2037">
        <v>338544691</v>
      </c>
      <c r="H2037">
        <v>396202852</v>
      </c>
      <c r="I2037">
        <v>261364438</v>
      </c>
      <c r="J2037">
        <v>283795342</v>
      </c>
      <c r="K2037">
        <v>287293376</v>
      </c>
      <c r="L2037">
        <v>233708409</v>
      </c>
      <c r="M2037">
        <v>214174451</v>
      </c>
      <c r="N2037">
        <v>196040314</v>
      </c>
      <c r="O2037">
        <v>159442335</v>
      </c>
      <c r="P2037">
        <v>108</v>
      </c>
      <c r="Q2037" t="s">
        <v>4381</v>
      </c>
    </row>
    <row r="2038" spans="1:17" x14ac:dyDescent="0.3">
      <c r="A2038" t="s">
        <v>73</v>
      </c>
      <c r="B2038" t="str">
        <f>"002278"</f>
        <v>002278</v>
      </c>
      <c r="C2038" t="s">
        <v>4382</v>
      </c>
      <c r="D2038" t="s">
        <v>311</v>
      </c>
      <c r="E2038">
        <v>477110158</v>
      </c>
      <c r="F2038">
        <v>334937113</v>
      </c>
      <c r="G2038">
        <v>410271757</v>
      </c>
      <c r="H2038">
        <v>440214248</v>
      </c>
      <c r="I2038">
        <v>415033036</v>
      </c>
      <c r="J2038">
        <v>454165658</v>
      </c>
      <c r="K2038">
        <v>539053663</v>
      </c>
      <c r="L2038">
        <v>527469636</v>
      </c>
      <c r="M2038">
        <v>476744363</v>
      </c>
      <c r="N2038">
        <v>480748146</v>
      </c>
      <c r="O2038">
        <v>362877469</v>
      </c>
      <c r="P2038">
        <v>57</v>
      </c>
      <c r="Q2038" t="s">
        <v>4383</v>
      </c>
    </row>
    <row r="2039" spans="1:17" x14ac:dyDescent="0.3">
      <c r="A2039" t="s">
        <v>17</v>
      </c>
      <c r="B2039" t="str">
        <f>"601168"</f>
        <v>601168</v>
      </c>
      <c r="C2039" t="s">
        <v>4384</v>
      </c>
      <c r="D2039" t="s">
        <v>452</v>
      </c>
      <c r="E2039">
        <v>476730126</v>
      </c>
      <c r="F2039">
        <v>199403885</v>
      </c>
      <c r="G2039">
        <v>204968978</v>
      </c>
      <c r="H2039">
        <v>285675894</v>
      </c>
      <c r="I2039">
        <v>772983</v>
      </c>
      <c r="J2039">
        <v>19357394</v>
      </c>
      <c r="K2039">
        <v>101032446</v>
      </c>
      <c r="L2039">
        <v>535538409</v>
      </c>
      <c r="M2039">
        <v>1963087401</v>
      </c>
      <c r="N2039">
        <v>2428835577</v>
      </c>
      <c r="O2039">
        <v>2670578643</v>
      </c>
      <c r="P2039">
        <v>392</v>
      </c>
      <c r="Q2039" t="s">
        <v>4385</v>
      </c>
    </row>
    <row r="2040" spans="1:17" x14ac:dyDescent="0.3">
      <c r="A2040" t="s">
        <v>73</v>
      </c>
      <c r="B2040" t="str">
        <f>"301085"</f>
        <v>301085</v>
      </c>
      <c r="C2040" t="s">
        <v>4386</v>
      </c>
      <c r="D2040" t="s">
        <v>302</v>
      </c>
      <c r="E2040">
        <v>475538755</v>
      </c>
      <c r="P2040">
        <v>16</v>
      </c>
      <c r="Q2040" t="s">
        <v>4387</v>
      </c>
    </row>
    <row r="2041" spans="1:17" x14ac:dyDescent="0.3">
      <c r="A2041" t="s">
        <v>73</v>
      </c>
      <c r="B2041" t="str">
        <f>"300025"</f>
        <v>300025</v>
      </c>
      <c r="C2041" t="s">
        <v>4388</v>
      </c>
      <c r="D2041" t="s">
        <v>853</v>
      </c>
      <c r="E2041">
        <v>475528449</v>
      </c>
      <c r="F2041">
        <v>559242583</v>
      </c>
      <c r="G2041">
        <v>911559339</v>
      </c>
      <c r="H2041">
        <v>1065175657</v>
      </c>
      <c r="I2041">
        <v>1387975441</v>
      </c>
      <c r="J2041">
        <v>1485434184</v>
      </c>
      <c r="K2041">
        <v>1307839085</v>
      </c>
      <c r="L2041">
        <v>1128753782</v>
      </c>
      <c r="M2041">
        <v>788696697</v>
      </c>
      <c r="N2041">
        <v>542154634</v>
      </c>
      <c r="O2041">
        <v>454113380</v>
      </c>
      <c r="P2041">
        <v>223</v>
      </c>
      <c r="Q2041" t="s">
        <v>4389</v>
      </c>
    </row>
    <row r="2042" spans="1:17" x14ac:dyDescent="0.3">
      <c r="A2042" t="s">
        <v>73</v>
      </c>
      <c r="B2042" t="str">
        <f>"300645"</f>
        <v>300645</v>
      </c>
      <c r="C2042" t="s">
        <v>4390</v>
      </c>
      <c r="D2042" t="s">
        <v>158</v>
      </c>
      <c r="E2042">
        <v>475310636</v>
      </c>
      <c r="F2042">
        <v>377486364</v>
      </c>
      <c r="G2042">
        <v>347849165</v>
      </c>
      <c r="H2042">
        <v>329041535</v>
      </c>
      <c r="I2042">
        <v>272400366</v>
      </c>
      <c r="J2042">
        <v>211082313</v>
      </c>
      <c r="K2042">
        <v>0</v>
      </c>
      <c r="P2042">
        <v>111</v>
      </c>
      <c r="Q2042" t="s">
        <v>4391</v>
      </c>
    </row>
    <row r="2043" spans="1:17" x14ac:dyDescent="0.3">
      <c r="A2043" t="s">
        <v>17</v>
      </c>
      <c r="B2043" t="str">
        <f>"688728"</f>
        <v>688728</v>
      </c>
      <c r="C2043" t="s">
        <v>4392</v>
      </c>
      <c r="D2043" t="s">
        <v>890</v>
      </c>
      <c r="E2043">
        <v>474529636</v>
      </c>
      <c r="F2043">
        <v>476969836</v>
      </c>
      <c r="G2043">
        <v>461592269</v>
      </c>
      <c r="P2043">
        <v>58</v>
      </c>
      <c r="Q2043" t="s">
        <v>4393</v>
      </c>
    </row>
    <row r="2044" spans="1:17" x14ac:dyDescent="0.3">
      <c r="A2044" t="s">
        <v>17</v>
      </c>
      <c r="B2044" t="str">
        <f>"600846"</f>
        <v>600846</v>
      </c>
      <c r="C2044" t="s">
        <v>4394</v>
      </c>
      <c r="D2044" t="s">
        <v>27</v>
      </c>
      <c r="E2044">
        <v>474317287</v>
      </c>
      <c r="F2044">
        <v>436146481</v>
      </c>
      <c r="G2044">
        <v>396478382</v>
      </c>
      <c r="H2044">
        <v>477203448</v>
      </c>
      <c r="I2044">
        <v>265036153</v>
      </c>
      <c r="J2044">
        <v>249872935</v>
      </c>
      <c r="K2044">
        <v>174369769</v>
      </c>
      <c r="L2044">
        <v>185942473</v>
      </c>
      <c r="M2044">
        <v>207767354</v>
      </c>
      <c r="N2044">
        <v>206267475</v>
      </c>
      <c r="O2044">
        <v>188822753</v>
      </c>
      <c r="P2044">
        <v>357</v>
      </c>
      <c r="Q2044" t="s">
        <v>4395</v>
      </c>
    </row>
    <row r="2045" spans="1:17" x14ac:dyDescent="0.3">
      <c r="A2045" t="s">
        <v>17</v>
      </c>
      <c r="B2045" t="str">
        <f>"600508"</f>
        <v>600508</v>
      </c>
      <c r="C2045" t="s">
        <v>4396</v>
      </c>
      <c r="D2045" t="s">
        <v>492</v>
      </c>
      <c r="E2045">
        <v>474176014</v>
      </c>
      <c r="F2045">
        <v>449372804</v>
      </c>
      <c r="G2045">
        <v>428667164</v>
      </c>
      <c r="H2045">
        <v>348447272</v>
      </c>
      <c r="I2045">
        <v>258507913</v>
      </c>
      <c r="J2045">
        <v>346559598</v>
      </c>
      <c r="K2045">
        <v>921546640</v>
      </c>
      <c r="L2045">
        <v>648917110</v>
      </c>
      <c r="M2045">
        <v>458779813</v>
      </c>
      <c r="N2045">
        <v>390304864</v>
      </c>
      <c r="O2045">
        <v>272188835</v>
      </c>
      <c r="P2045">
        <v>267</v>
      </c>
      <c r="Q2045" t="s">
        <v>4397</v>
      </c>
    </row>
    <row r="2046" spans="1:17" x14ac:dyDescent="0.3">
      <c r="A2046" t="s">
        <v>17</v>
      </c>
      <c r="B2046" t="str">
        <f>"600864"</f>
        <v>600864</v>
      </c>
      <c r="C2046" t="s">
        <v>4398</v>
      </c>
      <c r="D2046" t="s">
        <v>53</v>
      </c>
      <c r="E2046">
        <v>474062451</v>
      </c>
      <c r="F2046">
        <v>112982162</v>
      </c>
      <c r="G2046">
        <v>185505101</v>
      </c>
      <c r="H2046">
        <v>544965009</v>
      </c>
      <c r="I2046">
        <v>272086070</v>
      </c>
      <c r="J2046">
        <v>53719853</v>
      </c>
      <c r="K2046">
        <v>46886766</v>
      </c>
      <c r="L2046">
        <v>74530004</v>
      </c>
      <c r="M2046">
        <v>53035444</v>
      </c>
      <c r="N2046">
        <v>44555459</v>
      </c>
      <c r="O2046">
        <v>31272613</v>
      </c>
      <c r="P2046">
        <v>412</v>
      </c>
      <c r="Q2046" t="s">
        <v>4399</v>
      </c>
    </row>
    <row r="2047" spans="1:17" x14ac:dyDescent="0.3">
      <c r="A2047" t="s">
        <v>17</v>
      </c>
      <c r="B2047" t="str">
        <f>"600399"</f>
        <v>600399</v>
      </c>
      <c r="C2047" t="s">
        <v>4400</v>
      </c>
      <c r="D2047" t="s">
        <v>928</v>
      </c>
      <c r="E2047">
        <v>474012032</v>
      </c>
      <c r="F2047">
        <v>638015418</v>
      </c>
      <c r="G2047">
        <v>695665230</v>
      </c>
      <c r="H2047">
        <v>853995915</v>
      </c>
      <c r="I2047">
        <v>650546181</v>
      </c>
      <c r="J2047">
        <v>1274949453</v>
      </c>
      <c r="K2047">
        <v>1368309218</v>
      </c>
      <c r="L2047">
        <v>1054405243</v>
      </c>
      <c r="M2047">
        <v>1272162970</v>
      </c>
      <c r="N2047">
        <v>956655289</v>
      </c>
      <c r="O2047">
        <v>891444925</v>
      </c>
      <c r="P2047">
        <v>256</v>
      </c>
      <c r="Q2047" t="s">
        <v>4401</v>
      </c>
    </row>
    <row r="2048" spans="1:17" x14ac:dyDescent="0.3">
      <c r="A2048" t="s">
        <v>73</v>
      </c>
      <c r="B2048" t="str">
        <f>"002366"</f>
        <v>002366</v>
      </c>
      <c r="C2048" t="s">
        <v>4402</v>
      </c>
      <c r="D2048" t="s">
        <v>747</v>
      </c>
      <c r="E2048">
        <v>473914793</v>
      </c>
      <c r="F2048">
        <v>763423519</v>
      </c>
      <c r="G2048">
        <v>952034894</v>
      </c>
      <c r="H2048">
        <v>1258506764</v>
      </c>
      <c r="I2048">
        <v>814558671</v>
      </c>
      <c r="J2048">
        <v>587816971</v>
      </c>
      <c r="K2048">
        <v>142336216</v>
      </c>
      <c r="L2048">
        <v>123321978</v>
      </c>
      <c r="M2048">
        <v>132143849</v>
      </c>
      <c r="N2048">
        <v>123507523</v>
      </c>
      <c r="O2048">
        <v>109679027</v>
      </c>
      <c r="P2048">
        <v>175</v>
      </c>
      <c r="Q2048" t="s">
        <v>4403</v>
      </c>
    </row>
    <row r="2049" spans="1:17" x14ac:dyDescent="0.3">
      <c r="A2049" t="s">
        <v>17</v>
      </c>
      <c r="B2049" t="str">
        <f>"603933"</f>
        <v>603933</v>
      </c>
      <c r="C2049" t="s">
        <v>4404</v>
      </c>
      <c r="D2049" t="s">
        <v>651</v>
      </c>
      <c r="E2049">
        <v>473665786</v>
      </c>
      <c r="F2049">
        <v>441846069</v>
      </c>
      <c r="G2049">
        <v>319678927</v>
      </c>
      <c r="H2049">
        <v>315258885</v>
      </c>
      <c r="I2049">
        <v>296158862</v>
      </c>
      <c r="J2049">
        <v>238324401</v>
      </c>
      <c r="P2049">
        <v>122</v>
      </c>
      <c r="Q2049" t="s">
        <v>4405</v>
      </c>
    </row>
    <row r="2050" spans="1:17" x14ac:dyDescent="0.3">
      <c r="A2050" t="s">
        <v>17</v>
      </c>
      <c r="B2050" t="str">
        <f>"688165"</f>
        <v>688165</v>
      </c>
      <c r="C2050" t="s">
        <v>4406</v>
      </c>
      <c r="D2050" t="s">
        <v>2121</v>
      </c>
      <c r="E2050">
        <v>473588904</v>
      </c>
      <c r="F2050">
        <v>485655139</v>
      </c>
      <c r="G2050">
        <v>487192461</v>
      </c>
      <c r="P2050">
        <v>64</v>
      </c>
      <c r="Q2050" t="s">
        <v>4407</v>
      </c>
    </row>
    <row r="2051" spans="1:17" x14ac:dyDescent="0.3">
      <c r="A2051" t="s">
        <v>17</v>
      </c>
      <c r="B2051" t="str">
        <f>"600397"</f>
        <v>600397</v>
      </c>
      <c r="C2051" t="s">
        <v>4408</v>
      </c>
      <c r="D2051" t="s">
        <v>218</v>
      </c>
      <c r="E2051">
        <v>473533667</v>
      </c>
      <c r="F2051">
        <v>460486360</v>
      </c>
      <c r="G2051">
        <v>774897339</v>
      </c>
      <c r="H2051">
        <v>684774732</v>
      </c>
      <c r="I2051">
        <v>609972244</v>
      </c>
      <c r="J2051">
        <v>708247362</v>
      </c>
      <c r="K2051">
        <v>1272522794</v>
      </c>
      <c r="L2051">
        <v>1374626277</v>
      </c>
      <c r="M2051">
        <v>1340763759</v>
      </c>
      <c r="N2051">
        <v>1403790701</v>
      </c>
      <c r="O2051">
        <v>1394005407</v>
      </c>
      <c r="P2051">
        <v>91</v>
      </c>
      <c r="Q2051" t="s">
        <v>4409</v>
      </c>
    </row>
    <row r="2052" spans="1:17" x14ac:dyDescent="0.3">
      <c r="A2052" t="s">
        <v>73</v>
      </c>
      <c r="B2052" t="str">
        <f>"300290"</f>
        <v>300290</v>
      </c>
      <c r="C2052" t="s">
        <v>4410</v>
      </c>
      <c r="D2052" t="s">
        <v>302</v>
      </c>
      <c r="E2052">
        <v>472994641</v>
      </c>
      <c r="F2052">
        <v>536859102</v>
      </c>
      <c r="G2052">
        <v>548250109</v>
      </c>
      <c r="H2052">
        <v>532185922</v>
      </c>
      <c r="I2052">
        <v>470329190</v>
      </c>
      <c r="J2052">
        <v>489653592</v>
      </c>
      <c r="K2052">
        <v>416181854</v>
      </c>
      <c r="L2052">
        <v>354072297</v>
      </c>
      <c r="M2052">
        <v>255977466</v>
      </c>
      <c r="N2052">
        <v>125211115</v>
      </c>
      <c r="O2052">
        <v>77548976</v>
      </c>
      <c r="P2052">
        <v>113</v>
      </c>
      <c r="Q2052" t="s">
        <v>4411</v>
      </c>
    </row>
    <row r="2053" spans="1:17" x14ac:dyDescent="0.3">
      <c r="A2053" t="s">
        <v>17</v>
      </c>
      <c r="B2053" t="str">
        <f>"603610"</f>
        <v>603610</v>
      </c>
      <c r="C2053" t="s">
        <v>4412</v>
      </c>
      <c r="D2053" t="s">
        <v>1111</v>
      </c>
      <c r="E2053">
        <v>472780746</v>
      </c>
      <c r="F2053">
        <v>389704474</v>
      </c>
      <c r="G2053">
        <v>259094328</v>
      </c>
      <c r="H2053">
        <v>231955576</v>
      </c>
      <c r="P2053">
        <v>230</v>
      </c>
      <c r="Q2053" t="s">
        <v>4413</v>
      </c>
    </row>
    <row r="2054" spans="1:17" x14ac:dyDescent="0.3">
      <c r="A2054" t="s">
        <v>17</v>
      </c>
      <c r="B2054" t="str">
        <f>"688516"</f>
        <v>688516</v>
      </c>
      <c r="C2054" t="s">
        <v>4414</v>
      </c>
      <c r="D2054" t="s">
        <v>1484</v>
      </c>
      <c r="E2054">
        <v>472462665</v>
      </c>
      <c r="F2054">
        <v>307843387</v>
      </c>
      <c r="G2054">
        <v>277562611</v>
      </c>
      <c r="H2054">
        <v>0</v>
      </c>
      <c r="P2054">
        <v>152</v>
      </c>
      <c r="Q2054" t="s">
        <v>4415</v>
      </c>
    </row>
    <row r="2055" spans="1:17" x14ac:dyDescent="0.3">
      <c r="A2055" t="s">
        <v>17</v>
      </c>
      <c r="B2055" t="str">
        <f>"688538"</f>
        <v>688538</v>
      </c>
      <c r="C2055" t="s">
        <v>4416</v>
      </c>
      <c r="D2055" t="s">
        <v>97</v>
      </c>
      <c r="E2055">
        <v>472355043</v>
      </c>
      <c r="F2055">
        <v>223567992</v>
      </c>
      <c r="P2055">
        <v>37</v>
      </c>
      <c r="Q2055" t="s">
        <v>4417</v>
      </c>
    </row>
    <row r="2056" spans="1:17" x14ac:dyDescent="0.3">
      <c r="A2056" t="s">
        <v>17</v>
      </c>
      <c r="B2056" t="str">
        <f>"688158"</f>
        <v>688158</v>
      </c>
      <c r="C2056" t="s">
        <v>4418</v>
      </c>
      <c r="D2056" t="s">
        <v>302</v>
      </c>
      <c r="E2056">
        <v>472332518</v>
      </c>
      <c r="F2056">
        <v>514541743</v>
      </c>
      <c r="G2056">
        <v>300613079</v>
      </c>
      <c r="P2056">
        <v>104</v>
      </c>
      <c r="Q2056" t="s">
        <v>4419</v>
      </c>
    </row>
    <row r="2057" spans="1:17" x14ac:dyDescent="0.3">
      <c r="A2057" t="s">
        <v>17</v>
      </c>
      <c r="B2057" t="str">
        <f>"688586"</f>
        <v>688586</v>
      </c>
      <c r="C2057" t="s">
        <v>4420</v>
      </c>
      <c r="D2057" t="s">
        <v>130</v>
      </c>
      <c r="E2057">
        <v>472083386</v>
      </c>
      <c r="F2057">
        <v>454184826</v>
      </c>
      <c r="G2057">
        <v>336542174</v>
      </c>
      <c r="P2057">
        <v>70</v>
      </c>
      <c r="Q2057" t="s">
        <v>4421</v>
      </c>
    </row>
    <row r="2058" spans="1:17" x14ac:dyDescent="0.3">
      <c r="A2058" t="s">
        <v>73</v>
      </c>
      <c r="B2058" t="str">
        <f>"300370"</f>
        <v>300370</v>
      </c>
      <c r="C2058" t="s">
        <v>4422</v>
      </c>
      <c r="D2058" t="s">
        <v>2280</v>
      </c>
      <c r="E2058">
        <v>471342993</v>
      </c>
      <c r="F2058">
        <v>515684330</v>
      </c>
      <c r="G2058">
        <v>647352346</v>
      </c>
      <c r="H2058">
        <v>1039143232</v>
      </c>
      <c r="I2058">
        <v>1085897680</v>
      </c>
      <c r="J2058">
        <v>579278817</v>
      </c>
      <c r="K2058">
        <v>417411064</v>
      </c>
      <c r="L2058">
        <v>267174672</v>
      </c>
      <c r="M2058">
        <v>222674694</v>
      </c>
      <c r="N2058">
        <v>0</v>
      </c>
      <c r="P2058">
        <v>103</v>
      </c>
      <c r="Q2058" t="s">
        <v>4423</v>
      </c>
    </row>
    <row r="2059" spans="1:17" x14ac:dyDescent="0.3">
      <c r="A2059" t="s">
        <v>73</v>
      </c>
      <c r="B2059" t="str">
        <f>"002294"</f>
        <v>002294</v>
      </c>
      <c r="C2059" t="s">
        <v>4424</v>
      </c>
      <c r="D2059" t="s">
        <v>348</v>
      </c>
      <c r="E2059">
        <v>469971119</v>
      </c>
      <c r="F2059">
        <v>379585011</v>
      </c>
      <c r="G2059">
        <v>628198433</v>
      </c>
      <c r="H2059">
        <v>677461837</v>
      </c>
      <c r="I2059">
        <v>750901646</v>
      </c>
      <c r="J2059">
        <v>772964819</v>
      </c>
      <c r="K2059">
        <v>860523296</v>
      </c>
      <c r="L2059">
        <v>953677129</v>
      </c>
      <c r="M2059">
        <v>772323656</v>
      </c>
      <c r="N2059">
        <v>644599103</v>
      </c>
      <c r="O2059">
        <v>479807265</v>
      </c>
      <c r="P2059">
        <v>25590</v>
      </c>
      <c r="Q2059" t="s">
        <v>4425</v>
      </c>
    </row>
    <row r="2060" spans="1:17" x14ac:dyDescent="0.3">
      <c r="A2060" t="s">
        <v>17</v>
      </c>
      <c r="B2060" t="str">
        <f>"601177"</f>
        <v>601177</v>
      </c>
      <c r="C2060" t="s">
        <v>4426</v>
      </c>
      <c r="D2060" t="s">
        <v>146</v>
      </c>
      <c r="E2060">
        <v>469397055</v>
      </c>
      <c r="F2060">
        <v>329936295</v>
      </c>
      <c r="G2060">
        <v>366538692</v>
      </c>
      <c r="H2060">
        <v>479408261</v>
      </c>
      <c r="I2060">
        <v>539636563</v>
      </c>
      <c r="J2060">
        <v>585901185</v>
      </c>
      <c r="K2060">
        <v>490649050</v>
      </c>
      <c r="L2060">
        <v>480363120</v>
      </c>
      <c r="M2060">
        <v>364864192</v>
      </c>
      <c r="N2060">
        <v>336781933</v>
      </c>
      <c r="O2060">
        <v>324107705</v>
      </c>
      <c r="P2060">
        <v>74</v>
      </c>
      <c r="Q2060" t="s">
        <v>4427</v>
      </c>
    </row>
    <row r="2061" spans="1:17" x14ac:dyDescent="0.3">
      <c r="A2061" t="s">
        <v>17</v>
      </c>
      <c r="B2061" t="str">
        <f>"600635"</f>
        <v>600635</v>
      </c>
      <c r="C2061" t="s">
        <v>4428</v>
      </c>
      <c r="D2061" t="s">
        <v>469</v>
      </c>
      <c r="E2061">
        <v>469391187</v>
      </c>
      <c r="F2061">
        <v>583016095</v>
      </c>
      <c r="G2061">
        <v>451675606</v>
      </c>
      <c r="H2061">
        <v>487265103</v>
      </c>
      <c r="I2061">
        <v>412874591</v>
      </c>
      <c r="J2061">
        <v>345905538</v>
      </c>
      <c r="K2061">
        <v>391325077</v>
      </c>
      <c r="L2061">
        <v>354317010</v>
      </c>
      <c r="M2061">
        <v>328846390</v>
      </c>
      <c r="N2061">
        <v>304476648</v>
      </c>
      <c r="O2061">
        <v>309842958</v>
      </c>
      <c r="P2061">
        <v>180</v>
      </c>
      <c r="Q2061" t="s">
        <v>4429</v>
      </c>
    </row>
    <row r="2062" spans="1:17" x14ac:dyDescent="0.3">
      <c r="A2062" t="s">
        <v>17</v>
      </c>
      <c r="B2062" t="str">
        <f>"688800"</f>
        <v>688800</v>
      </c>
      <c r="C2062" t="s">
        <v>4430</v>
      </c>
      <c r="D2062" t="s">
        <v>651</v>
      </c>
      <c r="E2062">
        <v>468887633</v>
      </c>
      <c r="F2062">
        <v>222608007</v>
      </c>
      <c r="P2062">
        <v>51</v>
      </c>
      <c r="Q2062" t="s">
        <v>4431</v>
      </c>
    </row>
    <row r="2063" spans="1:17" x14ac:dyDescent="0.3">
      <c r="A2063" t="s">
        <v>17</v>
      </c>
      <c r="B2063" t="str">
        <f>"600523"</f>
        <v>600523</v>
      </c>
      <c r="C2063" t="s">
        <v>4432</v>
      </c>
      <c r="D2063" t="s">
        <v>722</v>
      </c>
      <c r="E2063">
        <v>468823951</v>
      </c>
      <c r="F2063">
        <v>592972333</v>
      </c>
      <c r="G2063">
        <v>588765531</v>
      </c>
      <c r="H2063">
        <v>646666818</v>
      </c>
      <c r="I2063">
        <v>915186387</v>
      </c>
      <c r="J2063">
        <v>997312986</v>
      </c>
      <c r="K2063">
        <v>952656135</v>
      </c>
      <c r="L2063">
        <v>855325801</v>
      </c>
      <c r="M2063">
        <v>722007944</v>
      </c>
      <c r="N2063">
        <v>543737998</v>
      </c>
      <c r="O2063">
        <v>594924116</v>
      </c>
      <c r="P2063">
        <v>96</v>
      </c>
      <c r="Q2063" t="s">
        <v>4433</v>
      </c>
    </row>
    <row r="2064" spans="1:17" x14ac:dyDescent="0.3">
      <c r="A2064" t="s">
        <v>73</v>
      </c>
      <c r="B2064" t="str">
        <f>"300005"</f>
        <v>300005</v>
      </c>
      <c r="C2064" t="s">
        <v>4434</v>
      </c>
      <c r="D2064" t="s">
        <v>4435</v>
      </c>
      <c r="E2064">
        <v>468615765</v>
      </c>
      <c r="F2064">
        <v>346709876</v>
      </c>
      <c r="G2064">
        <v>625610519</v>
      </c>
      <c r="H2064">
        <v>543778432</v>
      </c>
      <c r="I2064">
        <v>377927835</v>
      </c>
      <c r="J2064">
        <v>210979390</v>
      </c>
      <c r="K2064">
        <v>258396109</v>
      </c>
      <c r="L2064">
        <v>123732571</v>
      </c>
      <c r="M2064">
        <v>83929314</v>
      </c>
      <c r="N2064">
        <v>48987905</v>
      </c>
      <c r="O2064">
        <v>13127904</v>
      </c>
      <c r="P2064">
        <v>181</v>
      </c>
      <c r="Q2064" t="s">
        <v>4436</v>
      </c>
    </row>
    <row r="2065" spans="1:17" x14ac:dyDescent="0.3">
      <c r="A2065" t="s">
        <v>73</v>
      </c>
      <c r="B2065" t="str">
        <f>"002730"</f>
        <v>002730</v>
      </c>
      <c r="C2065" t="s">
        <v>4437</v>
      </c>
      <c r="D2065" t="s">
        <v>311</v>
      </c>
      <c r="E2065">
        <v>468149117</v>
      </c>
      <c r="F2065">
        <v>396907015</v>
      </c>
      <c r="G2065">
        <v>468408370</v>
      </c>
      <c r="H2065">
        <v>588835464</v>
      </c>
      <c r="I2065">
        <v>497617182</v>
      </c>
      <c r="J2065">
        <v>432250562</v>
      </c>
      <c r="K2065">
        <v>431956290</v>
      </c>
      <c r="L2065">
        <v>323303621</v>
      </c>
      <c r="M2065">
        <v>0</v>
      </c>
      <c r="P2065">
        <v>82</v>
      </c>
      <c r="Q2065" t="s">
        <v>4438</v>
      </c>
    </row>
    <row r="2066" spans="1:17" x14ac:dyDescent="0.3">
      <c r="A2066" t="s">
        <v>73</v>
      </c>
      <c r="B2066" t="str">
        <f>"300214"</f>
        <v>300214</v>
      </c>
      <c r="C2066" t="s">
        <v>4439</v>
      </c>
      <c r="D2066" t="s">
        <v>3079</v>
      </c>
      <c r="E2066">
        <v>468107533</v>
      </c>
      <c r="F2066">
        <v>410904582</v>
      </c>
      <c r="G2066">
        <v>520176932</v>
      </c>
      <c r="H2066">
        <v>414233220</v>
      </c>
      <c r="I2066">
        <v>226158294</v>
      </c>
      <c r="J2066">
        <v>298536968</v>
      </c>
      <c r="K2066">
        <v>294729516</v>
      </c>
      <c r="L2066">
        <v>274589964</v>
      </c>
      <c r="M2066">
        <v>199694761</v>
      </c>
      <c r="N2066">
        <v>189243144</v>
      </c>
      <c r="O2066">
        <v>160897818</v>
      </c>
      <c r="P2066">
        <v>107</v>
      </c>
      <c r="Q2066" t="s">
        <v>4440</v>
      </c>
    </row>
    <row r="2067" spans="1:17" x14ac:dyDescent="0.3">
      <c r="A2067" t="s">
        <v>17</v>
      </c>
      <c r="B2067" t="str">
        <f>"688256"</f>
        <v>688256</v>
      </c>
      <c r="C2067" t="s">
        <v>4441</v>
      </c>
      <c r="D2067" t="s">
        <v>890</v>
      </c>
      <c r="E2067">
        <v>467720260</v>
      </c>
      <c r="F2067">
        <v>208721988</v>
      </c>
      <c r="G2067">
        <v>13631364</v>
      </c>
      <c r="P2067">
        <v>192</v>
      </c>
      <c r="Q2067" t="s">
        <v>4442</v>
      </c>
    </row>
    <row r="2068" spans="1:17" x14ac:dyDescent="0.3">
      <c r="A2068" t="s">
        <v>73</v>
      </c>
      <c r="B2068" t="str">
        <f>"002246"</f>
        <v>002246</v>
      </c>
      <c r="C2068" t="s">
        <v>4443</v>
      </c>
      <c r="D2068" t="s">
        <v>484</v>
      </c>
      <c r="E2068">
        <v>467695009</v>
      </c>
      <c r="F2068">
        <v>407547255</v>
      </c>
      <c r="G2068">
        <v>355751108</v>
      </c>
      <c r="H2068">
        <v>504142615</v>
      </c>
      <c r="I2068">
        <v>466301041</v>
      </c>
      <c r="J2068">
        <v>347680406</v>
      </c>
      <c r="K2068">
        <v>363626345</v>
      </c>
      <c r="L2068">
        <v>326882150</v>
      </c>
      <c r="M2068">
        <v>366069296</v>
      </c>
      <c r="N2068">
        <v>92121017</v>
      </c>
      <c r="O2068">
        <v>88757993</v>
      </c>
      <c r="P2068">
        <v>117</v>
      </c>
      <c r="Q2068" t="s">
        <v>4444</v>
      </c>
    </row>
    <row r="2069" spans="1:17" x14ac:dyDescent="0.3">
      <c r="A2069" t="s">
        <v>17</v>
      </c>
      <c r="B2069" t="str">
        <f>"605289"</f>
        <v>605289</v>
      </c>
      <c r="C2069" t="s">
        <v>4445</v>
      </c>
      <c r="D2069" t="s">
        <v>39</v>
      </c>
      <c r="E2069">
        <v>467178876</v>
      </c>
      <c r="F2069">
        <v>498930002</v>
      </c>
      <c r="P2069">
        <v>29</v>
      </c>
      <c r="Q2069" t="s">
        <v>4446</v>
      </c>
    </row>
    <row r="2070" spans="1:17" x14ac:dyDescent="0.3">
      <c r="A2070" t="s">
        <v>17</v>
      </c>
      <c r="B2070" t="str">
        <f>"603269"</f>
        <v>603269</v>
      </c>
      <c r="C2070" t="s">
        <v>4447</v>
      </c>
      <c r="D2070" t="s">
        <v>873</v>
      </c>
      <c r="E2070">
        <v>466657471</v>
      </c>
      <c r="F2070">
        <v>458080541</v>
      </c>
      <c r="G2070">
        <v>320919217</v>
      </c>
      <c r="H2070">
        <v>398151519</v>
      </c>
      <c r="I2070">
        <v>322923105</v>
      </c>
      <c r="J2070">
        <v>322666588</v>
      </c>
      <c r="P2070">
        <v>63</v>
      </c>
      <c r="Q2070" t="s">
        <v>4448</v>
      </c>
    </row>
    <row r="2071" spans="1:17" x14ac:dyDescent="0.3">
      <c r="A2071" t="s">
        <v>73</v>
      </c>
      <c r="B2071" t="str">
        <f>"002449"</f>
        <v>002449</v>
      </c>
      <c r="C2071" t="s">
        <v>4449</v>
      </c>
      <c r="D2071" t="s">
        <v>737</v>
      </c>
      <c r="E2071">
        <v>466543872</v>
      </c>
      <c r="F2071">
        <v>508682256</v>
      </c>
      <c r="G2071">
        <v>653692557</v>
      </c>
      <c r="H2071">
        <v>783022255</v>
      </c>
      <c r="I2071">
        <v>625304963</v>
      </c>
      <c r="J2071">
        <v>591181137</v>
      </c>
      <c r="K2071">
        <v>388264379</v>
      </c>
      <c r="L2071">
        <v>343595146</v>
      </c>
      <c r="M2071">
        <v>257445646</v>
      </c>
      <c r="N2071">
        <v>226169711</v>
      </c>
      <c r="O2071">
        <v>183469116</v>
      </c>
      <c r="P2071">
        <v>392</v>
      </c>
      <c r="Q2071" t="s">
        <v>4450</v>
      </c>
    </row>
    <row r="2072" spans="1:17" x14ac:dyDescent="0.3">
      <c r="A2072" t="s">
        <v>73</v>
      </c>
      <c r="B2072" t="str">
        <f>"001267"</f>
        <v>001267</v>
      </c>
      <c r="C2072" t="s">
        <v>4451</v>
      </c>
      <c r="D2072" t="s">
        <v>445</v>
      </c>
      <c r="E2072">
        <v>466429244</v>
      </c>
      <c r="F2072">
        <v>333785626</v>
      </c>
      <c r="P2072">
        <v>10</v>
      </c>
      <c r="Q2072" t="s">
        <v>4452</v>
      </c>
    </row>
    <row r="2073" spans="1:17" x14ac:dyDescent="0.3">
      <c r="A2073" t="s">
        <v>17</v>
      </c>
      <c r="B2073" t="str">
        <f>"688111"</f>
        <v>688111</v>
      </c>
      <c r="C2073" t="s">
        <v>4453</v>
      </c>
      <c r="D2073" t="s">
        <v>404</v>
      </c>
      <c r="E2073">
        <v>466026515</v>
      </c>
      <c r="F2073">
        <v>419559372</v>
      </c>
      <c r="G2073">
        <v>284228500</v>
      </c>
      <c r="H2073">
        <v>241788200</v>
      </c>
      <c r="P2073">
        <v>964</v>
      </c>
      <c r="Q2073" t="s">
        <v>4454</v>
      </c>
    </row>
    <row r="2074" spans="1:17" x14ac:dyDescent="0.3">
      <c r="A2074" t="s">
        <v>17</v>
      </c>
      <c r="B2074" t="str">
        <f>"688023"</f>
        <v>688023</v>
      </c>
      <c r="C2074" t="s">
        <v>4455</v>
      </c>
      <c r="D2074" t="s">
        <v>404</v>
      </c>
      <c r="E2074">
        <v>465623332</v>
      </c>
      <c r="F2074">
        <v>254811016</v>
      </c>
      <c r="G2074">
        <v>193954832</v>
      </c>
      <c r="H2074">
        <v>0</v>
      </c>
      <c r="P2074">
        <v>249</v>
      </c>
      <c r="Q2074" t="s">
        <v>4456</v>
      </c>
    </row>
    <row r="2075" spans="1:17" x14ac:dyDescent="0.3">
      <c r="A2075" t="s">
        <v>73</v>
      </c>
      <c r="B2075" t="str">
        <f>"002786"</f>
        <v>002786</v>
      </c>
      <c r="C2075" t="s">
        <v>4457</v>
      </c>
      <c r="D2075" t="s">
        <v>1451</v>
      </c>
      <c r="E2075">
        <v>465435092</v>
      </c>
      <c r="F2075">
        <v>617221163</v>
      </c>
      <c r="G2075">
        <v>471191777</v>
      </c>
      <c r="H2075">
        <v>644294751</v>
      </c>
      <c r="I2075">
        <v>744267033</v>
      </c>
      <c r="J2075">
        <v>571344988</v>
      </c>
      <c r="K2075">
        <v>495664759</v>
      </c>
      <c r="L2075">
        <v>0</v>
      </c>
      <c r="M2075">
        <v>0</v>
      </c>
      <c r="P2075">
        <v>176</v>
      </c>
      <c r="Q2075" t="s">
        <v>4458</v>
      </c>
    </row>
    <row r="2076" spans="1:17" x14ac:dyDescent="0.3">
      <c r="A2076" t="s">
        <v>17</v>
      </c>
      <c r="B2076" t="str">
        <f>"603150"</f>
        <v>603150</v>
      </c>
      <c r="C2076" t="s">
        <v>4459</v>
      </c>
      <c r="E2076">
        <v>464799834</v>
      </c>
      <c r="P2076">
        <v>5</v>
      </c>
      <c r="Q2076" t="s">
        <v>4460</v>
      </c>
    </row>
    <row r="2077" spans="1:17" x14ac:dyDescent="0.3">
      <c r="A2077" t="s">
        <v>17</v>
      </c>
      <c r="B2077" t="str">
        <f>"600622"</f>
        <v>600622</v>
      </c>
      <c r="C2077" t="s">
        <v>4461</v>
      </c>
      <c r="D2077" t="s">
        <v>27</v>
      </c>
      <c r="E2077">
        <v>464719866</v>
      </c>
      <c r="F2077">
        <v>323216046</v>
      </c>
      <c r="G2077">
        <v>194192961</v>
      </c>
      <c r="H2077">
        <v>199906826</v>
      </c>
      <c r="I2077">
        <v>140206575</v>
      </c>
      <c r="J2077">
        <v>83565346</v>
      </c>
      <c r="K2077">
        <v>3269112</v>
      </c>
      <c r="L2077">
        <v>2300308</v>
      </c>
      <c r="M2077">
        <v>16575694</v>
      </c>
      <c r="N2077">
        <v>41199513</v>
      </c>
      <c r="O2077">
        <v>23863621</v>
      </c>
      <c r="P2077">
        <v>246</v>
      </c>
      <c r="Q2077" t="s">
        <v>4462</v>
      </c>
    </row>
    <row r="2078" spans="1:17" x14ac:dyDescent="0.3">
      <c r="A2078" t="s">
        <v>73</v>
      </c>
      <c r="B2078" t="str">
        <f>"002378"</f>
        <v>002378</v>
      </c>
      <c r="C2078" t="s">
        <v>4463</v>
      </c>
      <c r="D2078" t="s">
        <v>507</v>
      </c>
      <c r="E2078">
        <v>464717096</v>
      </c>
      <c r="F2078">
        <v>384111531</v>
      </c>
      <c r="G2078">
        <v>352843551</v>
      </c>
      <c r="H2078">
        <v>477330176</v>
      </c>
      <c r="I2078">
        <v>362733517</v>
      </c>
      <c r="J2078">
        <v>340974963</v>
      </c>
      <c r="K2078">
        <v>257092309</v>
      </c>
      <c r="L2078">
        <v>356800714</v>
      </c>
      <c r="M2078">
        <v>278655553</v>
      </c>
      <c r="N2078">
        <v>239010538</v>
      </c>
      <c r="O2078">
        <v>236328092</v>
      </c>
      <c r="P2078">
        <v>128</v>
      </c>
      <c r="Q2078" t="s">
        <v>4464</v>
      </c>
    </row>
    <row r="2079" spans="1:17" x14ac:dyDescent="0.3">
      <c r="A2079" t="s">
        <v>17</v>
      </c>
      <c r="B2079" t="str">
        <f>"688126"</f>
        <v>688126</v>
      </c>
      <c r="C2079" t="s">
        <v>4465</v>
      </c>
      <c r="D2079" t="s">
        <v>354</v>
      </c>
      <c r="E2079">
        <v>464694290</v>
      </c>
      <c r="F2079">
        <v>382614966</v>
      </c>
      <c r="G2079">
        <v>318597162</v>
      </c>
      <c r="H2079">
        <v>309923341</v>
      </c>
      <c r="P2079">
        <v>329</v>
      </c>
      <c r="Q2079" t="s">
        <v>4466</v>
      </c>
    </row>
    <row r="2080" spans="1:17" x14ac:dyDescent="0.3">
      <c r="A2080" t="s">
        <v>73</v>
      </c>
      <c r="B2080" t="str">
        <f>"002193"</f>
        <v>002193</v>
      </c>
      <c r="C2080" t="s">
        <v>4467</v>
      </c>
      <c r="D2080" t="s">
        <v>3204</v>
      </c>
      <c r="E2080">
        <v>464413786</v>
      </c>
      <c r="F2080">
        <v>1076223948</v>
      </c>
      <c r="G2080">
        <v>846698791</v>
      </c>
      <c r="H2080">
        <v>688859820</v>
      </c>
      <c r="I2080">
        <v>592488668</v>
      </c>
      <c r="J2080">
        <v>429662048</v>
      </c>
      <c r="K2080">
        <v>232326554</v>
      </c>
      <c r="L2080">
        <v>367781266</v>
      </c>
      <c r="M2080">
        <v>276925166</v>
      </c>
      <c r="N2080">
        <v>241047530</v>
      </c>
      <c r="O2080">
        <v>276674806</v>
      </c>
      <c r="P2080">
        <v>93</v>
      </c>
      <c r="Q2080" t="s">
        <v>4468</v>
      </c>
    </row>
    <row r="2081" spans="1:17" x14ac:dyDescent="0.3">
      <c r="A2081" t="s">
        <v>73</v>
      </c>
      <c r="B2081" t="str">
        <f>"300227"</f>
        <v>300227</v>
      </c>
      <c r="C2081" t="s">
        <v>4469</v>
      </c>
      <c r="D2081" t="s">
        <v>499</v>
      </c>
      <c r="E2081">
        <v>464256363</v>
      </c>
      <c r="F2081">
        <v>376525786</v>
      </c>
      <c r="G2081">
        <v>289273472</v>
      </c>
      <c r="H2081">
        <v>235567254</v>
      </c>
      <c r="I2081">
        <v>182203662</v>
      </c>
      <c r="J2081">
        <v>127938680</v>
      </c>
      <c r="K2081">
        <v>90466051</v>
      </c>
      <c r="L2081">
        <v>85517342</v>
      </c>
      <c r="M2081">
        <v>68808073</v>
      </c>
      <c r="N2081">
        <v>66209443</v>
      </c>
      <c r="O2081">
        <v>57153362</v>
      </c>
      <c r="P2081">
        <v>220</v>
      </c>
      <c r="Q2081" t="s">
        <v>4470</v>
      </c>
    </row>
    <row r="2082" spans="1:17" x14ac:dyDescent="0.3">
      <c r="A2082" t="s">
        <v>17</v>
      </c>
      <c r="B2082" t="str">
        <f>"603968"</f>
        <v>603968</v>
      </c>
      <c r="C2082" t="s">
        <v>4471</v>
      </c>
      <c r="D2082" t="s">
        <v>1430</v>
      </c>
      <c r="E2082">
        <v>463617278</v>
      </c>
      <c r="F2082">
        <v>350823653</v>
      </c>
      <c r="G2082">
        <v>288202562</v>
      </c>
      <c r="H2082">
        <v>291600803</v>
      </c>
      <c r="I2082">
        <v>254893803</v>
      </c>
      <c r="J2082">
        <v>261280049</v>
      </c>
      <c r="K2082">
        <v>163330268</v>
      </c>
      <c r="L2082">
        <v>164215738</v>
      </c>
      <c r="M2082">
        <v>0</v>
      </c>
      <c r="P2082">
        <v>244</v>
      </c>
      <c r="Q2082" t="s">
        <v>4472</v>
      </c>
    </row>
    <row r="2083" spans="1:17" x14ac:dyDescent="0.3">
      <c r="A2083" t="s">
        <v>73</v>
      </c>
      <c r="B2083" t="str">
        <f>"002909"</f>
        <v>002909</v>
      </c>
      <c r="C2083" t="s">
        <v>4473</v>
      </c>
      <c r="D2083" t="s">
        <v>1309</v>
      </c>
      <c r="E2083">
        <v>463555138</v>
      </c>
      <c r="F2083">
        <v>395151965</v>
      </c>
      <c r="G2083">
        <v>228382437</v>
      </c>
      <c r="H2083">
        <v>227558770</v>
      </c>
      <c r="I2083">
        <v>249483461</v>
      </c>
      <c r="P2083">
        <v>87</v>
      </c>
      <c r="Q2083" t="s">
        <v>4474</v>
      </c>
    </row>
    <row r="2084" spans="1:17" x14ac:dyDescent="0.3">
      <c r="A2084" t="s">
        <v>17</v>
      </c>
      <c r="B2084" t="str">
        <f>"688737"</f>
        <v>688737</v>
      </c>
      <c r="C2084" t="s">
        <v>4475</v>
      </c>
      <c r="D2084" t="s">
        <v>722</v>
      </c>
      <c r="E2084">
        <v>463485348</v>
      </c>
      <c r="P2084">
        <v>15</v>
      </c>
      <c r="Q2084" t="s">
        <v>4476</v>
      </c>
    </row>
    <row r="2085" spans="1:17" x14ac:dyDescent="0.3">
      <c r="A2085" t="s">
        <v>73</v>
      </c>
      <c r="B2085" t="str">
        <f>"002722"</f>
        <v>002722</v>
      </c>
      <c r="C2085" t="s">
        <v>4477</v>
      </c>
      <c r="D2085" t="s">
        <v>3204</v>
      </c>
      <c r="E2085">
        <v>463122456</v>
      </c>
      <c r="F2085">
        <v>414393987</v>
      </c>
      <c r="G2085">
        <v>402316130</v>
      </c>
      <c r="H2085">
        <v>402748630</v>
      </c>
      <c r="I2085">
        <v>360508541</v>
      </c>
      <c r="J2085">
        <v>378973336</v>
      </c>
      <c r="K2085">
        <v>284113726</v>
      </c>
      <c r="L2085">
        <v>139116067</v>
      </c>
      <c r="M2085">
        <v>133708262</v>
      </c>
      <c r="N2085">
        <v>0</v>
      </c>
      <c r="P2085">
        <v>102</v>
      </c>
      <c r="Q2085" t="s">
        <v>4478</v>
      </c>
    </row>
    <row r="2086" spans="1:17" x14ac:dyDescent="0.3">
      <c r="A2086" t="s">
        <v>17</v>
      </c>
      <c r="B2086" t="str">
        <f>"603066"</f>
        <v>603066</v>
      </c>
      <c r="C2086" t="s">
        <v>4479</v>
      </c>
      <c r="D2086" t="s">
        <v>114</v>
      </c>
      <c r="E2086">
        <v>462891610</v>
      </c>
      <c r="F2086">
        <v>174968008</v>
      </c>
      <c r="G2086">
        <v>298089553</v>
      </c>
      <c r="H2086">
        <v>256196622</v>
      </c>
      <c r="I2086">
        <v>202382749</v>
      </c>
      <c r="J2086">
        <v>146778970</v>
      </c>
      <c r="K2086">
        <v>149134570</v>
      </c>
      <c r="L2086">
        <v>0</v>
      </c>
      <c r="M2086">
        <v>0</v>
      </c>
      <c r="P2086">
        <v>116</v>
      </c>
      <c r="Q2086" t="s">
        <v>4480</v>
      </c>
    </row>
    <row r="2087" spans="1:17" x14ac:dyDescent="0.3">
      <c r="A2087" t="s">
        <v>73</v>
      </c>
      <c r="B2087" t="str">
        <f>"002935"</f>
        <v>002935</v>
      </c>
      <c r="C2087" t="s">
        <v>4481</v>
      </c>
      <c r="D2087" t="s">
        <v>502</v>
      </c>
      <c r="E2087">
        <v>462785757</v>
      </c>
      <c r="F2087">
        <v>405114115</v>
      </c>
      <c r="G2087">
        <v>299488965</v>
      </c>
      <c r="H2087">
        <v>285496914</v>
      </c>
      <c r="P2087">
        <v>203</v>
      </c>
      <c r="Q2087" t="s">
        <v>4482</v>
      </c>
    </row>
    <row r="2088" spans="1:17" x14ac:dyDescent="0.3">
      <c r="A2088" t="s">
        <v>17</v>
      </c>
      <c r="B2088" t="str">
        <f>"605266"</f>
        <v>605266</v>
      </c>
      <c r="C2088" t="s">
        <v>4483</v>
      </c>
      <c r="D2088" t="s">
        <v>1520</v>
      </c>
      <c r="E2088">
        <v>462341455</v>
      </c>
      <c r="F2088">
        <v>263870825</v>
      </c>
      <c r="P2088">
        <v>105</v>
      </c>
      <c r="Q2088" t="s">
        <v>4484</v>
      </c>
    </row>
    <row r="2089" spans="1:17" x14ac:dyDescent="0.3">
      <c r="A2089" t="s">
        <v>17</v>
      </c>
      <c r="B2089" t="str">
        <f>"900948"</f>
        <v>900948</v>
      </c>
      <c r="C2089" t="s">
        <v>4485</v>
      </c>
      <c r="E2089">
        <v>461645886.93620002</v>
      </c>
      <c r="F2089">
        <v>258458615.36520001</v>
      </c>
      <c r="G2089">
        <v>121587072.823</v>
      </c>
      <c r="H2089">
        <v>298234833.08899999</v>
      </c>
      <c r="I2089">
        <v>388857054.1214</v>
      </c>
      <c r="J2089">
        <v>147330669.0108</v>
      </c>
      <c r="K2089">
        <v>235705370.99700001</v>
      </c>
      <c r="L2089">
        <v>550137751.76859999</v>
      </c>
      <c r="M2089">
        <v>365690709.40319997</v>
      </c>
      <c r="N2089">
        <v>376875439.15700001</v>
      </c>
      <c r="O2089">
        <v>172460376.65239999</v>
      </c>
      <c r="P2089">
        <v>225</v>
      </c>
      <c r="Q2089" t="s">
        <v>4486</v>
      </c>
    </row>
    <row r="2090" spans="1:17" x14ac:dyDescent="0.3">
      <c r="A2090" t="s">
        <v>17</v>
      </c>
      <c r="B2090" t="str">
        <f>"600211"</f>
        <v>600211</v>
      </c>
      <c r="C2090" t="s">
        <v>4487</v>
      </c>
      <c r="D2090" t="s">
        <v>215</v>
      </c>
      <c r="E2090">
        <v>459919021</v>
      </c>
      <c r="F2090">
        <v>382822798</v>
      </c>
      <c r="G2090">
        <v>270229125</v>
      </c>
      <c r="H2090">
        <v>422734456</v>
      </c>
      <c r="I2090">
        <v>315603511</v>
      </c>
      <c r="J2090">
        <v>63481350</v>
      </c>
      <c r="K2090">
        <v>17466620</v>
      </c>
      <c r="L2090">
        <v>184498120</v>
      </c>
      <c r="M2090">
        <v>135124112</v>
      </c>
      <c r="N2090">
        <v>148415276</v>
      </c>
      <c r="O2090">
        <v>129567672</v>
      </c>
      <c r="P2090">
        <v>530</v>
      </c>
      <c r="Q2090" t="s">
        <v>4488</v>
      </c>
    </row>
    <row r="2091" spans="1:17" x14ac:dyDescent="0.3">
      <c r="A2091" t="s">
        <v>73</v>
      </c>
      <c r="B2091" t="str">
        <f>"300614"</f>
        <v>300614</v>
      </c>
      <c r="C2091" t="s">
        <v>4489</v>
      </c>
      <c r="D2091" t="s">
        <v>623</v>
      </c>
      <c r="E2091">
        <v>459382097</v>
      </c>
      <c r="F2091">
        <v>294525938</v>
      </c>
      <c r="G2091">
        <v>165199879</v>
      </c>
      <c r="P2091">
        <v>41</v>
      </c>
      <c r="Q2091" t="s">
        <v>4490</v>
      </c>
    </row>
    <row r="2092" spans="1:17" x14ac:dyDescent="0.3">
      <c r="A2092" t="s">
        <v>73</v>
      </c>
      <c r="B2092" t="str">
        <f>"002096"</f>
        <v>002096</v>
      </c>
      <c r="C2092" t="s">
        <v>4491</v>
      </c>
      <c r="D2092" t="s">
        <v>484</v>
      </c>
      <c r="E2092">
        <v>459044742</v>
      </c>
      <c r="F2092">
        <v>372774221</v>
      </c>
      <c r="G2092">
        <v>470758238</v>
      </c>
      <c r="H2092">
        <v>687187161</v>
      </c>
      <c r="I2092">
        <v>570611260</v>
      </c>
      <c r="J2092">
        <v>485861456</v>
      </c>
      <c r="K2092">
        <v>431529739</v>
      </c>
      <c r="L2092">
        <v>243319514</v>
      </c>
      <c r="M2092">
        <v>179187017</v>
      </c>
      <c r="N2092">
        <v>220427107</v>
      </c>
      <c r="O2092">
        <v>24136170</v>
      </c>
      <c r="P2092">
        <v>79</v>
      </c>
      <c r="Q2092" t="s">
        <v>4492</v>
      </c>
    </row>
    <row r="2093" spans="1:17" x14ac:dyDescent="0.3">
      <c r="A2093" t="s">
        <v>73</v>
      </c>
      <c r="B2093" t="str">
        <f>"300353"</f>
        <v>300353</v>
      </c>
      <c r="C2093" t="s">
        <v>4493</v>
      </c>
      <c r="D2093" t="s">
        <v>2542</v>
      </c>
      <c r="E2093">
        <v>458993659</v>
      </c>
      <c r="F2093">
        <v>500838214</v>
      </c>
      <c r="G2093">
        <v>746115236</v>
      </c>
      <c r="H2093">
        <v>779116484</v>
      </c>
      <c r="I2093">
        <v>594539360</v>
      </c>
      <c r="J2093">
        <v>406253406</v>
      </c>
      <c r="K2093">
        <v>245033514</v>
      </c>
      <c r="L2093">
        <v>71966173</v>
      </c>
      <c r="M2093">
        <v>61481708</v>
      </c>
      <c r="N2093">
        <v>53894440</v>
      </c>
      <c r="O2093">
        <v>0</v>
      </c>
      <c r="P2093">
        <v>3033</v>
      </c>
      <c r="Q2093" t="s">
        <v>4494</v>
      </c>
    </row>
    <row r="2094" spans="1:17" x14ac:dyDescent="0.3">
      <c r="A2094" t="s">
        <v>73</v>
      </c>
      <c r="B2094" t="str">
        <f>"002103"</f>
        <v>002103</v>
      </c>
      <c r="C2094" t="s">
        <v>4495</v>
      </c>
      <c r="D2094" t="s">
        <v>425</v>
      </c>
      <c r="E2094">
        <v>458681343</v>
      </c>
      <c r="F2094">
        <v>507342564</v>
      </c>
      <c r="G2094">
        <v>291272954</v>
      </c>
      <c r="H2094">
        <v>385215161</v>
      </c>
      <c r="I2094">
        <v>440123015</v>
      </c>
      <c r="J2094">
        <v>353925887</v>
      </c>
      <c r="K2094">
        <v>246768586</v>
      </c>
      <c r="L2094">
        <v>157220806</v>
      </c>
      <c r="M2094">
        <v>115076923</v>
      </c>
      <c r="N2094">
        <v>120479267</v>
      </c>
      <c r="O2094">
        <v>122164622</v>
      </c>
      <c r="P2094">
        <v>108</v>
      </c>
      <c r="Q2094" t="s">
        <v>4496</v>
      </c>
    </row>
    <row r="2095" spans="1:17" x14ac:dyDescent="0.3">
      <c r="A2095" t="s">
        <v>17</v>
      </c>
      <c r="B2095" t="str">
        <f>"605088"</f>
        <v>605088</v>
      </c>
      <c r="C2095" t="s">
        <v>4497</v>
      </c>
      <c r="D2095" t="s">
        <v>122</v>
      </c>
      <c r="E2095">
        <v>458636979</v>
      </c>
      <c r="F2095">
        <v>382890469</v>
      </c>
      <c r="G2095">
        <v>223352034</v>
      </c>
      <c r="H2095">
        <v>0</v>
      </c>
      <c r="P2095">
        <v>47</v>
      </c>
      <c r="Q2095" t="s">
        <v>4498</v>
      </c>
    </row>
    <row r="2096" spans="1:17" x14ac:dyDescent="0.3">
      <c r="A2096" t="s">
        <v>73</v>
      </c>
      <c r="B2096" t="str">
        <f>"002264"</f>
        <v>002264</v>
      </c>
      <c r="C2096" t="s">
        <v>4499</v>
      </c>
      <c r="D2096" t="s">
        <v>3633</v>
      </c>
      <c r="E2096">
        <v>458557816</v>
      </c>
      <c r="F2096">
        <v>428329993</v>
      </c>
      <c r="G2096">
        <v>194487379</v>
      </c>
      <c r="H2096">
        <v>162811144</v>
      </c>
      <c r="I2096">
        <v>210877286</v>
      </c>
      <c r="J2096">
        <v>89634657</v>
      </c>
      <c r="K2096">
        <v>57128237</v>
      </c>
      <c r="L2096">
        <v>15946326</v>
      </c>
      <c r="M2096">
        <v>12377355</v>
      </c>
      <c r="N2096">
        <v>20614214</v>
      </c>
      <c r="O2096">
        <v>16670464</v>
      </c>
      <c r="P2096">
        <v>96</v>
      </c>
      <c r="Q2096" t="s">
        <v>4500</v>
      </c>
    </row>
    <row r="2097" spans="1:17" x14ac:dyDescent="0.3">
      <c r="A2097" t="s">
        <v>17</v>
      </c>
      <c r="B2097" t="str">
        <f>"600037"</f>
        <v>600037</v>
      </c>
      <c r="C2097" t="s">
        <v>4501</v>
      </c>
      <c r="D2097" t="s">
        <v>1040</v>
      </c>
      <c r="E2097">
        <v>458530388</v>
      </c>
      <c r="F2097">
        <v>468046761</v>
      </c>
      <c r="G2097">
        <v>559203946</v>
      </c>
      <c r="H2097">
        <v>463426922</v>
      </c>
      <c r="I2097">
        <v>405301135</v>
      </c>
      <c r="J2097">
        <v>334940463</v>
      </c>
      <c r="K2097">
        <v>273307170</v>
      </c>
      <c r="L2097">
        <v>269040781</v>
      </c>
      <c r="M2097">
        <v>91920503</v>
      </c>
      <c r="N2097">
        <v>81363375</v>
      </c>
      <c r="O2097">
        <v>61510147</v>
      </c>
      <c r="P2097">
        <v>309</v>
      </c>
      <c r="Q2097" t="s">
        <v>4502</v>
      </c>
    </row>
    <row r="2098" spans="1:17" x14ac:dyDescent="0.3">
      <c r="A2098" t="s">
        <v>17</v>
      </c>
      <c r="B2098" t="str">
        <f>"603009"</f>
        <v>603009</v>
      </c>
      <c r="C2098" t="s">
        <v>4503</v>
      </c>
      <c r="D2098" t="s">
        <v>122</v>
      </c>
      <c r="E2098">
        <v>458528808</v>
      </c>
      <c r="F2098">
        <v>465187721</v>
      </c>
      <c r="G2098">
        <v>319747034</v>
      </c>
      <c r="H2098">
        <v>422377377</v>
      </c>
      <c r="I2098">
        <v>418143255</v>
      </c>
      <c r="J2098">
        <v>199892321</v>
      </c>
      <c r="K2098">
        <v>166302843</v>
      </c>
      <c r="L2098">
        <v>142141645</v>
      </c>
      <c r="M2098">
        <v>0</v>
      </c>
      <c r="P2098">
        <v>84</v>
      </c>
      <c r="Q2098" t="s">
        <v>4504</v>
      </c>
    </row>
    <row r="2099" spans="1:17" x14ac:dyDescent="0.3">
      <c r="A2099" t="s">
        <v>17</v>
      </c>
      <c r="B2099" t="str">
        <f>"600526"</f>
        <v>600526</v>
      </c>
      <c r="C2099" t="s">
        <v>4505</v>
      </c>
      <c r="D2099" t="s">
        <v>540</v>
      </c>
      <c r="E2099">
        <v>458011044</v>
      </c>
      <c r="F2099">
        <v>418286138</v>
      </c>
      <c r="G2099">
        <v>1044583184</v>
      </c>
      <c r="H2099">
        <v>921855914</v>
      </c>
      <c r="I2099">
        <v>1458664539</v>
      </c>
      <c r="J2099">
        <v>1421142530</v>
      </c>
      <c r="K2099">
        <v>1425406903</v>
      </c>
      <c r="L2099">
        <v>876111706</v>
      </c>
      <c r="M2099">
        <v>713188714</v>
      </c>
      <c r="N2099">
        <v>478873672</v>
      </c>
      <c r="O2099">
        <v>324780712</v>
      </c>
      <c r="P2099">
        <v>114</v>
      </c>
      <c r="Q2099" t="s">
        <v>4506</v>
      </c>
    </row>
    <row r="2100" spans="1:17" x14ac:dyDescent="0.3">
      <c r="A2100" t="s">
        <v>73</v>
      </c>
      <c r="B2100" t="str">
        <f>"000068"</f>
        <v>000068</v>
      </c>
      <c r="C2100" t="s">
        <v>4507</v>
      </c>
      <c r="D2100" t="s">
        <v>472</v>
      </c>
      <c r="E2100">
        <v>457759356</v>
      </c>
      <c r="F2100">
        <v>147543934</v>
      </c>
      <c r="G2100">
        <v>174439322</v>
      </c>
      <c r="H2100">
        <v>180418121</v>
      </c>
      <c r="I2100">
        <v>222015826</v>
      </c>
      <c r="J2100">
        <v>116571422</v>
      </c>
      <c r="K2100">
        <v>98252975</v>
      </c>
      <c r="L2100">
        <v>67079063</v>
      </c>
      <c r="M2100">
        <v>308625144</v>
      </c>
      <c r="N2100">
        <v>212539734</v>
      </c>
      <c r="O2100">
        <v>0</v>
      </c>
      <c r="P2100">
        <v>144</v>
      </c>
      <c r="Q2100" t="s">
        <v>4508</v>
      </c>
    </row>
    <row r="2101" spans="1:17" x14ac:dyDescent="0.3">
      <c r="A2101" t="s">
        <v>73</v>
      </c>
      <c r="B2101" t="str">
        <f>"002660"</f>
        <v>002660</v>
      </c>
      <c r="C2101" t="s">
        <v>4509</v>
      </c>
      <c r="D2101" t="s">
        <v>42</v>
      </c>
      <c r="E2101">
        <v>457702105</v>
      </c>
      <c r="F2101">
        <v>432355308</v>
      </c>
      <c r="G2101">
        <v>351778518</v>
      </c>
      <c r="H2101">
        <v>364439770</v>
      </c>
      <c r="I2101">
        <v>421544978</v>
      </c>
      <c r="J2101">
        <v>592580661</v>
      </c>
      <c r="K2101">
        <v>517602876</v>
      </c>
      <c r="L2101">
        <v>332021602</v>
      </c>
      <c r="M2101">
        <v>287792044</v>
      </c>
      <c r="N2101">
        <v>226217584</v>
      </c>
      <c r="O2101">
        <v>156321274</v>
      </c>
      <c r="P2101">
        <v>122</v>
      </c>
      <c r="Q2101" t="s">
        <v>4510</v>
      </c>
    </row>
    <row r="2102" spans="1:17" x14ac:dyDescent="0.3">
      <c r="A2102" t="s">
        <v>73</v>
      </c>
      <c r="B2102" t="str">
        <f>"300279"</f>
        <v>300279</v>
      </c>
      <c r="C2102" t="s">
        <v>4511</v>
      </c>
      <c r="D2102" t="s">
        <v>42</v>
      </c>
      <c r="E2102">
        <v>457505721</v>
      </c>
      <c r="F2102">
        <v>484331634</v>
      </c>
      <c r="G2102">
        <v>304085586</v>
      </c>
      <c r="H2102">
        <v>323982400</v>
      </c>
      <c r="I2102">
        <v>542412711</v>
      </c>
      <c r="J2102">
        <v>526588164</v>
      </c>
      <c r="K2102">
        <v>270195172</v>
      </c>
      <c r="L2102">
        <v>142177179</v>
      </c>
      <c r="M2102">
        <v>91681986</v>
      </c>
      <c r="N2102">
        <v>63791873</v>
      </c>
      <c r="O2102">
        <v>58947591</v>
      </c>
      <c r="P2102">
        <v>166</v>
      </c>
      <c r="Q2102" t="s">
        <v>4512</v>
      </c>
    </row>
    <row r="2103" spans="1:17" x14ac:dyDescent="0.3">
      <c r="A2103" t="s">
        <v>17</v>
      </c>
      <c r="B2103" t="str">
        <f>"603586"</f>
        <v>603586</v>
      </c>
      <c r="C2103" t="s">
        <v>4513</v>
      </c>
      <c r="D2103" t="s">
        <v>122</v>
      </c>
      <c r="E2103">
        <v>457426072</v>
      </c>
      <c r="F2103">
        <v>302871077</v>
      </c>
      <c r="G2103">
        <v>302079025</v>
      </c>
      <c r="H2103">
        <v>330504719</v>
      </c>
      <c r="I2103">
        <v>233962542</v>
      </c>
      <c r="J2103">
        <v>270953369</v>
      </c>
      <c r="P2103">
        <v>109</v>
      </c>
      <c r="Q2103" t="s">
        <v>4514</v>
      </c>
    </row>
    <row r="2104" spans="1:17" x14ac:dyDescent="0.3">
      <c r="A2104" t="s">
        <v>73</v>
      </c>
      <c r="B2104" t="str">
        <f>"300341"</f>
        <v>300341</v>
      </c>
      <c r="C2104" t="s">
        <v>4515</v>
      </c>
      <c r="D2104" t="s">
        <v>224</v>
      </c>
      <c r="E2104">
        <v>456692024</v>
      </c>
      <c r="F2104">
        <v>309716749</v>
      </c>
      <c r="G2104">
        <v>257572146</v>
      </c>
      <c r="H2104">
        <v>227986620</v>
      </c>
      <c r="I2104">
        <v>152867710</v>
      </c>
      <c r="J2104">
        <v>150887525</v>
      </c>
      <c r="K2104">
        <v>126343239</v>
      </c>
      <c r="L2104">
        <v>84911027</v>
      </c>
      <c r="M2104">
        <v>84589782</v>
      </c>
      <c r="N2104">
        <v>72564453</v>
      </c>
      <c r="O2104">
        <v>0</v>
      </c>
      <c r="P2104">
        <v>142</v>
      </c>
      <c r="Q2104" t="s">
        <v>4516</v>
      </c>
    </row>
    <row r="2105" spans="1:17" x14ac:dyDescent="0.3">
      <c r="A2105" t="s">
        <v>17</v>
      </c>
      <c r="B2105" t="str">
        <f>"603982"</f>
        <v>603982</v>
      </c>
      <c r="C2105" t="s">
        <v>4517</v>
      </c>
      <c r="D2105" t="s">
        <v>122</v>
      </c>
      <c r="E2105">
        <v>456675241</v>
      </c>
      <c r="F2105">
        <v>357409414</v>
      </c>
      <c r="G2105">
        <v>215058860</v>
      </c>
      <c r="H2105">
        <v>392046137</v>
      </c>
      <c r="P2105">
        <v>122</v>
      </c>
      <c r="Q2105" t="s">
        <v>4518</v>
      </c>
    </row>
    <row r="2106" spans="1:17" x14ac:dyDescent="0.3">
      <c r="A2106" t="s">
        <v>73</v>
      </c>
      <c r="B2106" t="str">
        <f>"301087"</f>
        <v>301087</v>
      </c>
      <c r="C2106" t="s">
        <v>4519</v>
      </c>
      <c r="D2106" t="s">
        <v>773</v>
      </c>
      <c r="E2106">
        <v>456583121</v>
      </c>
      <c r="P2106">
        <v>33</v>
      </c>
      <c r="Q2106" t="s">
        <v>4520</v>
      </c>
    </row>
    <row r="2107" spans="1:17" x14ac:dyDescent="0.3">
      <c r="A2107" t="s">
        <v>17</v>
      </c>
      <c r="B2107" t="str">
        <f>"605199"</f>
        <v>605199</v>
      </c>
      <c r="C2107" t="s">
        <v>4521</v>
      </c>
      <c r="D2107" t="s">
        <v>215</v>
      </c>
      <c r="E2107">
        <v>455861024</v>
      </c>
      <c r="F2107">
        <v>322007047</v>
      </c>
      <c r="G2107">
        <v>172739272</v>
      </c>
      <c r="P2107">
        <v>136</v>
      </c>
      <c r="Q2107" t="s">
        <v>4522</v>
      </c>
    </row>
    <row r="2108" spans="1:17" x14ac:dyDescent="0.3">
      <c r="A2108" t="s">
        <v>73</v>
      </c>
      <c r="B2108" t="str">
        <f>"301068"</f>
        <v>301068</v>
      </c>
      <c r="C2108" t="s">
        <v>4523</v>
      </c>
      <c r="D2108" t="s">
        <v>623</v>
      </c>
      <c r="E2108">
        <v>455227369</v>
      </c>
      <c r="P2108">
        <v>14</v>
      </c>
      <c r="Q2108" t="s">
        <v>4524</v>
      </c>
    </row>
    <row r="2109" spans="1:17" x14ac:dyDescent="0.3">
      <c r="A2109" t="s">
        <v>17</v>
      </c>
      <c r="B2109" t="str">
        <f>"600507"</f>
        <v>600507</v>
      </c>
      <c r="C2109" t="s">
        <v>4525</v>
      </c>
      <c r="D2109" t="s">
        <v>928</v>
      </c>
      <c r="E2109">
        <v>454722160</v>
      </c>
      <c r="F2109">
        <v>613672930</v>
      </c>
      <c r="G2109">
        <v>374753136</v>
      </c>
      <c r="H2109">
        <v>589628779</v>
      </c>
      <c r="I2109">
        <v>490493536</v>
      </c>
      <c r="J2109">
        <v>414515196</v>
      </c>
      <c r="K2109">
        <v>336689781</v>
      </c>
      <c r="L2109">
        <v>332352781</v>
      </c>
      <c r="M2109">
        <v>286494525</v>
      </c>
      <c r="N2109">
        <v>281814001</v>
      </c>
      <c r="O2109">
        <v>297486483</v>
      </c>
      <c r="P2109">
        <v>1893</v>
      </c>
      <c r="Q2109" t="s">
        <v>4526</v>
      </c>
    </row>
    <row r="2110" spans="1:17" x14ac:dyDescent="0.3">
      <c r="A2110" t="s">
        <v>73</v>
      </c>
      <c r="B2110" t="str">
        <f>"200026"</f>
        <v>200026</v>
      </c>
      <c r="C2110" t="s">
        <v>4527</v>
      </c>
      <c r="E2110">
        <v>454576805.84399998</v>
      </c>
      <c r="F2110">
        <v>561836422.64999998</v>
      </c>
      <c r="G2110">
        <v>340859330.70840001</v>
      </c>
      <c r="H2110">
        <v>493082303.76090002</v>
      </c>
      <c r="I2110">
        <v>437792555.75349998</v>
      </c>
      <c r="J2110">
        <v>381666225.2482</v>
      </c>
      <c r="K2110">
        <v>416438578.38520002</v>
      </c>
      <c r="L2110">
        <v>582997875</v>
      </c>
      <c r="M2110">
        <v>487002708.85479999</v>
      </c>
      <c r="N2110">
        <v>426502107.49260002</v>
      </c>
      <c r="O2110">
        <v>374860615.46399999</v>
      </c>
      <c r="P2110">
        <v>52</v>
      </c>
      <c r="Q2110" t="s">
        <v>4528</v>
      </c>
    </row>
    <row r="2111" spans="1:17" x14ac:dyDescent="0.3">
      <c r="A2111" t="s">
        <v>17</v>
      </c>
      <c r="B2111" t="str">
        <f>"688077"</f>
        <v>688077</v>
      </c>
      <c r="C2111" t="s">
        <v>4529</v>
      </c>
      <c r="D2111" t="s">
        <v>1142</v>
      </c>
      <c r="E2111">
        <v>454421044</v>
      </c>
      <c r="F2111">
        <v>238162721</v>
      </c>
      <c r="G2111">
        <v>124337964</v>
      </c>
      <c r="H2111">
        <v>0</v>
      </c>
      <c r="P2111">
        <v>78</v>
      </c>
      <c r="Q2111" t="s">
        <v>4530</v>
      </c>
    </row>
    <row r="2112" spans="1:17" x14ac:dyDescent="0.3">
      <c r="A2112" t="s">
        <v>17</v>
      </c>
      <c r="B2112" t="str">
        <f>"603800"</f>
        <v>603800</v>
      </c>
      <c r="C2112" t="s">
        <v>4531</v>
      </c>
      <c r="D2112" t="s">
        <v>311</v>
      </c>
      <c r="E2112">
        <v>454265541</v>
      </c>
      <c r="F2112">
        <v>289698052</v>
      </c>
      <c r="G2112">
        <v>182955932</v>
      </c>
      <c r="H2112">
        <v>0</v>
      </c>
      <c r="I2112">
        <v>233628480</v>
      </c>
      <c r="J2112">
        <v>130284856</v>
      </c>
      <c r="K2112">
        <v>103436574</v>
      </c>
      <c r="L2112">
        <v>0</v>
      </c>
      <c r="M2112">
        <v>0</v>
      </c>
      <c r="P2112">
        <v>75</v>
      </c>
      <c r="Q2112" t="s">
        <v>4532</v>
      </c>
    </row>
    <row r="2113" spans="1:17" x14ac:dyDescent="0.3">
      <c r="A2113" t="s">
        <v>73</v>
      </c>
      <c r="B2113" t="str">
        <f>"002488"</f>
        <v>002488</v>
      </c>
      <c r="C2113" t="s">
        <v>4533</v>
      </c>
      <c r="D2113" t="s">
        <v>781</v>
      </c>
      <c r="E2113">
        <v>454191371</v>
      </c>
      <c r="F2113">
        <v>438740811</v>
      </c>
      <c r="G2113">
        <v>385693702</v>
      </c>
      <c r="H2113">
        <v>381859182</v>
      </c>
      <c r="I2113">
        <v>326441604</v>
      </c>
      <c r="J2113">
        <v>260280375</v>
      </c>
      <c r="K2113">
        <v>178518618</v>
      </c>
      <c r="L2113">
        <v>210774003</v>
      </c>
      <c r="M2113">
        <v>202395376</v>
      </c>
      <c r="N2113">
        <v>163538166</v>
      </c>
      <c r="O2113">
        <v>133695518</v>
      </c>
      <c r="P2113">
        <v>152</v>
      </c>
      <c r="Q2113" t="s">
        <v>4534</v>
      </c>
    </row>
    <row r="2114" spans="1:17" x14ac:dyDescent="0.3">
      <c r="A2114" t="s">
        <v>73</v>
      </c>
      <c r="B2114" t="str">
        <f>"300065"</f>
        <v>300065</v>
      </c>
      <c r="C2114" t="s">
        <v>4535</v>
      </c>
      <c r="D2114" t="s">
        <v>283</v>
      </c>
      <c r="E2114">
        <v>454177302</v>
      </c>
      <c r="F2114">
        <v>405125034</v>
      </c>
      <c r="G2114">
        <v>363286821</v>
      </c>
      <c r="H2114">
        <v>457532959</v>
      </c>
      <c r="I2114">
        <v>413148397</v>
      </c>
      <c r="J2114">
        <v>308400267</v>
      </c>
      <c r="K2114">
        <v>336667499</v>
      </c>
      <c r="L2114">
        <v>227383894</v>
      </c>
      <c r="M2114">
        <v>218410084</v>
      </c>
      <c r="N2114">
        <v>167041116</v>
      </c>
      <c r="O2114">
        <v>149300857</v>
      </c>
      <c r="P2114">
        <v>152</v>
      </c>
      <c r="Q2114" t="s">
        <v>4536</v>
      </c>
    </row>
    <row r="2115" spans="1:17" x14ac:dyDescent="0.3">
      <c r="A2115" t="s">
        <v>73</v>
      </c>
      <c r="B2115" t="str">
        <f>"002244"</f>
        <v>002244</v>
      </c>
      <c r="C2115" t="s">
        <v>4537</v>
      </c>
      <c r="D2115" t="s">
        <v>27</v>
      </c>
      <c r="E2115">
        <v>453517433</v>
      </c>
      <c r="F2115">
        <v>469458911</v>
      </c>
      <c r="G2115">
        <v>561187192</v>
      </c>
      <c r="H2115">
        <v>317021944</v>
      </c>
      <c r="I2115">
        <v>382731453</v>
      </c>
      <c r="J2115">
        <v>190989695</v>
      </c>
      <c r="K2115">
        <v>67072096</v>
      </c>
      <c r="L2115">
        <v>49147405</v>
      </c>
      <c r="M2115">
        <v>40034186</v>
      </c>
      <c r="N2115">
        <v>4337160</v>
      </c>
      <c r="O2115">
        <v>2895893</v>
      </c>
      <c r="P2115">
        <v>403</v>
      </c>
      <c r="Q2115" t="s">
        <v>4538</v>
      </c>
    </row>
    <row r="2116" spans="1:17" x14ac:dyDescent="0.3">
      <c r="A2116" t="s">
        <v>17</v>
      </c>
      <c r="B2116" t="str">
        <f>"600351"</f>
        <v>600351</v>
      </c>
      <c r="C2116" t="s">
        <v>4539</v>
      </c>
      <c r="D2116" t="s">
        <v>215</v>
      </c>
      <c r="E2116">
        <v>453280887</v>
      </c>
      <c r="F2116">
        <v>528532505</v>
      </c>
      <c r="G2116">
        <v>620910158</v>
      </c>
      <c r="H2116">
        <v>668683175</v>
      </c>
      <c r="I2116">
        <v>565126434</v>
      </c>
      <c r="J2116">
        <v>392468010</v>
      </c>
      <c r="K2116">
        <v>266231302</v>
      </c>
      <c r="L2116">
        <v>247387996</v>
      </c>
      <c r="M2116">
        <v>236453963</v>
      </c>
      <c r="N2116">
        <v>195521631</v>
      </c>
      <c r="O2116">
        <v>151915510</v>
      </c>
      <c r="P2116">
        <v>234</v>
      </c>
      <c r="Q2116" t="s">
        <v>4540</v>
      </c>
    </row>
    <row r="2117" spans="1:17" x14ac:dyDescent="0.3">
      <c r="A2117" t="s">
        <v>73</v>
      </c>
      <c r="B2117" t="str">
        <f>"002587"</f>
        <v>002587</v>
      </c>
      <c r="C2117" t="s">
        <v>4541</v>
      </c>
      <c r="D2117" t="s">
        <v>737</v>
      </c>
      <c r="E2117">
        <v>452849147</v>
      </c>
      <c r="F2117">
        <v>479670253</v>
      </c>
      <c r="G2117">
        <v>818120147</v>
      </c>
      <c r="H2117">
        <v>938064949</v>
      </c>
      <c r="I2117">
        <v>697684346</v>
      </c>
      <c r="J2117">
        <v>256945385</v>
      </c>
      <c r="K2117">
        <v>107070933</v>
      </c>
      <c r="L2117">
        <v>75122073</v>
      </c>
      <c r="M2117">
        <v>59388630</v>
      </c>
      <c r="N2117">
        <v>66632904</v>
      </c>
      <c r="O2117">
        <v>54650058</v>
      </c>
      <c r="P2117">
        <v>142</v>
      </c>
      <c r="Q2117" t="s">
        <v>4542</v>
      </c>
    </row>
    <row r="2118" spans="1:17" x14ac:dyDescent="0.3">
      <c r="A2118" t="s">
        <v>17</v>
      </c>
      <c r="B2118" t="str">
        <f>"600360"</f>
        <v>600360</v>
      </c>
      <c r="C2118" t="s">
        <v>4543</v>
      </c>
      <c r="D2118" t="s">
        <v>1479</v>
      </c>
      <c r="E2118">
        <v>452626626</v>
      </c>
      <c r="F2118">
        <v>395013170</v>
      </c>
      <c r="G2118">
        <v>455296229</v>
      </c>
      <c r="H2118">
        <v>399624435</v>
      </c>
      <c r="I2118">
        <v>416338216</v>
      </c>
      <c r="J2118">
        <v>337584900</v>
      </c>
      <c r="K2118">
        <v>312020173</v>
      </c>
      <c r="L2118">
        <v>279781188</v>
      </c>
      <c r="M2118">
        <v>279080394</v>
      </c>
      <c r="N2118">
        <v>239141315</v>
      </c>
      <c r="O2118">
        <v>217306847</v>
      </c>
      <c r="P2118">
        <v>318</v>
      </c>
      <c r="Q2118" t="s">
        <v>4544</v>
      </c>
    </row>
    <row r="2119" spans="1:17" x14ac:dyDescent="0.3">
      <c r="A2119" t="s">
        <v>73</v>
      </c>
      <c r="B2119" t="str">
        <f>"002708"</f>
        <v>002708</v>
      </c>
      <c r="C2119" t="s">
        <v>4545</v>
      </c>
      <c r="D2119" t="s">
        <v>122</v>
      </c>
      <c r="E2119">
        <v>451392370</v>
      </c>
      <c r="F2119">
        <v>481852622</v>
      </c>
      <c r="G2119">
        <v>339180164</v>
      </c>
      <c r="H2119">
        <v>370891775</v>
      </c>
      <c r="I2119">
        <v>376168323</v>
      </c>
      <c r="J2119">
        <v>362235011</v>
      </c>
      <c r="K2119">
        <v>332412180</v>
      </c>
      <c r="L2119">
        <v>219444741</v>
      </c>
      <c r="M2119">
        <v>232287435</v>
      </c>
      <c r="N2119">
        <v>0</v>
      </c>
      <c r="P2119">
        <v>91</v>
      </c>
      <c r="Q2119" t="s">
        <v>4546</v>
      </c>
    </row>
    <row r="2120" spans="1:17" x14ac:dyDescent="0.3">
      <c r="A2120" t="s">
        <v>17</v>
      </c>
      <c r="B2120" t="str">
        <f>"688178"</f>
        <v>688178</v>
      </c>
      <c r="C2120" t="s">
        <v>4547</v>
      </c>
      <c r="D2120" t="s">
        <v>308</v>
      </c>
      <c r="E2120">
        <v>450970214</v>
      </c>
      <c r="F2120">
        <v>280530865</v>
      </c>
      <c r="G2120">
        <v>346741610</v>
      </c>
      <c r="P2120">
        <v>69</v>
      </c>
      <c r="Q2120" t="s">
        <v>4548</v>
      </c>
    </row>
    <row r="2121" spans="1:17" x14ac:dyDescent="0.3">
      <c r="A2121" t="s">
        <v>17</v>
      </c>
      <c r="B2121" t="str">
        <f>"603966"</f>
        <v>603966</v>
      </c>
      <c r="C2121" t="s">
        <v>4549</v>
      </c>
      <c r="D2121" t="s">
        <v>311</v>
      </c>
      <c r="E2121">
        <v>450951754</v>
      </c>
      <c r="F2121">
        <v>302886046</v>
      </c>
      <c r="G2121">
        <v>326752078</v>
      </c>
      <c r="H2121">
        <v>305506086</v>
      </c>
      <c r="I2121">
        <v>241658734</v>
      </c>
      <c r="J2121">
        <v>193252750</v>
      </c>
      <c r="P2121">
        <v>122</v>
      </c>
      <c r="Q2121" t="s">
        <v>4550</v>
      </c>
    </row>
    <row r="2122" spans="1:17" x14ac:dyDescent="0.3">
      <c r="A2122" t="s">
        <v>73</v>
      </c>
      <c r="B2122" t="str">
        <f>"200011"</f>
        <v>200011</v>
      </c>
      <c r="C2122" t="s">
        <v>4551</v>
      </c>
      <c r="E2122">
        <v>450613016.44599998</v>
      </c>
      <c r="F2122">
        <v>285581650.60350001</v>
      </c>
      <c r="G2122">
        <v>326750565.48089999</v>
      </c>
      <c r="H2122">
        <v>93496659.936299995</v>
      </c>
      <c r="I2122">
        <v>64581714.857000001</v>
      </c>
      <c r="J2122">
        <v>40091020.228799999</v>
      </c>
      <c r="K2122">
        <v>42953724.8455</v>
      </c>
      <c r="L2122">
        <v>48089567.5</v>
      </c>
      <c r="M2122">
        <v>34709919.361599997</v>
      </c>
      <c r="N2122">
        <v>100487166.9804</v>
      </c>
      <c r="O2122">
        <v>91764875.843999997</v>
      </c>
      <c r="P2122">
        <v>176</v>
      </c>
      <c r="Q2122" t="s">
        <v>4552</v>
      </c>
    </row>
    <row r="2123" spans="1:17" x14ac:dyDescent="0.3">
      <c r="A2123" t="s">
        <v>17</v>
      </c>
      <c r="B2123" t="str">
        <f>"603955"</f>
        <v>603955</v>
      </c>
      <c r="C2123" t="s">
        <v>4553</v>
      </c>
      <c r="D2123" t="s">
        <v>445</v>
      </c>
      <c r="E2123">
        <v>450152151</v>
      </c>
      <c r="F2123">
        <v>316417687</v>
      </c>
      <c r="G2123">
        <v>361095835</v>
      </c>
      <c r="H2123">
        <v>427131984</v>
      </c>
      <c r="I2123">
        <v>307710100</v>
      </c>
      <c r="J2123">
        <v>284068570</v>
      </c>
      <c r="P2123">
        <v>60</v>
      </c>
      <c r="Q2123" t="s">
        <v>4554</v>
      </c>
    </row>
    <row r="2124" spans="1:17" x14ac:dyDescent="0.3">
      <c r="A2124" t="s">
        <v>73</v>
      </c>
      <c r="B2124" t="str">
        <f>"301017"</f>
        <v>301017</v>
      </c>
      <c r="C2124" t="s">
        <v>4555</v>
      </c>
      <c r="D2124" t="s">
        <v>1520</v>
      </c>
      <c r="E2124">
        <v>449690316</v>
      </c>
      <c r="F2124">
        <v>302022189</v>
      </c>
      <c r="P2124">
        <v>36</v>
      </c>
      <c r="Q2124" t="s">
        <v>4556</v>
      </c>
    </row>
    <row r="2125" spans="1:17" x14ac:dyDescent="0.3">
      <c r="A2125" t="s">
        <v>17</v>
      </c>
      <c r="B2125" t="str">
        <f>"603106"</f>
        <v>603106</v>
      </c>
      <c r="C2125" t="s">
        <v>4557</v>
      </c>
      <c r="D2125" t="s">
        <v>158</v>
      </c>
      <c r="E2125">
        <v>448888016</v>
      </c>
      <c r="F2125">
        <v>543697617</v>
      </c>
      <c r="G2125">
        <v>595517494</v>
      </c>
      <c r="H2125">
        <v>470911956</v>
      </c>
      <c r="I2125">
        <v>613964850</v>
      </c>
      <c r="P2125">
        <v>2938</v>
      </c>
      <c r="Q2125" t="s">
        <v>4558</v>
      </c>
    </row>
    <row r="2126" spans="1:17" x14ac:dyDescent="0.3">
      <c r="A2126" t="s">
        <v>17</v>
      </c>
      <c r="B2126" t="str">
        <f>"600888"</f>
        <v>600888</v>
      </c>
      <c r="C2126" t="s">
        <v>4559</v>
      </c>
      <c r="D2126" t="s">
        <v>616</v>
      </c>
      <c r="E2126">
        <v>448414380</v>
      </c>
      <c r="F2126">
        <v>626511914</v>
      </c>
      <c r="G2126">
        <v>397042165</v>
      </c>
      <c r="H2126">
        <v>395938718</v>
      </c>
      <c r="I2126">
        <v>681688759</v>
      </c>
      <c r="J2126">
        <v>696750139</v>
      </c>
      <c r="K2126">
        <v>848944068</v>
      </c>
      <c r="L2126">
        <v>596534530</v>
      </c>
      <c r="M2126">
        <v>485299096</v>
      </c>
      <c r="N2126">
        <v>424295864</v>
      </c>
      <c r="O2126">
        <v>192462796</v>
      </c>
      <c r="P2126">
        <v>183</v>
      </c>
      <c r="Q2126" t="s">
        <v>4560</v>
      </c>
    </row>
    <row r="2127" spans="1:17" x14ac:dyDescent="0.3">
      <c r="A2127" t="s">
        <v>73</v>
      </c>
      <c r="B2127" t="str">
        <f>"300009"</f>
        <v>300009</v>
      </c>
      <c r="C2127" t="s">
        <v>4561</v>
      </c>
      <c r="D2127" t="s">
        <v>1505</v>
      </c>
      <c r="E2127">
        <v>447804487</v>
      </c>
      <c r="F2127">
        <v>440019829</v>
      </c>
      <c r="G2127">
        <v>380915720</v>
      </c>
      <c r="H2127">
        <v>361287256</v>
      </c>
      <c r="I2127">
        <v>283845617</v>
      </c>
      <c r="J2127">
        <v>191269285</v>
      </c>
      <c r="K2127">
        <v>131488823</v>
      </c>
      <c r="L2127">
        <v>103239946</v>
      </c>
      <c r="M2127">
        <v>88127593</v>
      </c>
      <c r="N2127">
        <v>66843099</v>
      </c>
      <c r="O2127">
        <v>55653991</v>
      </c>
      <c r="P2127">
        <v>840</v>
      </c>
      <c r="Q2127" t="s">
        <v>4562</v>
      </c>
    </row>
    <row r="2128" spans="1:17" x14ac:dyDescent="0.3">
      <c r="A2128" t="s">
        <v>73</v>
      </c>
      <c r="B2128" t="str">
        <f>"300326"</f>
        <v>300326</v>
      </c>
      <c r="C2128" t="s">
        <v>4563</v>
      </c>
      <c r="D2128" t="s">
        <v>1523</v>
      </c>
      <c r="E2128">
        <v>447782495</v>
      </c>
      <c r="F2128">
        <v>585404094</v>
      </c>
      <c r="G2128">
        <v>593152150</v>
      </c>
      <c r="H2128">
        <v>462247483</v>
      </c>
      <c r="I2128">
        <v>537494124</v>
      </c>
      <c r="J2128">
        <v>406426386</v>
      </c>
      <c r="K2128">
        <v>317616340</v>
      </c>
      <c r="L2128">
        <v>232598193</v>
      </c>
      <c r="M2128">
        <v>44503775</v>
      </c>
      <c r="N2128">
        <v>31694822</v>
      </c>
      <c r="O2128">
        <v>22750020</v>
      </c>
      <c r="P2128">
        <v>854</v>
      </c>
      <c r="Q2128" t="s">
        <v>4564</v>
      </c>
    </row>
    <row r="2129" spans="1:17" x14ac:dyDescent="0.3">
      <c r="A2129" t="s">
        <v>17</v>
      </c>
      <c r="B2129" t="str">
        <f>"603600"</f>
        <v>603600</v>
      </c>
      <c r="C2129" t="s">
        <v>4565</v>
      </c>
      <c r="D2129" t="s">
        <v>1111</v>
      </c>
      <c r="E2129">
        <v>447635190</v>
      </c>
      <c r="F2129">
        <v>524804238</v>
      </c>
      <c r="G2129">
        <v>261398746</v>
      </c>
      <c r="H2129">
        <v>276521800</v>
      </c>
      <c r="I2129">
        <v>231992215</v>
      </c>
      <c r="J2129">
        <v>167117482</v>
      </c>
      <c r="K2129">
        <v>121791026</v>
      </c>
      <c r="L2129">
        <v>102928972</v>
      </c>
      <c r="M2129">
        <v>0</v>
      </c>
      <c r="P2129">
        <v>290</v>
      </c>
      <c r="Q2129" t="s">
        <v>4566</v>
      </c>
    </row>
    <row r="2130" spans="1:17" x14ac:dyDescent="0.3">
      <c r="A2130" t="s">
        <v>17</v>
      </c>
      <c r="B2130" t="str">
        <f>"600581"</f>
        <v>600581</v>
      </c>
      <c r="C2130" t="s">
        <v>4567</v>
      </c>
      <c r="D2130" t="s">
        <v>221</v>
      </c>
      <c r="E2130">
        <v>447474151</v>
      </c>
      <c r="F2130">
        <v>590143296</v>
      </c>
      <c r="G2130">
        <v>209485609</v>
      </c>
      <c r="H2130">
        <v>241731674</v>
      </c>
      <c r="I2130">
        <v>377732024</v>
      </c>
      <c r="J2130">
        <v>43199588</v>
      </c>
      <c r="K2130">
        <v>62709442</v>
      </c>
      <c r="L2130">
        <v>138863667</v>
      </c>
      <c r="M2130">
        <v>256277098</v>
      </c>
      <c r="N2130">
        <v>136661993</v>
      </c>
      <c r="O2130">
        <v>111976140</v>
      </c>
      <c r="P2130">
        <v>265</v>
      </c>
      <c r="Q2130" t="s">
        <v>4568</v>
      </c>
    </row>
    <row r="2131" spans="1:17" x14ac:dyDescent="0.3">
      <c r="A2131" t="s">
        <v>73</v>
      </c>
      <c r="B2131" t="str">
        <f>"300430"</f>
        <v>300430</v>
      </c>
      <c r="C2131" t="s">
        <v>4569</v>
      </c>
      <c r="D2131" t="s">
        <v>873</v>
      </c>
      <c r="E2131">
        <v>447153127</v>
      </c>
      <c r="F2131">
        <v>322521915</v>
      </c>
      <c r="G2131">
        <v>362359422</v>
      </c>
      <c r="H2131">
        <v>475381153</v>
      </c>
      <c r="I2131">
        <v>355398946</v>
      </c>
      <c r="J2131">
        <v>226757956</v>
      </c>
      <c r="K2131">
        <v>162896594</v>
      </c>
      <c r="L2131">
        <v>121018444</v>
      </c>
      <c r="M2131">
        <v>0</v>
      </c>
      <c r="P2131">
        <v>95</v>
      </c>
      <c r="Q2131" t="s">
        <v>4570</v>
      </c>
    </row>
    <row r="2132" spans="1:17" x14ac:dyDescent="0.3">
      <c r="A2132" t="s">
        <v>73</v>
      </c>
      <c r="B2132" t="str">
        <f>"300685"</f>
        <v>300685</v>
      </c>
      <c r="C2132" t="s">
        <v>4571</v>
      </c>
      <c r="D2132" t="s">
        <v>773</v>
      </c>
      <c r="E2132">
        <v>447067872</v>
      </c>
      <c r="F2132">
        <v>308476086</v>
      </c>
      <c r="G2132">
        <v>206960359</v>
      </c>
      <c r="H2132">
        <v>198524344</v>
      </c>
      <c r="I2132">
        <v>147315468</v>
      </c>
      <c r="J2132">
        <v>0</v>
      </c>
      <c r="P2132">
        <v>974</v>
      </c>
      <c r="Q2132" t="s">
        <v>4572</v>
      </c>
    </row>
    <row r="2133" spans="1:17" x14ac:dyDescent="0.3">
      <c r="A2133" t="s">
        <v>17</v>
      </c>
      <c r="B2133" t="str">
        <f>"603555"</f>
        <v>603555</v>
      </c>
      <c r="C2133" t="s">
        <v>4573</v>
      </c>
      <c r="D2133" t="s">
        <v>4435</v>
      </c>
      <c r="E2133">
        <v>446652486</v>
      </c>
      <c r="F2133">
        <v>1011325715</v>
      </c>
      <c r="G2133">
        <v>1053327896</v>
      </c>
      <c r="H2133">
        <v>1461816255</v>
      </c>
      <c r="I2133">
        <v>1836509610</v>
      </c>
      <c r="J2133">
        <v>1884958461</v>
      </c>
      <c r="K2133">
        <v>1555726374</v>
      </c>
      <c r="L2133">
        <v>1623085996</v>
      </c>
      <c r="M2133">
        <v>1610573655</v>
      </c>
      <c r="N2133">
        <v>0</v>
      </c>
      <c r="P2133">
        <v>81</v>
      </c>
      <c r="Q2133" t="s">
        <v>4574</v>
      </c>
    </row>
    <row r="2134" spans="1:17" x14ac:dyDescent="0.3">
      <c r="A2134" t="s">
        <v>73</v>
      </c>
      <c r="B2134" t="str">
        <f>"300900"</f>
        <v>300900</v>
      </c>
      <c r="C2134" t="s">
        <v>4575</v>
      </c>
      <c r="D2134" t="s">
        <v>130</v>
      </c>
      <c r="E2134">
        <v>446631638</v>
      </c>
      <c r="F2134">
        <v>373808637</v>
      </c>
      <c r="P2134">
        <v>76</v>
      </c>
      <c r="Q2134" t="s">
        <v>4576</v>
      </c>
    </row>
    <row r="2135" spans="1:17" x14ac:dyDescent="0.3">
      <c r="A2135" t="s">
        <v>73</v>
      </c>
      <c r="B2135" t="str">
        <f>"000531"</f>
        <v>000531</v>
      </c>
      <c r="C2135" t="s">
        <v>4577</v>
      </c>
      <c r="D2135" t="s">
        <v>71</v>
      </c>
      <c r="E2135">
        <v>446264803</v>
      </c>
      <c r="F2135">
        <v>377940997</v>
      </c>
      <c r="G2135">
        <v>262919919</v>
      </c>
      <c r="H2135">
        <v>304342602</v>
      </c>
      <c r="I2135">
        <v>311260853</v>
      </c>
      <c r="J2135">
        <v>330902782</v>
      </c>
      <c r="K2135">
        <v>240432965</v>
      </c>
      <c r="L2135">
        <v>230881814</v>
      </c>
      <c r="M2135">
        <v>235815456</v>
      </c>
      <c r="N2135">
        <v>280954113</v>
      </c>
      <c r="O2135">
        <v>372802323</v>
      </c>
      <c r="P2135">
        <v>277</v>
      </c>
      <c r="Q2135" t="s">
        <v>4578</v>
      </c>
    </row>
    <row r="2136" spans="1:17" x14ac:dyDescent="0.3">
      <c r="A2136" t="s">
        <v>73</v>
      </c>
      <c r="B2136" t="str">
        <f>"300389"</f>
        <v>300389</v>
      </c>
      <c r="C2136" t="s">
        <v>4579</v>
      </c>
      <c r="D2136" t="s">
        <v>737</v>
      </c>
      <c r="E2136">
        <v>445876788</v>
      </c>
      <c r="F2136">
        <v>356501351</v>
      </c>
      <c r="G2136">
        <v>517901498</v>
      </c>
      <c r="H2136">
        <v>519515409</v>
      </c>
      <c r="I2136">
        <v>452126503</v>
      </c>
      <c r="J2136">
        <v>291080848</v>
      </c>
      <c r="K2136">
        <v>255153699</v>
      </c>
      <c r="L2136">
        <v>166305423</v>
      </c>
      <c r="M2136">
        <v>131326707</v>
      </c>
      <c r="N2136">
        <v>0</v>
      </c>
      <c r="P2136">
        <v>198</v>
      </c>
      <c r="Q2136" t="s">
        <v>4580</v>
      </c>
    </row>
    <row r="2137" spans="1:17" x14ac:dyDescent="0.3">
      <c r="A2137" t="s">
        <v>73</v>
      </c>
      <c r="B2137" t="str">
        <f>"300545"</f>
        <v>300545</v>
      </c>
      <c r="C2137" t="s">
        <v>4581</v>
      </c>
      <c r="D2137" t="s">
        <v>97</v>
      </c>
      <c r="E2137">
        <v>444930482</v>
      </c>
      <c r="F2137">
        <v>423248549</v>
      </c>
      <c r="G2137">
        <v>349948106</v>
      </c>
      <c r="H2137">
        <v>223396086</v>
      </c>
      <c r="I2137">
        <v>174767430</v>
      </c>
      <c r="J2137">
        <v>181493129</v>
      </c>
      <c r="K2137">
        <v>0</v>
      </c>
      <c r="P2137">
        <v>182</v>
      </c>
      <c r="Q2137" t="s">
        <v>4582</v>
      </c>
    </row>
    <row r="2138" spans="1:17" x14ac:dyDescent="0.3">
      <c r="A2138" t="s">
        <v>73</v>
      </c>
      <c r="B2138" t="str">
        <f>"300958"</f>
        <v>300958</v>
      </c>
      <c r="C2138" t="s">
        <v>4583</v>
      </c>
      <c r="D2138" t="s">
        <v>472</v>
      </c>
      <c r="E2138">
        <v>444781716</v>
      </c>
      <c r="F2138">
        <v>488706671</v>
      </c>
      <c r="P2138">
        <v>28</v>
      </c>
      <c r="Q2138" t="s">
        <v>4584</v>
      </c>
    </row>
    <row r="2139" spans="1:17" x14ac:dyDescent="0.3">
      <c r="A2139" t="s">
        <v>17</v>
      </c>
      <c r="B2139" t="str">
        <f>"600715"</f>
        <v>600715</v>
      </c>
      <c r="C2139" t="s">
        <v>4585</v>
      </c>
      <c r="D2139" t="s">
        <v>899</v>
      </c>
      <c r="E2139">
        <v>444424954</v>
      </c>
      <c r="F2139">
        <v>436195219</v>
      </c>
      <c r="G2139">
        <v>784864350</v>
      </c>
      <c r="H2139">
        <v>0</v>
      </c>
      <c r="I2139">
        <v>478420738</v>
      </c>
      <c r="J2139">
        <v>573921250</v>
      </c>
      <c r="K2139">
        <v>203416365</v>
      </c>
      <c r="L2139">
        <v>9871925</v>
      </c>
      <c r="M2139">
        <v>68009671</v>
      </c>
      <c r="N2139">
        <v>36883954</v>
      </c>
      <c r="O2139">
        <v>23634155</v>
      </c>
      <c r="P2139">
        <v>127</v>
      </c>
      <c r="Q2139" t="s">
        <v>4586</v>
      </c>
    </row>
    <row r="2140" spans="1:17" x14ac:dyDescent="0.3">
      <c r="A2140" t="s">
        <v>73</v>
      </c>
      <c r="B2140" t="str">
        <f>"300084"</f>
        <v>300084</v>
      </c>
      <c r="C2140" t="s">
        <v>4587</v>
      </c>
      <c r="D2140" t="s">
        <v>311</v>
      </c>
      <c r="E2140">
        <v>444302733</v>
      </c>
      <c r="F2140">
        <v>443039232</v>
      </c>
      <c r="G2140">
        <v>606660867</v>
      </c>
      <c r="H2140">
        <v>627248604</v>
      </c>
      <c r="I2140">
        <v>548328206</v>
      </c>
      <c r="J2140">
        <v>260760126</v>
      </c>
      <c r="K2140">
        <v>210594374</v>
      </c>
      <c r="L2140">
        <v>229071506</v>
      </c>
      <c r="M2140">
        <v>116818308</v>
      </c>
      <c r="N2140">
        <v>123402202</v>
      </c>
      <c r="O2140">
        <v>100964740</v>
      </c>
      <c r="P2140">
        <v>69</v>
      </c>
      <c r="Q2140" t="s">
        <v>4588</v>
      </c>
    </row>
    <row r="2141" spans="1:17" x14ac:dyDescent="0.3">
      <c r="A2141" t="s">
        <v>73</v>
      </c>
      <c r="B2141" t="str">
        <f>"300613"</f>
        <v>300613</v>
      </c>
      <c r="C2141" t="s">
        <v>4589</v>
      </c>
      <c r="D2141" t="s">
        <v>890</v>
      </c>
      <c r="E2141">
        <v>443987994</v>
      </c>
      <c r="F2141">
        <v>143324086</v>
      </c>
      <c r="G2141">
        <v>138600589</v>
      </c>
      <c r="H2141">
        <v>76705456</v>
      </c>
      <c r="I2141">
        <v>76963092</v>
      </c>
      <c r="J2141">
        <v>48963710</v>
      </c>
      <c r="K2141">
        <v>0</v>
      </c>
      <c r="P2141">
        <v>355</v>
      </c>
      <c r="Q2141" t="s">
        <v>4590</v>
      </c>
    </row>
    <row r="2142" spans="1:17" x14ac:dyDescent="0.3">
      <c r="A2142" t="s">
        <v>73</v>
      </c>
      <c r="B2142" t="str">
        <f>"300810"</f>
        <v>300810</v>
      </c>
      <c r="C2142" t="s">
        <v>4591</v>
      </c>
      <c r="D2142" t="s">
        <v>283</v>
      </c>
      <c r="E2142">
        <v>443503734</v>
      </c>
      <c r="F2142">
        <v>372996694</v>
      </c>
      <c r="G2142">
        <v>387894449</v>
      </c>
      <c r="H2142">
        <v>0</v>
      </c>
      <c r="P2142">
        <v>57</v>
      </c>
      <c r="Q2142" t="s">
        <v>4592</v>
      </c>
    </row>
    <row r="2143" spans="1:17" x14ac:dyDescent="0.3">
      <c r="A2143" t="s">
        <v>17</v>
      </c>
      <c r="B2143" t="str">
        <f>"601616"</f>
        <v>601616</v>
      </c>
      <c r="C2143" t="s">
        <v>4593</v>
      </c>
      <c r="D2143" t="s">
        <v>230</v>
      </c>
      <c r="E2143">
        <v>443085612</v>
      </c>
      <c r="F2143">
        <v>433987897</v>
      </c>
      <c r="G2143">
        <v>574443781</v>
      </c>
      <c r="H2143">
        <v>326584263</v>
      </c>
      <c r="I2143">
        <v>424699616</v>
      </c>
      <c r="J2143">
        <v>460519250</v>
      </c>
      <c r="K2143">
        <v>661724256</v>
      </c>
      <c r="L2143">
        <v>715165896</v>
      </c>
      <c r="M2143">
        <v>840211756</v>
      </c>
      <c r="N2143">
        <v>878102470</v>
      </c>
      <c r="O2143">
        <v>957119756</v>
      </c>
      <c r="P2143">
        <v>72</v>
      </c>
      <c r="Q2143" t="s">
        <v>4594</v>
      </c>
    </row>
    <row r="2144" spans="1:17" x14ac:dyDescent="0.3">
      <c r="A2144" t="s">
        <v>73</v>
      </c>
      <c r="B2144" t="str">
        <f>"002532"</f>
        <v>002532</v>
      </c>
      <c r="C2144" t="s">
        <v>4595</v>
      </c>
      <c r="D2144" t="s">
        <v>616</v>
      </c>
      <c r="E2144">
        <v>443069233</v>
      </c>
      <c r="F2144">
        <v>447051663</v>
      </c>
      <c r="G2144">
        <v>182611976</v>
      </c>
      <c r="H2144">
        <v>176633896</v>
      </c>
      <c r="I2144">
        <v>138303036</v>
      </c>
      <c r="J2144">
        <v>149261373</v>
      </c>
      <c r="K2144">
        <v>139569665</v>
      </c>
      <c r="L2144">
        <v>105970317</v>
      </c>
      <c r="M2144">
        <v>88499924</v>
      </c>
      <c r="N2144">
        <v>130521890</v>
      </c>
      <c r="O2144">
        <v>63190084</v>
      </c>
      <c r="P2144">
        <v>424</v>
      </c>
      <c r="Q2144" t="s">
        <v>4596</v>
      </c>
    </row>
    <row r="2145" spans="1:17" x14ac:dyDescent="0.3">
      <c r="A2145" t="s">
        <v>73</v>
      </c>
      <c r="B2145" t="str">
        <f>"300498"</f>
        <v>300498</v>
      </c>
      <c r="C2145" t="s">
        <v>4597</v>
      </c>
      <c r="D2145" t="s">
        <v>1626</v>
      </c>
      <c r="E2145">
        <v>442245033</v>
      </c>
      <c r="F2145">
        <v>338401660</v>
      </c>
      <c r="G2145">
        <v>360840247</v>
      </c>
      <c r="H2145">
        <v>228014634</v>
      </c>
      <c r="I2145">
        <v>255542025</v>
      </c>
      <c r="J2145">
        <v>217624983</v>
      </c>
      <c r="K2145">
        <v>188408463</v>
      </c>
      <c r="L2145">
        <v>0</v>
      </c>
      <c r="P2145">
        <v>2457</v>
      </c>
      <c r="Q2145" t="s">
        <v>4598</v>
      </c>
    </row>
    <row r="2146" spans="1:17" x14ac:dyDescent="0.3">
      <c r="A2146" t="s">
        <v>73</v>
      </c>
      <c r="B2146" t="str">
        <f>"300292"</f>
        <v>300292</v>
      </c>
      <c r="C2146" t="s">
        <v>4599</v>
      </c>
      <c r="D2146" t="s">
        <v>1004</v>
      </c>
      <c r="E2146">
        <v>442142983</v>
      </c>
      <c r="F2146">
        <v>419338761</v>
      </c>
      <c r="G2146">
        <v>749083093</v>
      </c>
      <c r="H2146">
        <v>743910048</v>
      </c>
      <c r="I2146">
        <v>515579179</v>
      </c>
      <c r="J2146">
        <v>420227592</v>
      </c>
      <c r="K2146">
        <v>454122335</v>
      </c>
      <c r="L2146">
        <v>310328241</v>
      </c>
      <c r="M2146">
        <v>157869063</v>
      </c>
      <c r="N2146">
        <v>110563625</v>
      </c>
      <c r="O2146">
        <v>115878447</v>
      </c>
      <c r="P2146">
        <v>205</v>
      </c>
      <c r="Q2146" t="s">
        <v>4600</v>
      </c>
    </row>
    <row r="2147" spans="1:17" x14ac:dyDescent="0.3">
      <c r="A2147" t="s">
        <v>73</v>
      </c>
      <c r="B2147" t="str">
        <f>"300050"</f>
        <v>300050</v>
      </c>
      <c r="C2147" t="s">
        <v>4601</v>
      </c>
      <c r="D2147" t="s">
        <v>853</v>
      </c>
      <c r="E2147">
        <v>441993401</v>
      </c>
      <c r="F2147">
        <v>591291565</v>
      </c>
      <c r="G2147">
        <v>665998136</v>
      </c>
      <c r="H2147">
        <v>666814137</v>
      </c>
      <c r="I2147">
        <v>566457752</v>
      </c>
      <c r="J2147">
        <v>534034771</v>
      </c>
      <c r="K2147">
        <v>522982894</v>
      </c>
      <c r="L2147">
        <v>368519329</v>
      </c>
      <c r="M2147">
        <v>244953764</v>
      </c>
      <c r="N2147">
        <v>231196659</v>
      </c>
      <c r="O2147">
        <v>225547109</v>
      </c>
      <c r="P2147">
        <v>164</v>
      </c>
      <c r="Q2147" t="s">
        <v>4602</v>
      </c>
    </row>
    <row r="2148" spans="1:17" x14ac:dyDescent="0.3">
      <c r="A2148" t="s">
        <v>17</v>
      </c>
      <c r="B2148" t="str">
        <f>"603759"</f>
        <v>603759</v>
      </c>
      <c r="C2148" t="s">
        <v>4603</v>
      </c>
      <c r="D2148" t="s">
        <v>308</v>
      </c>
      <c r="E2148">
        <v>441991339</v>
      </c>
      <c r="F2148">
        <v>284267013</v>
      </c>
      <c r="P2148">
        <v>48</v>
      </c>
      <c r="Q2148" t="s">
        <v>4604</v>
      </c>
    </row>
    <row r="2149" spans="1:17" x14ac:dyDescent="0.3">
      <c r="A2149" t="s">
        <v>73</v>
      </c>
      <c r="B2149" t="str">
        <f>"002891"</f>
        <v>002891</v>
      </c>
      <c r="C2149" t="s">
        <v>4605</v>
      </c>
      <c r="D2149" t="s">
        <v>4606</v>
      </c>
      <c r="E2149">
        <v>441990506</v>
      </c>
      <c r="F2149">
        <v>331889655</v>
      </c>
      <c r="G2149">
        <v>194763712</v>
      </c>
      <c r="H2149">
        <v>246568068</v>
      </c>
      <c r="I2149">
        <v>159919123</v>
      </c>
      <c r="J2149">
        <v>0</v>
      </c>
      <c r="P2149">
        <v>649</v>
      </c>
      <c r="Q2149" t="s">
        <v>4607</v>
      </c>
    </row>
    <row r="2150" spans="1:17" x14ac:dyDescent="0.3">
      <c r="A2150" t="s">
        <v>17</v>
      </c>
      <c r="B2150" t="str">
        <f>"600720"</f>
        <v>600720</v>
      </c>
      <c r="C2150" t="s">
        <v>4608</v>
      </c>
      <c r="D2150" t="s">
        <v>90</v>
      </c>
      <c r="E2150">
        <v>441977247</v>
      </c>
      <c r="F2150">
        <v>414090122</v>
      </c>
      <c r="G2150">
        <v>404245827</v>
      </c>
      <c r="H2150">
        <v>390607359</v>
      </c>
      <c r="I2150">
        <v>439866038</v>
      </c>
      <c r="J2150">
        <v>459518844</v>
      </c>
      <c r="K2150">
        <v>536795191</v>
      </c>
      <c r="L2150">
        <v>421843412</v>
      </c>
      <c r="M2150">
        <v>446829171</v>
      </c>
      <c r="N2150">
        <v>544795019</v>
      </c>
      <c r="O2150">
        <v>572813198</v>
      </c>
      <c r="P2150">
        <v>864</v>
      </c>
      <c r="Q2150" t="s">
        <v>4609</v>
      </c>
    </row>
    <row r="2151" spans="1:17" x14ac:dyDescent="0.3">
      <c r="A2151" t="s">
        <v>73</v>
      </c>
      <c r="B2151" t="str">
        <f>"300268"</f>
        <v>300268</v>
      </c>
      <c r="C2151" t="s">
        <v>4610</v>
      </c>
      <c r="D2151" t="s">
        <v>2469</v>
      </c>
      <c r="E2151">
        <v>441849433</v>
      </c>
      <c r="F2151">
        <v>345337752</v>
      </c>
      <c r="G2151">
        <v>414653230</v>
      </c>
      <c r="H2151">
        <v>148069618</v>
      </c>
      <c r="I2151">
        <v>199486219</v>
      </c>
      <c r="J2151">
        <v>494391</v>
      </c>
      <c r="K2151">
        <v>197514</v>
      </c>
      <c r="L2151">
        <v>2383586</v>
      </c>
      <c r="M2151">
        <v>6256595</v>
      </c>
      <c r="N2151">
        <v>14689637</v>
      </c>
      <c r="O2151">
        <v>48727704</v>
      </c>
      <c r="P2151">
        <v>87</v>
      </c>
      <c r="Q2151" t="s">
        <v>4611</v>
      </c>
    </row>
    <row r="2152" spans="1:17" x14ac:dyDescent="0.3">
      <c r="A2152" t="s">
        <v>73</v>
      </c>
      <c r="B2152" t="str">
        <f>"002140"</f>
        <v>002140</v>
      </c>
      <c r="C2152" t="s">
        <v>4612</v>
      </c>
      <c r="D2152" t="s">
        <v>141</v>
      </c>
      <c r="E2152">
        <v>441452673</v>
      </c>
      <c r="F2152">
        <v>672821939</v>
      </c>
      <c r="G2152">
        <v>936401065</v>
      </c>
      <c r="H2152">
        <v>647942945</v>
      </c>
      <c r="I2152">
        <v>634294164</v>
      </c>
      <c r="J2152">
        <v>640409407</v>
      </c>
      <c r="K2152">
        <v>577233724</v>
      </c>
      <c r="L2152">
        <v>791819996</v>
      </c>
      <c r="M2152">
        <v>661534015</v>
      </c>
      <c r="N2152">
        <v>298533908</v>
      </c>
      <c r="O2152">
        <v>198963679</v>
      </c>
      <c r="P2152">
        <v>129</v>
      </c>
      <c r="Q2152" t="s">
        <v>4613</v>
      </c>
    </row>
    <row r="2153" spans="1:17" x14ac:dyDescent="0.3">
      <c r="A2153" t="s">
        <v>73</v>
      </c>
      <c r="B2153" t="str">
        <f>"002296"</f>
        <v>002296</v>
      </c>
      <c r="C2153" t="s">
        <v>4614</v>
      </c>
      <c r="D2153" t="s">
        <v>189</v>
      </c>
      <c r="E2153">
        <v>441167309</v>
      </c>
      <c r="F2153">
        <v>357570766</v>
      </c>
      <c r="G2153">
        <v>363372220</v>
      </c>
      <c r="H2153">
        <v>502217366</v>
      </c>
      <c r="I2153">
        <v>517867454</v>
      </c>
      <c r="J2153">
        <v>483609431</v>
      </c>
      <c r="K2153">
        <v>439133472</v>
      </c>
      <c r="L2153">
        <v>389521544</v>
      </c>
      <c r="M2153">
        <v>402795789</v>
      </c>
      <c r="N2153">
        <v>337887381</v>
      </c>
      <c r="O2153">
        <v>335702438</v>
      </c>
      <c r="P2153">
        <v>160</v>
      </c>
      <c r="Q2153" t="s">
        <v>4615</v>
      </c>
    </row>
    <row r="2154" spans="1:17" x14ac:dyDescent="0.3">
      <c r="A2154" t="s">
        <v>73</v>
      </c>
      <c r="B2154" t="str">
        <f>"002406"</f>
        <v>002406</v>
      </c>
      <c r="C2154" t="s">
        <v>4616</v>
      </c>
      <c r="D2154" t="s">
        <v>122</v>
      </c>
      <c r="E2154">
        <v>440914217</v>
      </c>
      <c r="F2154">
        <v>576775683</v>
      </c>
      <c r="G2154">
        <v>500757073</v>
      </c>
      <c r="H2154">
        <v>539856677</v>
      </c>
      <c r="I2154">
        <v>473566604</v>
      </c>
      <c r="J2154">
        <v>433098236</v>
      </c>
      <c r="K2154">
        <v>418987404</v>
      </c>
      <c r="L2154">
        <v>394012528</v>
      </c>
      <c r="M2154">
        <v>366984376</v>
      </c>
      <c r="N2154">
        <v>345478001</v>
      </c>
      <c r="O2154">
        <v>363755556</v>
      </c>
      <c r="P2154">
        <v>272</v>
      </c>
      <c r="Q2154" t="s">
        <v>4617</v>
      </c>
    </row>
    <row r="2155" spans="1:17" x14ac:dyDescent="0.3">
      <c r="A2155" t="s">
        <v>17</v>
      </c>
      <c r="B2155" t="str">
        <f>"603970"</f>
        <v>603970</v>
      </c>
      <c r="C2155" t="s">
        <v>4618</v>
      </c>
      <c r="D2155" t="s">
        <v>272</v>
      </c>
      <c r="E2155">
        <v>440808047</v>
      </c>
      <c r="F2155">
        <v>478155745</v>
      </c>
      <c r="G2155">
        <v>507705842</v>
      </c>
      <c r="H2155">
        <v>576685197</v>
      </c>
      <c r="I2155">
        <v>434937183</v>
      </c>
      <c r="P2155">
        <v>90</v>
      </c>
      <c r="Q2155" t="s">
        <v>4619</v>
      </c>
    </row>
    <row r="2156" spans="1:17" x14ac:dyDescent="0.3">
      <c r="A2156" t="s">
        <v>17</v>
      </c>
      <c r="B2156" t="str">
        <f>"600640"</f>
        <v>600640</v>
      </c>
      <c r="C2156" t="s">
        <v>4620</v>
      </c>
      <c r="D2156" t="s">
        <v>844</v>
      </c>
      <c r="E2156">
        <v>440027471</v>
      </c>
      <c r="F2156">
        <v>837478140</v>
      </c>
      <c r="G2156">
        <v>642660365</v>
      </c>
      <c r="H2156">
        <v>628971640</v>
      </c>
      <c r="I2156">
        <v>508809183</v>
      </c>
      <c r="J2156">
        <v>491235475</v>
      </c>
      <c r="K2156">
        <v>246633274</v>
      </c>
      <c r="L2156">
        <v>291877492</v>
      </c>
      <c r="M2156">
        <v>293941226</v>
      </c>
      <c r="N2156">
        <v>303283998</v>
      </c>
      <c r="O2156">
        <v>10487587</v>
      </c>
      <c r="P2156">
        <v>163</v>
      </c>
      <c r="Q2156" t="s">
        <v>4621</v>
      </c>
    </row>
    <row r="2157" spans="1:17" x14ac:dyDescent="0.3">
      <c r="A2157" t="s">
        <v>17</v>
      </c>
      <c r="B2157" t="str">
        <f>"600513"</f>
        <v>600513</v>
      </c>
      <c r="C2157" t="s">
        <v>4622</v>
      </c>
      <c r="D2157" t="s">
        <v>348</v>
      </c>
      <c r="E2157">
        <v>439852242</v>
      </c>
      <c r="F2157">
        <v>378385578</v>
      </c>
      <c r="G2157">
        <v>313603422</v>
      </c>
      <c r="H2157">
        <v>209321845</v>
      </c>
      <c r="I2157">
        <v>185535420</v>
      </c>
      <c r="J2157">
        <v>154380336</v>
      </c>
      <c r="K2157">
        <v>166868563</v>
      </c>
      <c r="L2157">
        <v>184176803</v>
      </c>
      <c r="M2157">
        <v>158669008</v>
      </c>
      <c r="N2157">
        <v>104098168</v>
      </c>
      <c r="O2157">
        <v>95890869</v>
      </c>
      <c r="P2157">
        <v>144</v>
      </c>
      <c r="Q2157" t="s">
        <v>4623</v>
      </c>
    </row>
    <row r="2158" spans="1:17" x14ac:dyDescent="0.3">
      <c r="A2158" t="s">
        <v>17</v>
      </c>
      <c r="B2158" t="str">
        <f>"603585"</f>
        <v>603585</v>
      </c>
      <c r="C2158" t="s">
        <v>4624</v>
      </c>
      <c r="D2158" t="s">
        <v>272</v>
      </c>
      <c r="E2158">
        <v>439740679</v>
      </c>
      <c r="F2158">
        <v>278546436</v>
      </c>
      <c r="G2158">
        <v>255011344</v>
      </c>
      <c r="H2158">
        <v>281431036</v>
      </c>
      <c r="I2158">
        <v>245039752</v>
      </c>
      <c r="J2158">
        <v>292068691</v>
      </c>
      <c r="K2158">
        <v>0</v>
      </c>
      <c r="P2158">
        <v>546</v>
      </c>
      <c r="Q2158" t="s">
        <v>4625</v>
      </c>
    </row>
    <row r="2159" spans="1:17" x14ac:dyDescent="0.3">
      <c r="A2159" t="s">
        <v>73</v>
      </c>
      <c r="B2159" t="str">
        <f>"300443"</f>
        <v>300443</v>
      </c>
      <c r="C2159" t="s">
        <v>4626</v>
      </c>
      <c r="D2159" t="s">
        <v>778</v>
      </c>
      <c r="E2159">
        <v>439656049</v>
      </c>
      <c r="F2159">
        <v>503983054</v>
      </c>
      <c r="G2159">
        <v>373146868</v>
      </c>
      <c r="H2159">
        <v>339927664</v>
      </c>
      <c r="I2159">
        <v>192444799</v>
      </c>
      <c r="J2159">
        <v>243039451</v>
      </c>
      <c r="K2159">
        <v>173912193</v>
      </c>
      <c r="L2159">
        <v>225937478</v>
      </c>
      <c r="M2159">
        <v>0</v>
      </c>
      <c r="P2159">
        <v>357</v>
      </c>
      <c r="Q2159" t="s">
        <v>4627</v>
      </c>
    </row>
    <row r="2160" spans="1:17" x14ac:dyDescent="0.3">
      <c r="A2160" t="s">
        <v>73</v>
      </c>
      <c r="B2160" t="str">
        <f>"002605"</f>
        <v>002605</v>
      </c>
      <c r="C2160" t="s">
        <v>4628</v>
      </c>
      <c r="D2160" t="s">
        <v>899</v>
      </c>
      <c r="E2160">
        <v>439592632</v>
      </c>
      <c r="F2160">
        <v>353313764</v>
      </c>
      <c r="G2160">
        <v>177993681</v>
      </c>
      <c r="H2160">
        <v>115570408</v>
      </c>
      <c r="I2160">
        <v>51449933</v>
      </c>
      <c r="J2160">
        <v>74147900</v>
      </c>
      <c r="K2160">
        <v>94575022</v>
      </c>
      <c r="L2160">
        <v>35035739</v>
      </c>
      <c r="M2160">
        <v>18824117</v>
      </c>
      <c r="N2160">
        <v>9999831</v>
      </c>
      <c r="O2160">
        <v>15413103</v>
      </c>
      <c r="P2160">
        <v>432</v>
      </c>
      <c r="Q2160" t="s">
        <v>4629</v>
      </c>
    </row>
    <row r="2161" spans="1:17" x14ac:dyDescent="0.3">
      <c r="A2161" t="s">
        <v>17</v>
      </c>
      <c r="B2161" t="str">
        <f>"688408"</f>
        <v>688408</v>
      </c>
      <c r="C2161" t="s">
        <v>4630</v>
      </c>
      <c r="D2161" t="s">
        <v>919</v>
      </c>
      <c r="E2161">
        <v>439444397</v>
      </c>
      <c r="F2161">
        <v>225269347</v>
      </c>
      <c r="P2161">
        <v>114</v>
      </c>
      <c r="Q2161" t="s">
        <v>4631</v>
      </c>
    </row>
    <row r="2162" spans="1:17" x14ac:dyDescent="0.3">
      <c r="A2162" t="s">
        <v>17</v>
      </c>
      <c r="B2162" t="str">
        <f>"605099"</f>
        <v>605099</v>
      </c>
      <c r="C2162" t="s">
        <v>4632</v>
      </c>
      <c r="D2162" t="s">
        <v>3902</v>
      </c>
      <c r="E2162">
        <v>439152638</v>
      </c>
      <c r="F2162">
        <v>334887000</v>
      </c>
      <c r="P2162">
        <v>166</v>
      </c>
      <c r="Q2162" t="s">
        <v>4633</v>
      </c>
    </row>
    <row r="2163" spans="1:17" x14ac:dyDescent="0.3">
      <c r="A2163" t="s">
        <v>17</v>
      </c>
      <c r="B2163" t="str">
        <f>"603266"</f>
        <v>603266</v>
      </c>
      <c r="C2163" t="s">
        <v>4634</v>
      </c>
      <c r="D2163" t="s">
        <v>3079</v>
      </c>
      <c r="E2163">
        <v>438999139</v>
      </c>
      <c r="F2163">
        <v>385330178</v>
      </c>
      <c r="G2163">
        <v>271664609</v>
      </c>
      <c r="H2163">
        <v>270028147</v>
      </c>
      <c r="I2163">
        <v>245686605</v>
      </c>
      <c r="J2163">
        <v>271194015</v>
      </c>
      <c r="P2163">
        <v>95</v>
      </c>
      <c r="Q2163" t="s">
        <v>4635</v>
      </c>
    </row>
    <row r="2164" spans="1:17" x14ac:dyDescent="0.3">
      <c r="A2164" t="s">
        <v>73</v>
      </c>
      <c r="B2164" t="str">
        <f>"002329"</f>
        <v>002329</v>
      </c>
      <c r="C2164" t="s">
        <v>4636</v>
      </c>
      <c r="D2164" t="s">
        <v>1027</v>
      </c>
      <c r="E2164">
        <v>437967979</v>
      </c>
      <c r="F2164">
        <v>588276728</v>
      </c>
      <c r="G2164">
        <v>313197838</v>
      </c>
      <c r="H2164">
        <v>790527308</v>
      </c>
      <c r="I2164">
        <v>1176976165</v>
      </c>
      <c r="J2164">
        <v>855043981</v>
      </c>
      <c r="K2164">
        <v>672042319</v>
      </c>
      <c r="L2164">
        <v>292606491</v>
      </c>
      <c r="M2164">
        <v>132047966</v>
      </c>
      <c r="N2164">
        <v>123837839</v>
      </c>
      <c r="O2164">
        <v>164278467</v>
      </c>
      <c r="P2164">
        <v>186</v>
      </c>
      <c r="Q2164" t="s">
        <v>4637</v>
      </c>
    </row>
    <row r="2165" spans="1:17" x14ac:dyDescent="0.3">
      <c r="A2165" t="s">
        <v>17</v>
      </c>
      <c r="B2165" t="str">
        <f>"688159"</f>
        <v>688159</v>
      </c>
      <c r="C2165" t="s">
        <v>4638</v>
      </c>
      <c r="D2165" t="s">
        <v>332</v>
      </c>
      <c r="E2165">
        <v>437639327</v>
      </c>
      <c r="F2165">
        <v>291395250</v>
      </c>
      <c r="G2165">
        <v>344165429</v>
      </c>
      <c r="H2165">
        <v>289573930</v>
      </c>
      <c r="P2165">
        <v>94</v>
      </c>
      <c r="Q2165" t="s">
        <v>4639</v>
      </c>
    </row>
    <row r="2166" spans="1:17" x14ac:dyDescent="0.3">
      <c r="A2166" t="s">
        <v>17</v>
      </c>
      <c r="B2166" t="str">
        <f>"603000"</f>
        <v>603000</v>
      </c>
      <c r="C2166" t="s">
        <v>4640</v>
      </c>
      <c r="D2166" t="s">
        <v>4641</v>
      </c>
      <c r="E2166">
        <v>436830862</v>
      </c>
      <c r="F2166">
        <v>495231413</v>
      </c>
      <c r="G2166">
        <v>497131344</v>
      </c>
      <c r="H2166">
        <v>478201740</v>
      </c>
      <c r="I2166">
        <v>397129185</v>
      </c>
      <c r="J2166">
        <v>448666927</v>
      </c>
      <c r="K2166">
        <v>518113985</v>
      </c>
      <c r="L2166">
        <v>565672003</v>
      </c>
      <c r="M2166">
        <v>348730207</v>
      </c>
      <c r="N2166">
        <v>286362301</v>
      </c>
      <c r="O2166">
        <v>0</v>
      </c>
      <c r="P2166">
        <v>323</v>
      </c>
      <c r="Q2166" t="s">
        <v>4642</v>
      </c>
    </row>
    <row r="2167" spans="1:17" x14ac:dyDescent="0.3">
      <c r="A2167" t="s">
        <v>17</v>
      </c>
      <c r="B2167" t="str">
        <f>"603227"</f>
        <v>603227</v>
      </c>
      <c r="C2167" t="s">
        <v>4643</v>
      </c>
      <c r="D2167" t="s">
        <v>484</v>
      </c>
      <c r="E2167">
        <v>436820187</v>
      </c>
      <c r="F2167">
        <v>484481045</v>
      </c>
      <c r="G2167">
        <v>344358965</v>
      </c>
      <c r="H2167">
        <v>370200649</v>
      </c>
      <c r="I2167">
        <v>306797276</v>
      </c>
      <c r="J2167">
        <v>176620144</v>
      </c>
      <c r="K2167">
        <v>174281934</v>
      </c>
      <c r="L2167">
        <v>117665856</v>
      </c>
      <c r="M2167">
        <v>0</v>
      </c>
      <c r="P2167">
        <v>80</v>
      </c>
      <c r="Q2167" t="s">
        <v>4644</v>
      </c>
    </row>
    <row r="2168" spans="1:17" x14ac:dyDescent="0.3">
      <c r="A2168" t="s">
        <v>73</v>
      </c>
      <c r="B2168" t="str">
        <f>"300644"</f>
        <v>300644</v>
      </c>
      <c r="C2168" t="s">
        <v>4645</v>
      </c>
      <c r="D2168" t="s">
        <v>570</v>
      </c>
      <c r="E2168">
        <v>435494561</v>
      </c>
      <c r="F2168">
        <v>359894453</v>
      </c>
      <c r="G2168">
        <v>207094641</v>
      </c>
      <c r="H2168">
        <v>258773076</v>
      </c>
      <c r="I2168">
        <v>272613708</v>
      </c>
      <c r="P2168">
        <v>133</v>
      </c>
      <c r="Q2168" t="s">
        <v>4646</v>
      </c>
    </row>
    <row r="2169" spans="1:17" x14ac:dyDescent="0.3">
      <c r="A2169" t="s">
        <v>73</v>
      </c>
      <c r="B2169" t="str">
        <f>"002158"</f>
        <v>002158</v>
      </c>
      <c r="C2169" t="s">
        <v>4647</v>
      </c>
      <c r="D2169" t="s">
        <v>2227</v>
      </c>
      <c r="E2169">
        <v>435280199</v>
      </c>
      <c r="F2169">
        <v>369514045</v>
      </c>
      <c r="G2169">
        <v>409777806</v>
      </c>
      <c r="H2169">
        <v>354691057</v>
      </c>
      <c r="I2169">
        <v>298866805</v>
      </c>
      <c r="J2169">
        <v>158572067</v>
      </c>
      <c r="K2169">
        <v>130743564</v>
      </c>
      <c r="L2169">
        <v>131232122</v>
      </c>
      <c r="M2169">
        <v>137746486</v>
      </c>
      <c r="N2169">
        <v>113437306</v>
      </c>
      <c r="O2169">
        <v>140501310</v>
      </c>
      <c r="P2169">
        <v>478</v>
      </c>
      <c r="Q2169" t="s">
        <v>4648</v>
      </c>
    </row>
    <row r="2170" spans="1:17" x14ac:dyDescent="0.3">
      <c r="A2170" t="s">
        <v>73</v>
      </c>
      <c r="B2170" t="str">
        <f>"002369"</f>
        <v>002369</v>
      </c>
      <c r="C2170" t="s">
        <v>4649</v>
      </c>
      <c r="D2170" t="s">
        <v>42</v>
      </c>
      <c r="E2170">
        <v>435042499</v>
      </c>
      <c r="F2170">
        <v>645740704</v>
      </c>
      <c r="G2170">
        <v>661255488</v>
      </c>
      <c r="H2170">
        <v>343116022</v>
      </c>
      <c r="I2170">
        <v>420499221</v>
      </c>
      <c r="J2170">
        <v>516586187</v>
      </c>
      <c r="K2170">
        <v>495446865</v>
      </c>
      <c r="L2170">
        <v>297610721</v>
      </c>
      <c r="M2170">
        <v>334939053</v>
      </c>
      <c r="N2170">
        <v>221828225</v>
      </c>
      <c r="O2170">
        <v>368642266</v>
      </c>
      <c r="P2170">
        <v>179</v>
      </c>
      <c r="Q2170" t="s">
        <v>4650</v>
      </c>
    </row>
    <row r="2171" spans="1:17" x14ac:dyDescent="0.3">
      <c r="A2171" t="s">
        <v>73</v>
      </c>
      <c r="B2171" t="str">
        <f>"002216"</f>
        <v>002216</v>
      </c>
      <c r="C2171" t="s">
        <v>4651</v>
      </c>
      <c r="D2171" t="s">
        <v>4652</v>
      </c>
      <c r="E2171">
        <v>435019378</v>
      </c>
      <c r="F2171">
        <v>487124058</v>
      </c>
      <c r="G2171">
        <v>603312553</v>
      </c>
      <c r="H2171">
        <v>690105658</v>
      </c>
      <c r="I2171">
        <v>656871708</v>
      </c>
      <c r="J2171">
        <v>410928463</v>
      </c>
      <c r="K2171">
        <v>542998164</v>
      </c>
      <c r="L2171">
        <v>580313444</v>
      </c>
      <c r="M2171">
        <v>469295555</v>
      </c>
      <c r="N2171">
        <v>352035482</v>
      </c>
      <c r="O2171">
        <v>288936680</v>
      </c>
      <c r="P2171">
        <v>1276</v>
      </c>
      <c r="Q2171" t="s">
        <v>4653</v>
      </c>
    </row>
    <row r="2172" spans="1:17" x14ac:dyDescent="0.3">
      <c r="A2172" t="s">
        <v>73</v>
      </c>
      <c r="B2172" t="str">
        <f>"300686"</f>
        <v>300686</v>
      </c>
      <c r="C2172" t="s">
        <v>4654</v>
      </c>
      <c r="D2172" t="s">
        <v>42</v>
      </c>
      <c r="E2172">
        <v>434718383</v>
      </c>
      <c r="F2172">
        <v>506310264</v>
      </c>
      <c r="G2172">
        <v>306636624</v>
      </c>
      <c r="H2172">
        <v>331094252</v>
      </c>
      <c r="I2172">
        <v>111419222</v>
      </c>
      <c r="J2172">
        <v>86301477</v>
      </c>
      <c r="P2172">
        <v>192</v>
      </c>
      <c r="Q2172" t="s">
        <v>4655</v>
      </c>
    </row>
    <row r="2173" spans="1:17" x14ac:dyDescent="0.3">
      <c r="A2173" t="s">
        <v>17</v>
      </c>
      <c r="B2173" t="str">
        <f>"603719"</f>
        <v>603719</v>
      </c>
      <c r="C2173" t="s">
        <v>4656</v>
      </c>
      <c r="D2173" t="s">
        <v>4657</v>
      </c>
      <c r="E2173">
        <v>434662533</v>
      </c>
      <c r="F2173">
        <v>588640296</v>
      </c>
      <c r="G2173">
        <v>179802090</v>
      </c>
      <c r="P2173">
        <v>715</v>
      </c>
      <c r="Q2173" t="s">
        <v>4658</v>
      </c>
    </row>
    <row r="2174" spans="1:17" x14ac:dyDescent="0.3">
      <c r="A2174" t="s">
        <v>73</v>
      </c>
      <c r="B2174" t="str">
        <f>"300694"</f>
        <v>300694</v>
      </c>
      <c r="C2174" t="s">
        <v>4659</v>
      </c>
      <c r="D2174" t="s">
        <v>122</v>
      </c>
      <c r="E2174">
        <v>434196027</v>
      </c>
      <c r="F2174">
        <v>386430015</v>
      </c>
      <c r="G2174">
        <v>410296750</v>
      </c>
      <c r="H2174">
        <v>387434918</v>
      </c>
      <c r="I2174">
        <v>0</v>
      </c>
      <c r="P2174">
        <v>74</v>
      </c>
      <c r="Q2174" t="s">
        <v>4660</v>
      </c>
    </row>
    <row r="2175" spans="1:17" x14ac:dyDescent="0.3">
      <c r="A2175" t="s">
        <v>17</v>
      </c>
      <c r="B2175" t="str">
        <f>"600756"</f>
        <v>600756</v>
      </c>
      <c r="C2175" t="s">
        <v>4661</v>
      </c>
      <c r="D2175" t="s">
        <v>302</v>
      </c>
      <c r="E2175">
        <v>433712326</v>
      </c>
      <c r="F2175">
        <v>251200601</v>
      </c>
      <c r="G2175">
        <v>422854947</v>
      </c>
      <c r="H2175">
        <v>382839504</v>
      </c>
      <c r="I2175">
        <v>463378905</v>
      </c>
      <c r="J2175">
        <v>472966675</v>
      </c>
      <c r="K2175">
        <v>391307941</v>
      </c>
      <c r="L2175">
        <v>419200846</v>
      </c>
      <c r="M2175">
        <v>283855043</v>
      </c>
      <c r="N2175">
        <v>295155138</v>
      </c>
      <c r="O2175">
        <v>213235581</v>
      </c>
      <c r="P2175">
        <v>265</v>
      </c>
      <c r="Q2175" t="s">
        <v>4662</v>
      </c>
    </row>
    <row r="2176" spans="1:17" x14ac:dyDescent="0.3">
      <c r="A2176" t="s">
        <v>73</v>
      </c>
      <c r="B2176" t="str">
        <f>"000552"</f>
        <v>000552</v>
      </c>
      <c r="C2176" t="s">
        <v>4663</v>
      </c>
      <c r="D2176" t="s">
        <v>218</v>
      </c>
      <c r="E2176">
        <v>433567757</v>
      </c>
      <c r="F2176">
        <v>559923046</v>
      </c>
      <c r="G2176">
        <v>1050965046</v>
      </c>
      <c r="H2176">
        <v>813076190</v>
      </c>
      <c r="I2176">
        <v>497936143</v>
      </c>
      <c r="J2176">
        <v>1365810793</v>
      </c>
      <c r="K2176">
        <v>1158965112</v>
      </c>
      <c r="L2176">
        <v>615951080</v>
      </c>
      <c r="M2176">
        <v>631440412</v>
      </c>
      <c r="N2176">
        <v>298444157</v>
      </c>
      <c r="O2176">
        <v>209968323</v>
      </c>
      <c r="P2176">
        <v>263</v>
      </c>
      <c r="Q2176" t="s">
        <v>4664</v>
      </c>
    </row>
    <row r="2177" spans="1:17" x14ac:dyDescent="0.3">
      <c r="A2177" t="s">
        <v>73</v>
      </c>
      <c r="B2177" t="str">
        <f>"300538"</f>
        <v>300538</v>
      </c>
      <c r="C2177" t="s">
        <v>4665</v>
      </c>
      <c r="D2177" t="s">
        <v>570</v>
      </c>
      <c r="E2177">
        <v>433404559</v>
      </c>
      <c r="F2177">
        <v>539626038</v>
      </c>
      <c r="G2177">
        <v>493546372</v>
      </c>
      <c r="H2177">
        <v>245258147</v>
      </c>
      <c r="I2177">
        <v>185518181</v>
      </c>
      <c r="J2177">
        <v>164600393</v>
      </c>
      <c r="K2177">
        <v>0</v>
      </c>
      <c r="P2177">
        <v>186</v>
      </c>
      <c r="Q2177" t="s">
        <v>4666</v>
      </c>
    </row>
    <row r="2178" spans="1:17" x14ac:dyDescent="0.3">
      <c r="A2178" t="s">
        <v>73</v>
      </c>
      <c r="B2178" t="str">
        <f>"300681"</f>
        <v>300681</v>
      </c>
      <c r="C2178" t="s">
        <v>4667</v>
      </c>
      <c r="D2178" t="s">
        <v>442</v>
      </c>
      <c r="E2178">
        <v>432752522</v>
      </c>
      <c r="F2178">
        <v>157979589</v>
      </c>
      <c r="G2178">
        <v>97599845</v>
      </c>
      <c r="H2178">
        <v>136805425</v>
      </c>
      <c r="I2178">
        <v>210840944</v>
      </c>
      <c r="J2178">
        <v>159591290</v>
      </c>
      <c r="P2178">
        <v>89</v>
      </c>
      <c r="Q2178" t="s">
        <v>4668</v>
      </c>
    </row>
    <row r="2179" spans="1:17" x14ac:dyDescent="0.3">
      <c r="A2179" t="s">
        <v>17</v>
      </c>
      <c r="B2179" t="str">
        <f>"601929"</f>
        <v>601929</v>
      </c>
      <c r="C2179" t="s">
        <v>4669</v>
      </c>
      <c r="D2179" t="s">
        <v>1040</v>
      </c>
      <c r="E2179">
        <v>432566743</v>
      </c>
      <c r="F2179">
        <v>247828181</v>
      </c>
      <c r="G2179">
        <v>232488267</v>
      </c>
      <c r="H2179">
        <v>265688230</v>
      </c>
      <c r="I2179">
        <v>244638491</v>
      </c>
      <c r="J2179">
        <v>303368061</v>
      </c>
      <c r="K2179">
        <v>235288731</v>
      </c>
      <c r="L2179">
        <v>190972931</v>
      </c>
      <c r="M2179">
        <v>148042426</v>
      </c>
      <c r="N2179">
        <v>85888021</v>
      </c>
      <c r="O2179">
        <v>33419223</v>
      </c>
      <c r="P2179">
        <v>159</v>
      </c>
      <c r="Q2179" t="s">
        <v>4670</v>
      </c>
    </row>
    <row r="2180" spans="1:17" x14ac:dyDescent="0.3">
      <c r="A2180" t="s">
        <v>73</v>
      </c>
      <c r="B2180" t="str">
        <f>"300259"</f>
        <v>300259</v>
      </c>
      <c r="C2180" t="s">
        <v>4671</v>
      </c>
      <c r="D2180" t="s">
        <v>2280</v>
      </c>
      <c r="E2180">
        <v>432319626</v>
      </c>
      <c r="F2180">
        <v>399660893</v>
      </c>
      <c r="G2180">
        <v>418128176</v>
      </c>
      <c r="H2180">
        <v>380727783</v>
      </c>
      <c r="I2180">
        <v>357093075</v>
      </c>
      <c r="J2180">
        <v>185690523</v>
      </c>
      <c r="K2180">
        <v>145066506</v>
      </c>
      <c r="L2180">
        <v>104110338</v>
      </c>
      <c r="M2180">
        <v>90613310</v>
      </c>
      <c r="N2180">
        <v>88058678</v>
      </c>
      <c r="O2180">
        <v>60908520</v>
      </c>
      <c r="P2180">
        <v>360</v>
      </c>
      <c r="Q2180" t="s">
        <v>4672</v>
      </c>
    </row>
    <row r="2181" spans="1:17" x14ac:dyDescent="0.3">
      <c r="A2181" t="s">
        <v>73</v>
      </c>
      <c r="B2181" t="str">
        <f>"300556"</f>
        <v>300556</v>
      </c>
      <c r="C2181" t="s">
        <v>4673</v>
      </c>
      <c r="D2181" t="s">
        <v>795</v>
      </c>
      <c r="E2181">
        <v>432225218</v>
      </c>
      <c r="F2181">
        <v>329805037</v>
      </c>
      <c r="G2181">
        <v>365556974</v>
      </c>
      <c r="H2181">
        <v>309684109</v>
      </c>
      <c r="I2181">
        <v>211191918</v>
      </c>
      <c r="J2181">
        <v>177951803</v>
      </c>
      <c r="K2181">
        <v>0</v>
      </c>
      <c r="P2181">
        <v>112</v>
      </c>
      <c r="Q2181" t="s">
        <v>4674</v>
      </c>
    </row>
    <row r="2182" spans="1:17" x14ac:dyDescent="0.3">
      <c r="A2182" t="s">
        <v>73</v>
      </c>
      <c r="B2182" t="str">
        <f>"300466"</f>
        <v>300466</v>
      </c>
      <c r="C2182" t="s">
        <v>4675</v>
      </c>
      <c r="D2182" t="s">
        <v>1280</v>
      </c>
      <c r="E2182">
        <v>431990026</v>
      </c>
      <c r="F2182">
        <v>426511504</v>
      </c>
      <c r="G2182">
        <v>333916453</v>
      </c>
      <c r="H2182">
        <v>402865579</v>
      </c>
      <c r="I2182">
        <v>440478855</v>
      </c>
      <c r="J2182">
        <v>384291444</v>
      </c>
      <c r="K2182">
        <v>259088447</v>
      </c>
      <c r="L2182">
        <v>232485007</v>
      </c>
      <c r="P2182">
        <v>121</v>
      </c>
      <c r="Q2182" t="s">
        <v>4676</v>
      </c>
    </row>
    <row r="2183" spans="1:17" x14ac:dyDescent="0.3">
      <c r="A2183" t="s">
        <v>73</v>
      </c>
      <c r="B2183" t="str">
        <f>"002576"</f>
        <v>002576</v>
      </c>
      <c r="C2183" t="s">
        <v>4677</v>
      </c>
      <c r="D2183" t="s">
        <v>689</v>
      </c>
      <c r="E2183">
        <v>431988136</v>
      </c>
      <c r="F2183">
        <v>360592922</v>
      </c>
      <c r="G2183">
        <v>243439429</v>
      </c>
      <c r="H2183">
        <v>245934937</v>
      </c>
      <c r="I2183">
        <v>199793280</v>
      </c>
      <c r="J2183">
        <v>178846357</v>
      </c>
      <c r="K2183">
        <v>169023553</v>
      </c>
      <c r="L2183">
        <v>195211505</v>
      </c>
      <c r="M2183">
        <v>189399483</v>
      </c>
      <c r="N2183">
        <v>150878535</v>
      </c>
      <c r="O2183">
        <v>137663467</v>
      </c>
      <c r="P2183">
        <v>123</v>
      </c>
      <c r="Q2183" t="s">
        <v>4678</v>
      </c>
    </row>
    <row r="2184" spans="1:17" x14ac:dyDescent="0.3">
      <c r="A2184" t="s">
        <v>73</v>
      </c>
      <c r="B2184" t="str">
        <f>"301168"</f>
        <v>301168</v>
      </c>
      <c r="C2184" t="s">
        <v>4679</v>
      </c>
      <c r="D2184" t="s">
        <v>919</v>
      </c>
      <c r="E2184">
        <v>431857329</v>
      </c>
      <c r="P2184">
        <v>14</v>
      </c>
      <c r="Q2184" t="s">
        <v>4680</v>
      </c>
    </row>
    <row r="2185" spans="1:17" x14ac:dyDescent="0.3">
      <c r="A2185" t="s">
        <v>73</v>
      </c>
      <c r="B2185" t="str">
        <f>"300230"</f>
        <v>300230</v>
      </c>
      <c r="C2185" t="s">
        <v>4681</v>
      </c>
      <c r="D2185" t="s">
        <v>3079</v>
      </c>
      <c r="E2185">
        <v>431777720</v>
      </c>
      <c r="F2185">
        <v>695198043</v>
      </c>
      <c r="G2185">
        <v>504677163</v>
      </c>
      <c r="H2185">
        <v>640251657</v>
      </c>
      <c r="I2185">
        <v>521988353</v>
      </c>
      <c r="J2185">
        <v>540561817</v>
      </c>
      <c r="K2185">
        <v>251636673</v>
      </c>
      <c r="L2185">
        <v>98762701</v>
      </c>
      <c r="M2185">
        <v>86762235</v>
      </c>
      <c r="N2185">
        <v>86303742</v>
      </c>
      <c r="O2185">
        <v>70329956</v>
      </c>
      <c r="P2185">
        <v>169</v>
      </c>
      <c r="Q2185" t="s">
        <v>4682</v>
      </c>
    </row>
    <row r="2186" spans="1:17" x14ac:dyDescent="0.3">
      <c r="A2186" t="s">
        <v>17</v>
      </c>
      <c r="B2186" t="str">
        <f>"605033"</f>
        <v>605033</v>
      </c>
      <c r="C2186" t="s">
        <v>4683</v>
      </c>
      <c r="D2186" t="s">
        <v>272</v>
      </c>
      <c r="E2186">
        <v>431712214</v>
      </c>
      <c r="F2186">
        <v>127081556</v>
      </c>
      <c r="P2186">
        <v>14</v>
      </c>
      <c r="Q2186" t="s">
        <v>4684</v>
      </c>
    </row>
    <row r="2187" spans="1:17" x14ac:dyDescent="0.3">
      <c r="A2187" t="s">
        <v>73</v>
      </c>
      <c r="B2187" t="str">
        <f>"301051"</f>
        <v>301051</v>
      </c>
      <c r="C2187" t="s">
        <v>4685</v>
      </c>
      <c r="D2187" t="s">
        <v>42</v>
      </c>
      <c r="E2187">
        <v>431581824</v>
      </c>
      <c r="P2187">
        <v>18</v>
      </c>
      <c r="Q2187" t="s">
        <v>4686</v>
      </c>
    </row>
    <row r="2188" spans="1:17" x14ac:dyDescent="0.3">
      <c r="A2188" t="s">
        <v>73</v>
      </c>
      <c r="B2188" t="str">
        <f>"300543"</f>
        <v>300543</v>
      </c>
      <c r="C2188" t="s">
        <v>4687</v>
      </c>
      <c r="D2188" t="s">
        <v>42</v>
      </c>
      <c r="E2188">
        <v>431285047</v>
      </c>
      <c r="F2188">
        <v>358000194</v>
      </c>
      <c r="G2188">
        <v>113248290</v>
      </c>
      <c r="H2188">
        <v>196001494</v>
      </c>
      <c r="I2188">
        <v>130728801</v>
      </c>
      <c r="J2188">
        <v>111306610</v>
      </c>
      <c r="K2188">
        <v>0</v>
      </c>
      <c r="P2188">
        <v>152</v>
      </c>
      <c r="Q2188" t="s">
        <v>4688</v>
      </c>
    </row>
    <row r="2189" spans="1:17" x14ac:dyDescent="0.3">
      <c r="A2189" t="s">
        <v>73</v>
      </c>
      <c r="B2189" t="str">
        <f>"002686"</f>
        <v>002686</v>
      </c>
      <c r="C2189" t="s">
        <v>4689</v>
      </c>
      <c r="D2189" t="s">
        <v>2227</v>
      </c>
      <c r="E2189">
        <v>430701765</v>
      </c>
      <c r="F2189">
        <v>458716520</v>
      </c>
      <c r="G2189">
        <v>385694087</v>
      </c>
      <c r="H2189">
        <v>534411619</v>
      </c>
      <c r="I2189">
        <v>501372018</v>
      </c>
      <c r="J2189">
        <v>359779208</v>
      </c>
      <c r="K2189">
        <v>221649384</v>
      </c>
      <c r="L2189">
        <v>192202196</v>
      </c>
      <c r="M2189">
        <v>155668310</v>
      </c>
      <c r="N2189">
        <v>131050975</v>
      </c>
      <c r="O2189">
        <v>104964952</v>
      </c>
      <c r="P2189">
        <v>78</v>
      </c>
      <c r="Q2189" t="s">
        <v>4690</v>
      </c>
    </row>
    <row r="2190" spans="1:17" x14ac:dyDescent="0.3">
      <c r="A2190" t="s">
        <v>73</v>
      </c>
      <c r="B2190" t="str">
        <f>"300082"</f>
        <v>300082</v>
      </c>
      <c r="C2190" t="s">
        <v>4691</v>
      </c>
      <c r="D2190" t="s">
        <v>4692</v>
      </c>
      <c r="E2190">
        <v>430319022</v>
      </c>
      <c r="F2190">
        <v>268055601</v>
      </c>
      <c r="G2190">
        <v>263460873</v>
      </c>
      <c r="H2190">
        <v>409600411</v>
      </c>
      <c r="I2190">
        <v>422640473</v>
      </c>
      <c r="J2190">
        <v>529107341</v>
      </c>
      <c r="K2190">
        <v>514959125</v>
      </c>
      <c r="L2190">
        <v>548032398</v>
      </c>
      <c r="M2190">
        <v>458705464</v>
      </c>
      <c r="N2190">
        <v>423654997</v>
      </c>
      <c r="O2190">
        <v>515258333</v>
      </c>
      <c r="P2190">
        <v>176</v>
      </c>
      <c r="Q2190" t="s">
        <v>4693</v>
      </c>
    </row>
    <row r="2191" spans="1:17" x14ac:dyDescent="0.3">
      <c r="A2191" t="s">
        <v>73</v>
      </c>
      <c r="B2191" t="str">
        <f>"300441"</f>
        <v>300441</v>
      </c>
      <c r="C2191" t="s">
        <v>4694</v>
      </c>
      <c r="D2191" t="s">
        <v>873</v>
      </c>
      <c r="E2191">
        <v>430207724</v>
      </c>
      <c r="F2191">
        <v>480198336</v>
      </c>
      <c r="G2191">
        <v>361337551</v>
      </c>
      <c r="H2191">
        <v>341461431</v>
      </c>
      <c r="I2191">
        <v>280870591</v>
      </c>
      <c r="J2191">
        <v>190915044</v>
      </c>
      <c r="K2191">
        <v>63413346</v>
      </c>
      <c r="L2191">
        <v>53663189</v>
      </c>
      <c r="M2191">
        <v>0</v>
      </c>
      <c r="P2191">
        <v>96</v>
      </c>
      <c r="Q2191" t="s">
        <v>4695</v>
      </c>
    </row>
    <row r="2192" spans="1:17" x14ac:dyDescent="0.3">
      <c r="A2192" t="s">
        <v>73</v>
      </c>
      <c r="B2192" t="str">
        <f>"002889"</f>
        <v>002889</v>
      </c>
      <c r="C2192" t="s">
        <v>4696</v>
      </c>
      <c r="D2192" t="s">
        <v>233</v>
      </c>
      <c r="E2192">
        <v>429644399</v>
      </c>
      <c r="F2192">
        <v>583802044</v>
      </c>
      <c r="G2192">
        <v>2768694362</v>
      </c>
      <c r="H2192">
        <v>3078286845</v>
      </c>
      <c r="I2192">
        <v>1759528494</v>
      </c>
      <c r="J2192">
        <v>0</v>
      </c>
      <c r="P2192">
        <v>123</v>
      </c>
      <c r="Q2192" t="s">
        <v>4697</v>
      </c>
    </row>
    <row r="2193" spans="1:17" x14ac:dyDescent="0.3">
      <c r="A2193" t="s">
        <v>73</v>
      </c>
      <c r="B2193" t="str">
        <f>"000423"</f>
        <v>000423</v>
      </c>
      <c r="C2193" t="s">
        <v>4698</v>
      </c>
      <c r="D2193" t="s">
        <v>215</v>
      </c>
      <c r="E2193">
        <v>429393043</v>
      </c>
      <c r="F2193">
        <v>445701518</v>
      </c>
      <c r="G2193">
        <v>1088750916</v>
      </c>
      <c r="H2193">
        <v>1540087318</v>
      </c>
      <c r="I2193">
        <v>522609303</v>
      </c>
      <c r="J2193">
        <v>367754458</v>
      </c>
      <c r="K2193">
        <v>445127414</v>
      </c>
      <c r="L2193">
        <v>350913406</v>
      </c>
      <c r="M2193">
        <v>241782399</v>
      </c>
      <c r="N2193">
        <v>248891674</v>
      </c>
      <c r="O2193">
        <v>109429602</v>
      </c>
      <c r="P2193">
        <v>24620</v>
      </c>
      <c r="Q2193" t="s">
        <v>4699</v>
      </c>
    </row>
    <row r="2194" spans="1:17" x14ac:dyDescent="0.3">
      <c r="A2194" t="s">
        <v>73</v>
      </c>
      <c r="B2194" t="str">
        <f>"300512"</f>
        <v>300512</v>
      </c>
      <c r="C2194" t="s">
        <v>4700</v>
      </c>
      <c r="D2194" t="s">
        <v>2099</v>
      </c>
      <c r="E2194">
        <v>429217395</v>
      </c>
      <c r="F2194">
        <v>230409539</v>
      </c>
      <c r="G2194">
        <v>245159663</v>
      </c>
      <c r="H2194">
        <v>191186516</v>
      </c>
      <c r="I2194">
        <v>111249107</v>
      </c>
      <c r="J2194">
        <v>98670251</v>
      </c>
      <c r="K2194">
        <v>80720079</v>
      </c>
      <c r="L2194">
        <v>0</v>
      </c>
      <c r="P2194">
        <v>161</v>
      </c>
      <c r="Q2194" t="s">
        <v>4701</v>
      </c>
    </row>
    <row r="2195" spans="1:17" x14ac:dyDescent="0.3">
      <c r="A2195" t="s">
        <v>17</v>
      </c>
      <c r="B2195" t="str">
        <f>"688700"</f>
        <v>688700</v>
      </c>
      <c r="C2195" t="s">
        <v>4702</v>
      </c>
      <c r="D2195" t="s">
        <v>1451</v>
      </c>
      <c r="E2195">
        <v>428713147</v>
      </c>
      <c r="F2195">
        <v>306386864</v>
      </c>
      <c r="P2195">
        <v>34</v>
      </c>
      <c r="Q2195" t="s">
        <v>4703</v>
      </c>
    </row>
    <row r="2196" spans="1:17" x14ac:dyDescent="0.3">
      <c r="A2196" t="s">
        <v>73</v>
      </c>
      <c r="B2196" t="str">
        <f>"300493"</f>
        <v>300493</v>
      </c>
      <c r="C2196" t="s">
        <v>4704</v>
      </c>
      <c r="D2196" t="s">
        <v>651</v>
      </c>
      <c r="E2196">
        <v>428277933</v>
      </c>
      <c r="F2196">
        <v>348551568</v>
      </c>
      <c r="G2196">
        <v>226689040</v>
      </c>
      <c r="H2196">
        <v>312572862</v>
      </c>
      <c r="I2196">
        <v>280955052</v>
      </c>
      <c r="J2196">
        <v>299474067</v>
      </c>
      <c r="K2196">
        <v>197949496</v>
      </c>
      <c r="L2196">
        <v>0</v>
      </c>
      <c r="M2196">
        <v>0</v>
      </c>
      <c r="P2196">
        <v>187</v>
      </c>
      <c r="Q2196" t="s">
        <v>4705</v>
      </c>
    </row>
    <row r="2197" spans="1:17" x14ac:dyDescent="0.3">
      <c r="A2197" t="s">
        <v>17</v>
      </c>
      <c r="B2197" t="str">
        <f>"603085"</f>
        <v>603085</v>
      </c>
      <c r="C2197" t="s">
        <v>4706</v>
      </c>
      <c r="D2197" t="s">
        <v>106</v>
      </c>
      <c r="E2197">
        <v>428208450</v>
      </c>
      <c r="F2197">
        <v>417055044</v>
      </c>
      <c r="G2197">
        <v>271409425</v>
      </c>
      <c r="H2197">
        <v>335996709</v>
      </c>
      <c r="I2197">
        <v>299395716</v>
      </c>
      <c r="J2197">
        <v>129873738</v>
      </c>
      <c r="K2197">
        <v>95980160</v>
      </c>
      <c r="L2197">
        <v>0</v>
      </c>
      <c r="P2197">
        <v>81</v>
      </c>
      <c r="Q2197" t="s">
        <v>4707</v>
      </c>
    </row>
    <row r="2198" spans="1:17" x14ac:dyDescent="0.3">
      <c r="A2198" t="s">
        <v>17</v>
      </c>
      <c r="B2198" t="str">
        <f>"688686"</f>
        <v>688686</v>
      </c>
      <c r="C2198" t="s">
        <v>4708</v>
      </c>
      <c r="D2198" t="s">
        <v>1967</v>
      </c>
      <c r="E2198">
        <v>427861808</v>
      </c>
      <c r="F2198">
        <v>345648823</v>
      </c>
      <c r="G2198">
        <v>0</v>
      </c>
      <c r="P2198">
        <v>117</v>
      </c>
      <c r="Q2198" t="s">
        <v>4709</v>
      </c>
    </row>
    <row r="2199" spans="1:17" x14ac:dyDescent="0.3">
      <c r="A2199" t="s">
        <v>73</v>
      </c>
      <c r="B2199" t="str">
        <f>"002480"</f>
        <v>002480</v>
      </c>
      <c r="C2199" t="s">
        <v>4710</v>
      </c>
      <c r="D2199" t="s">
        <v>146</v>
      </c>
      <c r="E2199">
        <v>427433352</v>
      </c>
      <c r="F2199">
        <v>346071545</v>
      </c>
      <c r="G2199">
        <v>1075200268</v>
      </c>
      <c r="H2199">
        <v>1827778020</v>
      </c>
      <c r="I2199">
        <v>1345861161</v>
      </c>
      <c r="J2199">
        <v>785954704</v>
      </c>
      <c r="K2199">
        <v>981049803</v>
      </c>
      <c r="L2199">
        <v>1084553732</v>
      </c>
      <c r="M2199">
        <v>900072904</v>
      </c>
      <c r="N2199">
        <v>616412405</v>
      </c>
      <c r="O2199">
        <v>782967189</v>
      </c>
      <c r="P2199">
        <v>107</v>
      </c>
      <c r="Q2199" t="s">
        <v>4711</v>
      </c>
    </row>
    <row r="2200" spans="1:17" x14ac:dyDescent="0.3">
      <c r="A2200" t="s">
        <v>73</v>
      </c>
      <c r="B2200" t="str">
        <f>"300465"</f>
        <v>300465</v>
      </c>
      <c r="C2200" t="s">
        <v>4712</v>
      </c>
      <c r="D2200" t="s">
        <v>795</v>
      </c>
      <c r="E2200">
        <v>427359076</v>
      </c>
      <c r="F2200">
        <v>371372192</v>
      </c>
      <c r="G2200">
        <v>529506611</v>
      </c>
      <c r="H2200">
        <v>650612964</v>
      </c>
      <c r="I2200">
        <v>648686575</v>
      </c>
      <c r="J2200">
        <v>465281106</v>
      </c>
      <c r="K2200">
        <v>336410639</v>
      </c>
      <c r="L2200">
        <v>300721489</v>
      </c>
      <c r="M2200">
        <v>0</v>
      </c>
      <c r="P2200">
        <v>252</v>
      </c>
      <c r="Q2200" t="s">
        <v>4713</v>
      </c>
    </row>
    <row r="2201" spans="1:17" x14ac:dyDescent="0.3">
      <c r="A2201" t="s">
        <v>73</v>
      </c>
      <c r="B2201" t="str">
        <f>"002972"</f>
        <v>002972</v>
      </c>
      <c r="C2201" t="s">
        <v>4714</v>
      </c>
      <c r="D2201" t="s">
        <v>47</v>
      </c>
      <c r="E2201">
        <v>427275623</v>
      </c>
      <c r="F2201">
        <v>338007838</v>
      </c>
      <c r="G2201">
        <v>272160061</v>
      </c>
      <c r="H2201">
        <v>280311092</v>
      </c>
      <c r="I2201">
        <v>167747440</v>
      </c>
      <c r="P2201">
        <v>188</v>
      </c>
      <c r="Q2201" t="s">
        <v>4715</v>
      </c>
    </row>
    <row r="2202" spans="1:17" x14ac:dyDescent="0.3">
      <c r="A2202" t="s">
        <v>73</v>
      </c>
      <c r="B2202" t="str">
        <f>"000766"</f>
        <v>000766</v>
      </c>
      <c r="C2202" t="s">
        <v>4716</v>
      </c>
      <c r="D2202" t="s">
        <v>348</v>
      </c>
      <c r="E2202">
        <v>426968445</v>
      </c>
      <c r="F2202">
        <v>537555237</v>
      </c>
      <c r="G2202">
        <v>678437993</v>
      </c>
      <c r="H2202">
        <v>599555654</v>
      </c>
      <c r="I2202">
        <v>482291276</v>
      </c>
      <c r="J2202">
        <v>269521847</v>
      </c>
      <c r="K2202">
        <v>149091284</v>
      </c>
      <c r="L2202">
        <v>47515619</v>
      </c>
      <c r="M2202">
        <v>22361671</v>
      </c>
      <c r="N2202">
        <v>142498968</v>
      </c>
      <c r="O2202">
        <v>144339804</v>
      </c>
      <c r="P2202">
        <v>146</v>
      </c>
      <c r="Q2202" t="s">
        <v>4717</v>
      </c>
    </row>
    <row r="2203" spans="1:17" x14ac:dyDescent="0.3">
      <c r="A2203" t="s">
        <v>73</v>
      </c>
      <c r="B2203" t="str">
        <f>"002803"</f>
        <v>002803</v>
      </c>
      <c r="C2203" t="s">
        <v>4718</v>
      </c>
      <c r="D2203" t="s">
        <v>3100</v>
      </c>
      <c r="E2203">
        <v>426836075</v>
      </c>
      <c r="F2203">
        <v>485061959</v>
      </c>
      <c r="G2203">
        <v>457526184</v>
      </c>
      <c r="H2203">
        <v>309128158</v>
      </c>
      <c r="I2203">
        <v>217202342</v>
      </c>
      <c r="J2203">
        <v>148501452</v>
      </c>
      <c r="K2203">
        <v>154420277</v>
      </c>
      <c r="L2203">
        <v>0</v>
      </c>
      <c r="P2203">
        <v>601</v>
      </c>
      <c r="Q2203" t="s">
        <v>4719</v>
      </c>
    </row>
    <row r="2204" spans="1:17" x14ac:dyDescent="0.3">
      <c r="A2204" t="s">
        <v>73</v>
      </c>
      <c r="B2204" t="str">
        <f>"002805"</f>
        <v>002805</v>
      </c>
      <c r="C2204" t="s">
        <v>4720</v>
      </c>
      <c r="D2204" t="s">
        <v>4692</v>
      </c>
      <c r="E2204">
        <v>426767922</v>
      </c>
      <c r="F2204">
        <v>194728053</v>
      </c>
      <c r="G2204">
        <v>152651721</v>
      </c>
      <c r="H2204">
        <v>122570837</v>
      </c>
      <c r="I2204">
        <v>73623567</v>
      </c>
      <c r="J2204">
        <v>89587039</v>
      </c>
      <c r="K2204">
        <v>61508487</v>
      </c>
      <c r="L2204">
        <v>0</v>
      </c>
      <c r="P2204">
        <v>113</v>
      </c>
      <c r="Q2204" t="s">
        <v>4721</v>
      </c>
    </row>
    <row r="2205" spans="1:17" x14ac:dyDescent="0.3">
      <c r="A2205" t="s">
        <v>73</v>
      </c>
      <c r="B2205" t="str">
        <f>"000822"</f>
        <v>000822</v>
      </c>
      <c r="C2205" t="s">
        <v>4722</v>
      </c>
      <c r="D2205" t="s">
        <v>2812</v>
      </c>
      <c r="E2205">
        <v>426284928</v>
      </c>
      <c r="F2205">
        <v>269137190</v>
      </c>
      <c r="G2205">
        <v>131689455</v>
      </c>
      <c r="H2205">
        <v>176239840</v>
      </c>
      <c r="I2205">
        <v>217482789</v>
      </c>
      <c r="J2205">
        <v>290248649</v>
      </c>
      <c r="K2205">
        <v>273938422</v>
      </c>
      <c r="L2205">
        <v>230094494</v>
      </c>
      <c r="M2205">
        <v>232942393</v>
      </c>
      <c r="N2205">
        <v>220268565</v>
      </c>
      <c r="O2205">
        <v>193894493</v>
      </c>
      <c r="P2205">
        <v>211</v>
      </c>
      <c r="Q2205" t="s">
        <v>4723</v>
      </c>
    </row>
    <row r="2206" spans="1:17" x14ac:dyDescent="0.3">
      <c r="A2206" t="s">
        <v>73</v>
      </c>
      <c r="B2206" t="str">
        <f>"002455"</f>
        <v>002455</v>
      </c>
      <c r="C2206" t="s">
        <v>4724</v>
      </c>
      <c r="D2206" t="s">
        <v>588</v>
      </c>
      <c r="E2206">
        <v>426163180</v>
      </c>
      <c r="F2206">
        <v>410901066</v>
      </c>
      <c r="G2206">
        <v>118495937</v>
      </c>
      <c r="H2206">
        <v>200342636</v>
      </c>
      <c r="I2206">
        <v>153504406</v>
      </c>
      <c r="J2206">
        <v>138724336</v>
      </c>
      <c r="K2206">
        <v>124745252</v>
      </c>
      <c r="L2206">
        <v>151211136</v>
      </c>
      <c r="M2206">
        <v>228105546</v>
      </c>
      <c r="N2206">
        <v>207562163</v>
      </c>
      <c r="O2206">
        <v>138492402</v>
      </c>
      <c r="P2206">
        <v>209</v>
      </c>
      <c r="Q2206" t="s">
        <v>4725</v>
      </c>
    </row>
    <row r="2207" spans="1:17" x14ac:dyDescent="0.3">
      <c r="A2207" t="s">
        <v>73</v>
      </c>
      <c r="B2207" t="str">
        <f>"300878"</f>
        <v>300878</v>
      </c>
      <c r="C2207" t="s">
        <v>4726</v>
      </c>
      <c r="D2207" t="s">
        <v>215</v>
      </c>
      <c r="E2207">
        <v>425360607</v>
      </c>
      <c r="F2207">
        <v>295804548</v>
      </c>
      <c r="P2207">
        <v>132</v>
      </c>
      <c r="Q2207" t="s">
        <v>4727</v>
      </c>
    </row>
    <row r="2208" spans="1:17" x14ac:dyDescent="0.3">
      <c r="A2208" t="s">
        <v>17</v>
      </c>
      <c r="B2208" t="str">
        <f>"688166"</f>
        <v>688166</v>
      </c>
      <c r="C2208" t="s">
        <v>4728</v>
      </c>
      <c r="D2208" t="s">
        <v>348</v>
      </c>
      <c r="E2208">
        <v>425348370</v>
      </c>
      <c r="F2208">
        <v>174760278</v>
      </c>
      <c r="G2208">
        <v>160469354</v>
      </c>
      <c r="H2208">
        <v>122583318</v>
      </c>
      <c r="P2208">
        <v>190</v>
      </c>
      <c r="Q2208" t="s">
        <v>4729</v>
      </c>
    </row>
    <row r="2209" spans="1:17" x14ac:dyDescent="0.3">
      <c r="A2209" t="s">
        <v>73</v>
      </c>
      <c r="B2209" t="str">
        <f>"300978"</f>
        <v>300978</v>
      </c>
      <c r="C2209" t="s">
        <v>4730</v>
      </c>
      <c r="D2209" t="s">
        <v>106</v>
      </c>
      <c r="E2209">
        <v>424940207</v>
      </c>
      <c r="F2209">
        <v>300036228</v>
      </c>
      <c r="P2209">
        <v>37</v>
      </c>
      <c r="Q2209" t="s">
        <v>4731</v>
      </c>
    </row>
    <row r="2210" spans="1:17" x14ac:dyDescent="0.3">
      <c r="A2210" t="s">
        <v>17</v>
      </c>
      <c r="B2210" t="str">
        <f>"603515"</f>
        <v>603515</v>
      </c>
      <c r="C2210" t="s">
        <v>4732</v>
      </c>
      <c r="D2210" t="s">
        <v>1424</v>
      </c>
      <c r="E2210">
        <v>424813966</v>
      </c>
      <c r="F2210">
        <v>440769505</v>
      </c>
      <c r="G2210">
        <v>387093546</v>
      </c>
      <c r="H2210">
        <v>486410636</v>
      </c>
      <c r="I2210">
        <v>437276247</v>
      </c>
      <c r="J2210">
        <v>349207744</v>
      </c>
      <c r="K2210">
        <v>0</v>
      </c>
      <c r="L2210">
        <v>0</v>
      </c>
      <c r="P2210">
        <v>2557</v>
      </c>
      <c r="Q2210" t="s">
        <v>4733</v>
      </c>
    </row>
    <row r="2211" spans="1:17" x14ac:dyDescent="0.3">
      <c r="A2211" t="s">
        <v>17</v>
      </c>
      <c r="B2211" t="str">
        <f>"603687"</f>
        <v>603687</v>
      </c>
      <c r="C2211" t="s">
        <v>4734</v>
      </c>
      <c r="D2211" t="s">
        <v>577</v>
      </c>
      <c r="E2211">
        <v>424171727</v>
      </c>
      <c r="F2211">
        <v>320292155</v>
      </c>
      <c r="G2211">
        <v>256330579</v>
      </c>
      <c r="H2211">
        <v>0</v>
      </c>
      <c r="P2211">
        <v>92</v>
      </c>
      <c r="Q2211" t="s">
        <v>4735</v>
      </c>
    </row>
    <row r="2212" spans="1:17" x14ac:dyDescent="0.3">
      <c r="A2212" t="s">
        <v>73</v>
      </c>
      <c r="B2212" t="str">
        <f>"003019"</f>
        <v>003019</v>
      </c>
      <c r="C2212" t="s">
        <v>4736</v>
      </c>
      <c r="D2212" t="s">
        <v>97</v>
      </c>
      <c r="E2212">
        <v>423124402</v>
      </c>
      <c r="F2212">
        <v>237374502</v>
      </c>
      <c r="P2212">
        <v>62</v>
      </c>
      <c r="Q2212" t="s">
        <v>4737</v>
      </c>
    </row>
    <row r="2213" spans="1:17" x14ac:dyDescent="0.3">
      <c r="A2213" t="s">
        <v>17</v>
      </c>
      <c r="B2213" t="str">
        <f>"605588"</f>
        <v>605588</v>
      </c>
      <c r="C2213" t="s">
        <v>4738</v>
      </c>
      <c r="D2213" t="s">
        <v>477</v>
      </c>
      <c r="E2213">
        <v>422393907</v>
      </c>
      <c r="F2213">
        <v>403337695</v>
      </c>
      <c r="P2213">
        <v>16</v>
      </c>
      <c r="Q2213" t="s">
        <v>4739</v>
      </c>
    </row>
    <row r="2214" spans="1:17" x14ac:dyDescent="0.3">
      <c r="A2214" t="s">
        <v>17</v>
      </c>
      <c r="B2214" t="str">
        <f>"601952"</f>
        <v>601952</v>
      </c>
      <c r="C2214" t="s">
        <v>4740</v>
      </c>
      <c r="D2214" t="s">
        <v>4741</v>
      </c>
      <c r="E2214">
        <v>422211851</v>
      </c>
      <c r="F2214">
        <v>342283051</v>
      </c>
      <c r="G2214">
        <v>285571634</v>
      </c>
      <c r="H2214">
        <v>361278360</v>
      </c>
      <c r="I2214">
        <v>254775693</v>
      </c>
      <c r="J2214">
        <v>181440886</v>
      </c>
      <c r="P2214">
        <v>313</v>
      </c>
      <c r="Q2214" t="s">
        <v>4742</v>
      </c>
    </row>
    <row r="2215" spans="1:17" x14ac:dyDescent="0.3">
      <c r="A2215" t="s">
        <v>17</v>
      </c>
      <c r="B2215" t="str">
        <f>"605366"</f>
        <v>605366</v>
      </c>
      <c r="C2215" t="s">
        <v>4743</v>
      </c>
      <c r="D2215" t="s">
        <v>588</v>
      </c>
      <c r="E2215">
        <v>421963742</v>
      </c>
      <c r="F2215">
        <v>224463472</v>
      </c>
      <c r="G2215">
        <v>208787344</v>
      </c>
      <c r="P2215">
        <v>59</v>
      </c>
      <c r="Q2215" t="s">
        <v>4744</v>
      </c>
    </row>
    <row r="2216" spans="1:17" x14ac:dyDescent="0.3">
      <c r="A2216" t="s">
        <v>73</v>
      </c>
      <c r="B2216" t="str">
        <f>"300708"</f>
        <v>300708</v>
      </c>
      <c r="C2216" t="s">
        <v>4745</v>
      </c>
      <c r="D2216" t="s">
        <v>737</v>
      </c>
      <c r="E2216">
        <v>421861707</v>
      </c>
      <c r="F2216">
        <v>430605717</v>
      </c>
      <c r="G2216">
        <v>383250089</v>
      </c>
      <c r="H2216">
        <v>286306436</v>
      </c>
      <c r="I2216">
        <v>173835409</v>
      </c>
      <c r="J2216">
        <v>0</v>
      </c>
      <c r="P2216">
        <v>164</v>
      </c>
      <c r="Q2216" t="s">
        <v>4746</v>
      </c>
    </row>
    <row r="2217" spans="1:17" x14ac:dyDescent="0.3">
      <c r="A2217" t="s">
        <v>73</v>
      </c>
      <c r="B2217" t="str">
        <f>"300381"</f>
        <v>300381</v>
      </c>
      <c r="C2217" t="s">
        <v>4747</v>
      </c>
      <c r="D2217" t="s">
        <v>908</v>
      </c>
      <c r="E2217">
        <v>421797354</v>
      </c>
      <c r="F2217">
        <v>568782598</v>
      </c>
      <c r="G2217">
        <v>651206231</v>
      </c>
      <c r="H2217">
        <v>538583645</v>
      </c>
      <c r="I2217">
        <v>499610008</v>
      </c>
      <c r="J2217">
        <v>417172818</v>
      </c>
      <c r="K2217">
        <v>201378402</v>
      </c>
      <c r="L2217">
        <v>129843510</v>
      </c>
      <c r="M2217">
        <v>64952352</v>
      </c>
      <c r="N2217">
        <v>0</v>
      </c>
      <c r="P2217">
        <v>160</v>
      </c>
      <c r="Q2217" t="s">
        <v>4748</v>
      </c>
    </row>
    <row r="2218" spans="1:17" x14ac:dyDescent="0.3">
      <c r="A2218" t="s">
        <v>73</v>
      </c>
      <c r="B2218" t="str">
        <f>"003009"</f>
        <v>003009</v>
      </c>
      <c r="C2218" t="s">
        <v>4749</v>
      </c>
      <c r="D2218" t="s">
        <v>433</v>
      </c>
      <c r="E2218">
        <v>421518097</v>
      </c>
      <c r="F2218">
        <v>405285239</v>
      </c>
      <c r="P2218">
        <v>105</v>
      </c>
      <c r="Q2218" t="s">
        <v>4750</v>
      </c>
    </row>
    <row r="2219" spans="1:17" x14ac:dyDescent="0.3">
      <c r="A2219" t="s">
        <v>73</v>
      </c>
      <c r="B2219" t="str">
        <f>"300346"</f>
        <v>300346</v>
      </c>
      <c r="C2219" t="s">
        <v>4751</v>
      </c>
      <c r="D2219" t="s">
        <v>2178</v>
      </c>
      <c r="E2219">
        <v>421313636</v>
      </c>
      <c r="F2219">
        <v>243048053</v>
      </c>
      <c r="G2219">
        <v>171778269</v>
      </c>
      <c r="H2219">
        <v>120360005</v>
      </c>
      <c r="I2219">
        <v>101947132</v>
      </c>
      <c r="J2219">
        <v>49516894</v>
      </c>
      <c r="K2219">
        <v>58634030</v>
      </c>
      <c r="L2219">
        <v>64448286</v>
      </c>
      <c r="M2219">
        <v>54604325</v>
      </c>
      <c r="N2219">
        <v>32933485</v>
      </c>
      <c r="O2219">
        <v>0</v>
      </c>
      <c r="P2219">
        <v>447</v>
      </c>
      <c r="Q2219" t="s">
        <v>4752</v>
      </c>
    </row>
    <row r="2220" spans="1:17" x14ac:dyDescent="0.3">
      <c r="A2220" t="s">
        <v>73</v>
      </c>
      <c r="B2220" t="str">
        <f>"300800"</f>
        <v>300800</v>
      </c>
      <c r="C2220" t="s">
        <v>4753</v>
      </c>
      <c r="D2220" t="s">
        <v>540</v>
      </c>
      <c r="E2220">
        <v>421219884</v>
      </c>
      <c r="F2220">
        <v>324863197</v>
      </c>
      <c r="G2220">
        <v>259527919</v>
      </c>
      <c r="H2220">
        <v>0</v>
      </c>
      <c r="P2220">
        <v>362</v>
      </c>
      <c r="Q2220" t="s">
        <v>4754</v>
      </c>
    </row>
    <row r="2221" spans="1:17" x14ac:dyDescent="0.3">
      <c r="A2221" t="s">
        <v>17</v>
      </c>
      <c r="B2221" t="str">
        <f>"688051"</f>
        <v>688051</v>
      </c>
      <c r="C2221" t="s">
        <v>4755</v>
      </c>
      <c r="D2221" t="s">
        <v>302</v>
      </c>
      <c r="E2221">
        <v>420245155</v>
      </c>
      <c r="F2221">
        <v>355577749</v>
      </c>
      <c r="G2221">
        <v>368159757</v>
      </c>
      <c r="H2221">
        <v>270709085</v>
      </c>
      <c r="P2221">
        <v>91</v>
      </c>
      <c r="Q2221" t="s">
        <v>4756</v>
      </c>
    </row>
    <row r="2222" spans="1:17" x14ac:dyDescent="0.3">
      <c r="A2222" t="s">
        <v>73</v>
      </c>
      <c r="B2222" t="str">
        <f>"002550"</f>
        <v>002550</v>
      </c>
      <c r="C2222" t="s">
        <v>4757</v>
      </c>
      <c r="D2222" t="s">
        <v>348</v>
      </c>
      <c r="E2222">
        <v>419726428</v>
      </c>
      <c r="F2222">
        <v>303628067</v>
      </c>
      <c r="G2222">
        <v>210200128</v>
      </c>
      <c r="H2222">
        <v>272115008</v>
      </c>
      <c r="I2222">
        <v>290365969</v>
      </c>
      <c r="J2222">
        <v>235649290</v>
      </c>
      <c r="K2222">
        <v>175074371</v>
      </c>
      <c r="L2222">
        <v>134335905</v>
      </c>
      <c r="M2222">
        <v>187198374</v>
      </c>
      <c r="N2222">
        <v>153702427</v>
      </c>
      <c r="O2222">
        <v>103777352</v>
      </c>
      <c r="P2222">
        <v>172</v>
      </c>
      <c r="Q2222" t="s">
        <v>4758</v>
      </c>
    </row>
    <row r="2223" spans="1:17" x14ac:dyDescent="0.3">
      <c r="A2223" t="s">
        <v>73</v>
      </c>
      <c r="B2223" t="str">
        <f>"301127"</f>
        <v>301127</v>
      </c>
      <c r="C2223" t="s">
        <v>4759</v>
      </c>
      <c r="D2223" t="s">
        <v>308</v>
      </c>
      <c r="E2223">
        <v>419088260</v>
      </c>
      <c r="P2223">
        <v>13</v>
      </c>
      <c r="Q2223" t="s">
        <v>4760</v>
      </c>
    </row>
    <row r="2224" spans="1:17" x14ac:dyDescent="0.3">
      <c r="A2224" t="s">
        <v>73</v>
      </c>
      <c r="B2224" t="str">
        <f>"002119"</f>
        <v>002119</v>
      </c>
      <c r="C2224" t="s">
        <v>4761</v>
      </c>
      <c r="D2224" t="s">
        <v>354</v>
      </c>
      <c r="E2224">
        <v>418611808</v>
      </c>
      <c r="F2224">
        <v>444580285</v>
      </c>
      <c r="G2224">
        <v>343113472</v>
      </c>
      <c r="H2224">
        <v>305000437</v>
      </c>
      <c r="I2224">
        <v>348673226</v>
      </c>
      <c r="J2224">
        <v>295388789</v>
      </c>
      <c r="K2224">
        <v>238217775</v>
      </c>
      <c r="L2224">
        <v>252301841</v>
      </c>
      <c r="M2224">
        <v>266232796</v>
      </c>
      <c r="N2224">
        <v>287825261</v>
      </c>
      <c r="O2224">
        <v>321053533</v>
      </c>
      <c r="P2224">
        <v>214</v>
      </c>
      <c r="Q2224" t="s">
        <v>4762</v>
      </c>
    </row>
    <row r="2225" spans="1:17" x14ac:dyDescent="0.3">
      <c r="A2225" t="s">
        <v>17</v>
      </c>
      <c r="B2225" t="str">
        <f>"600071"</f>
        <v>600071</v>
      </c>
      <c r="C2225" t="s">
        <v>4763</v>
      </c>
      <c r="D2225" t="s">
        <v>477</v>
      </c>
      <c r="E2225">
        <v>418267177</v>
      </c>
      <c r="F2225">
        <v>367599132</v>
      </c>
      <c r="G2225">
        <v>317347007</v>
      </c>
      <c r="H2225">
        <v>218515974</v>
      </c>
      <c r="I2225">
        <v>232037186</v>
      </c>
      <c r="J2225">
        <v>200411764</v>
      </c>
      <c r="K2225">
        <v>212506029</v>
      </c>
      <c r="L2225">
        <v>230845158</v>
      </c>
      <c r="M2225">
        <v>136829346</v>
      </c>
      <c r="N2225">
        <v>67131196</v>
      </c>
      <c r="O2225">
        <v>173054690</v>
      </c>
      <c r="P2225">
        <v>97</v>
      </c>
      <c r="Q2225" t="s">
        <v>4764</v>
      </c>
    </row>
    <row r="2226" spans="1:17" x14ac:dyDescent="0.3">
      <c r="A2226" t="s">
        <v>73</v>
      </c>
      <c r="B2226" t="str">
        <f>"301151"</f>
        <v>301151</v>
      </c>
      <c r="C2226" t="s">
        <v>4765</v>
      </c>
      <c r="E2226">
        <v>417932398</v>
      </c>
      <c r="P2226">
        <v>5</v>
      </c>
      <c r="Q2226" t="s">
        <v>4766</v>
      </c>
    </row>
    <row r="2227" spans="1:17" x14ac:dyDescent="0.3">
      <c r="A2227" t="s">
        <v>73</v>
      </c>
      <c r="B2227" t="str">
        <f>"300777"</f>
        <v>300777</v>
      </c>
      <c r="C2227" t="s">
        <v>4767</v>
      </c>
      <c r="D2227" t="s">
        <v>130</v>
      </c>
      <c r="E2227">
        <v>415934929</v>
      </c>
      <c r="F2227">
        <v>263727141</v>
      </c>
      <c r="G2227">
        <v>141921892</v>
      </c>
      <c r="H2227">
        <v>0</v>
      </c>
      <c r="I2227">
        <v>0</v>
      </c>
      <c r="P2227">
        <v>371</v>
      </c>
      <c r="Q2227" t="s">
        <v>4768</v>
      </c>
    </row>
    <row r="2228" spans="1:17" x14ac:dyDescent="0.3">
      <c r="A2228" t="s">
        <v>17</v>
      </c>
      <c r="B2228" t="str">
        <f>"600604"</f>
        <v>600604</v>
      </c>
      <c r="C2228" t="s">
        <v>4769</v>
      </c>
      <c r="D2228" t="s">
        <v>61</v>
      </c>
      <c r="E2228">
        <v>415592320</v>
      </c>
      <c r="F2228">
        <v>91881837</v>
      </c>
      <c r="G2228">
        <v>654362377</v>
      </c>
      <c r="H2228">
        <v>59522731</v>
      </c>
      <c r="I2228">
        <v>58988604</v>
      </c>
      <c r="J2228">
        <v>47360765</v>
      </c>
      <c r="K2228">
        <v>233496802</v>
      </c>
      <c r="L2228">
        <v>11503917</v>
      </c>
      <c r="M2228">
        <v>14987425</v>
      </c>
      <c r="N2228">
        <v>82292451</v>
      </c>
      <c r="O2228">
        <v>98449405</v>
      </c>
      <c r="P2228">
        <v>138</v>
      </c>
      <c r="Q2228" t="s">
        <v>4770</v>
      </c>
    </row>
    <row r="2229" spans="1:17" x14ac:dyDescent="0.3">
      <c r="A2229" t="s">
        <v>73</v>
      </c>
      <c r="B2229" t="str">
        <f>"003020"</f>
        <v>003020</v>
      </c>
      <c r="C2229" t="s">
        <v>4771</v>
      </c>
      <c r="D2229" t="s">
        <v>348</v>
      </c>
      <c r="E2229">
        <v>415430215</v>
      </c>
      <c r="F2229">
        <v>331594419</v>
      </c>
      <c r="P2229">
        <v>78</v>
      </c>
      <c r="Q2229" t="s">
        <v>4772</v>
      </c>
    </row>
    <row r="2230" spans="1:17" x14ac:dyDescent="0.3">
      <c r="A2230" t="s">
        <v>17</v>
      </c>
      <c r="B2230" t="str">
        <f>"603599"</f>
        <v>603599</v>
      </c>
      <c r="C2230" t="s">
        <v>4773</v>
      </c>
      <c r="D2230" t="s">
        <v>272</v>
      </c>
      <c r="E2230">
        <v>415402914</v>
      </c>
      <c r="F2230">
        <v>383155239</v>
      </c>
      <c r="G2230">
        <v>331995549</v>
      </c>
      <c r="H2230">
        <v>420399245</v>
      </c>
      <c r="I2230">
        <v>295484306</v>
      </c>
      <c r="J2230">
        <v>164283074</v>
      </c>
      <c r="K2230">
        <v>211997640</v>
      </c>
      <c r="L2230">
        <v>0</v>
      </c>
      <c r="M2230">
        <v>0</v>
      </c>
      <c r="P2230">
        <v>304</v>
      </c>
      <c r="Q2230" t="s">
        <v>4774</v>
      </c>
    </row>
    <row r="2231" spans="1:17" x14ac:dyDescent="0.3">
      <c r="A2231" t="s">
        <v>17</v>
      </c>
      <c r="B2231" t="str">
        <f>"600804"</f>
        <v>600804</v>
      </c>
      <c r="C2231" t="s">
        <v>4775</v>
      </c>
      <c r="D2231" t="s">
        <v>64</v>
      </c>
      <c r="E2231">
        <v>415362861</v>
      </c>
      <c r="F2231">
        <v>596548247</v>
      </c>
      <c r="G2231">
        <v>658375029</v>
      </c>
      <c r="H2231">
        <v>466939720</v>
      </c>
      <c r="I2231">
        <v>426352789</v>
      </c>
      <c r="J2231">
        <v>356313153</v>
      </c>
      <c r="K2231">
        <v>230248416</v>
      </c>
      <c r="L2231">
        <v>250333168</v>
      </c>
      <c r="M2231">
        <v>452736069</v>
      </c>
      <c r="N2231">
        <v>669640155</v>
      </c>
      <c r="O2231">
        <v>512181804</v>
      </c>
      <c r="P2231">
        <v>460</v>
      </c>
      <c r="Q2231" t="s">
        <v>4776</v>
      </c>
    </row>
    <row r="2232" spans="1:17" x14ac:dyDescent="0.3">
      <c r="A2232" t="s">
        <v>73</v>
      </c>
      <c r="B2232" t="str">
        <f>"002638"</f>
        <v>002638</v>
      </c>
      <c r="C2232" t="s">
        <v>4777</v>
      </c>
      <c r="D2232" t="s">
        <v>4778</v>
      </c>
      <c r="E2232">
        <v>415323151</v>
      </c>
      <c r="F2232">
        <v>551535214</v>
      </c>
      <c r="G2232">
        <v>555665236</v>
      </c>
      <c r="H2232">
        <v>599145994</v>
      </c>
      <c r="I2232">
        <v>652815485</v>
      </c>
      <c r="J2232">
        <v>710671635</v>
      </c>
      <c r="K2232">
        <v>694767895</v>
      </c>
      <c r="L2232">
        <v>603578156</v>
      </c>
      <c r="M2232">
        <v>583311181</v>
      </c>
      <c r="N2232">
        <v>437462765</v>
      </c>
      <c r="O2232">
        <v>321906671</v>
      </c>
      <c r="P2232">
        <v>83</v>
      </c>
      <c r="Q2232" t="s">
        <v>4779</v>
      </c>
    </row>
    <row r="2233" spans="1:17" x14ac:dyDescent="0.3">
      <c r="A2233" t="s">
        <v>17</v>
      </c>
      <c r="B2233" t="str">
        <f>"600992"</f>
        <v>600992</v>
      </c>
      <c r="C2233" t="s">
        <v>4780</v>
      </c>
      <c r="D2233" t="s">
        <v>146</v>
      </c>
      <c r="E2233">
        <v>415026628</v>
      </c>
      <c r="F2233">
        <v>321630166</v>
      </c>
      <c r="G2233">
        <v>271243240</v>
      </c>
      <c r="H2233">
        <v>335195168</v>
      </c>
      <c r="I2233">
        <v>303469239</v>
      </c>
      <c r="J2233">
        <v>298762279</v>
      </c>
      <c r="K2233">
        <v>312888729</v>
      </c>
      <c r="L2233">
        <v>296762205</v>
      </c>
      <c r="M2233">
        <v>286958744</v>
      </c>
      <c r="N2233">
        <v>248224904</v>
      </c>
      <c r="O2233">
        <v>148660942</v>
      </c>
      <c r="P2233">
        <v>57</v>
      </c>
      <c r="Q2233" t="s">
        <v>4781</v>
      </c>
    </row>
    <row r="2234" spans="1:17" x14ac:dyDescent="0.3">
      <c r="A2234" t="s">
        <v>73</v>
      </c>
      <c r="B2234" t="str">
        <f>"000753"</f>
        <v>000753</v>
      </c>
      <c r="C2234" t="s">
        <v>4782</v>
      </c>
      <c r="D2234" t="s">
        <v>466</v>
      </c>
      <c r="E2234">
        <v>414977949</v>
      </c>
      <c r="F2234">
        <v>387191009</v>
      </c>
      <c r="G2234">
        <v>121439156</v>
      </c>
      <c r="H2234">
        <v>100358535</v>
      </c>
      <c r="I2234">
        <v>95459609</v>
      </c>
      <c r="J2234">
        <v>88980511</v>
      </c>
      <c r="K2234">
        <v>58187007</v>
      </c>
      <c r="L2234">
        <v>122308190</v>
      </c>
      <c r="M2234">
        <v>138789799</v>
      </c>
      <c r="N2234">
        <v>284239439</v>
      </c>
      <c r="O2234">
        <v>172773902</v>
      </c>
      <c r="P2234">
        <v>85</v>
      </c>
      <c r="Q2234" t="s">
        <v>4783</v>
      </c>
    </row>
    <row r="2235" spans="1:17" x14ac:dyDescent="0.3">
      <c r="A2235" t="s">
        <v>73</v>
      </c>
      <c r="B2235" t="str">
        <f>"300149"</f>
        <v>300149</v>
      </c>
      <c r="C2235" t="s">
        <v>4784</v>
      </c>
      <c r="D2235" t="s">
        <v>459</v>
      </c>
      <c r="E2235">
        <v>414977425</v>
      </c>
      <c r="F2235">
        <v>382729328</v>
      </c>
      <c r="G2235">
        <v>354013132</v>
      </c>
      <c r="H2235">
        <v>351219485</v>
      </c>
      <c r="I2235">
        <v>59696738</v>
      </c>
      <c r="J2235">
        <v>43902742</v>
      </c>
      <c r="K2235">
        <v>37467649</v>
      </c>
      <c r="L2235">
        <v>55508497</v>
      </c>
      <c r="M2235">
        <v>42319078</v>
      </c>
      <c r="N2235">
        <v>50616982</v>
      </c>
      <c r="O2235">
        <v>45675678</v>
      </c>
      <c r="P2235">
        <v>193</v>
      </c>
      <c r="Q2235" t="s">
        <v>4785</v>
      </c>
    </row>
    <row r="2236" spans="1:17" x14ac:dyDescent="0.3">
      <c r="A2236" t="s">
        <v>73</v>
      </c>
      <c r="B2236" t="str">
        <f>"300912"</f>
        <v>300912</v>
      </c>
      <c r="C2236" t="s">
        <v>4786</v>
      </c>
      <c r="D2236" t="s">
        <v>722</v>
      </c>
      <c r="E2236">
        <v>414821093</v>
      </c>
      <c r="F2236">
        <v>485132406</v>
      </c>
      <c r="P2236">
        <v>39</v>
      </c>
      <c r="Q2236" t="s">
        <v>4787</v>
      </c>
    </row>
    <row r="2237" spans="1:17" x14ac:dyDescent="0.3">
      <c r="A2237" t="s">
        <v>73</v>
      </c>
      <c r="B2237" t="str">
        <f>"300195"</f>
        <v>300195</v>
      </c>
      <c r="C2237" t="s">
        <v>4788</v>
      </c>
      <c r="D2237" t="s">
        <v>2099</v>
      </c>
      <c r="E2237">
        <v>414466088</v>
      </c>
      <c r="F2237">
        <v>301846882</v>
      </c>
      <c r="G2237">
        <v>447891051</v>
      </c>
      <c r="H2237">
        <v>380404327</v>
      </c>
      <c r="I2237">
        <v>455644933</v>
      </c>
      <c r="J2237">
        <v>552914395</v>
      </c>
      <c r="K2237">
        <v>605278788</v>
      </c>
      <c r="L2237">
        <v>435500922</v>
      </c>
      <c r="M2237">
        <v>209108077</v>
      </c>
      <c r="N2237">
        <v>165575423</v>
      </c>
      <c r="O2237">
        <v>118280858</v>
      </c>
      <c r="P2237">
        <v>90</v>
      </c>
      <c r="Q2237" t="s">
        <v>4789</v>
      </c>
    </row>
    <row r="2238" spans="1:17" x14ac:dyDescent="0.3">
      <c r="A2238" t="s">
        <v>73</v>
      </c>
      <c r="B2238" t="str">
        <f>"301180"</f>
        <v>301180</v>
      </c>
      <c r="C2238" t="s">
        <v>4790</v>
      </c>
      <c r="D2238" t="s">
        <v>42</v>
      </c>
      <c r="E2238">
        <v>413865568</v>
      </c>
      <c r="P2238">
        <v>15</v>
      </c>
      <c r="Q2238" t="s">
        <v>4791</v>
      </c>
    </row>
    <row r="2239" spans="1:17" x14ac:dyDescent="0.3">
      <c r="A2239" t="s">
        <v>17</v>
      </c>
      <c r="B2239" t="str">
        <f>"688388"</f>
        <v>688388</v>
      </c>
      <c r="C2239" t="s">
        <v>4792</v>
      </c>
      <c r="D2239" t="s">
        <v>452</v>
      </c>
      <c r="E2239">
        <v>413452278</v>
      </c>
      <c r="F2239">
        <v>231604564</v>
      </c>
      <c r="G2239">
        <v>83367392</v>
      </c>
      <c r="H2239">
        <v>135837555</v>
      </c>
      <c r="I2239">
        <v>0</v>
      </c>
      <c r="J2239">
        <v>15070562</v>
      </c>
      <c r="P2239">
        <v>286</v>
      </c>
      <c r="Q2239" t="s">
        <v>4793</v>
      </c>
    </row>
    <row r="2240" spans="1:17" x14ac:dyDescent="0.3">
      <c r="A2240" t="s">
        <v>73</v>
      </c>
      <c r="B2240" t="str">
        <f>"002977"</f>
        <v>002977</v>
      </c>
      <c r="C2240" t="s">
        <v>4794</v>
      </c>
      <c r="D2240" t="s">
        <v>502</v>
      </c>
      <c r="E2240">
        <v>412788170</v>
      </c>
      <c r="F2240">
        <v>382643900</v>
      </c>
      <c r="G2240">
        <v>316814700</v>
      </c>
      <c r="P2240">
        <v>126</v>
      </c>
      <c r="Q2240" t="s">
        <v>4795</v>
      </c>
    </row>
    <row r="2241" spans="1:17" x14ac:dyDescent="0.3">
      <c r="A2241" t="s">
        <v>73</v>
      </c>
      <c r="B2241" t="str">
        <f>"002363"</f>
        <v>002363</v>
      </c>
      <c r="C2241" t="s">
        <v>4796</v>
      </c>
      <c r="D2241" t="s">
        <v>122</v>
      </c>
      <c r="E2241">
        <v>412532401</v>
      </c>
      <c r="F2241">
        <v>457628066</v>
      </c>
      <c r="G2241">
        <v>355109794</v>
      </c>
      <c r="H2241">
        <v>478349345</v>
      </c>
      <c r="I2241">
        <v>484980380</v>
      </c>
      <c r="J2241">
        <v>390959518</v>
      </c>
      <c r="K2241">
        <v>348201233</v>
      </c>
      <c r="L2241">
        <v>268803697</v>
      </c>
      <c r="M2241">
        <v>297500108</v>
      </c>
      <c r="N2241">
        <v>234237759</v>
      </c>
      <c r="O2241">
        <v>227246654</v>
      </c>
      <c r="P2241">
        <v>126</v>
      </c>
      <c r="Q2241" t="s">
        <v>4797</v>
      </c>
    </row>
    <row r="2242" spans="1:17" x14ac:dyDescent="0.3">
      <c r="A2242" t="s">
        <v>73</v>
      </c>
      <c r="B2242" t="str">
        <f>"002859"</f>
        <v>002859</v>
      </c>
      <c r="C2242" t="s">
        <v>4798</v>
      </c>
      <c r="D2242" t="s">
        <v>651</v>
      </c>
      <c r="E2242">
        <v>411626902</v>
      </c>
      <c r="F2242">
        <v>501483002</v>
      </c>
      <c r="G2242">
        <v>318160270</v>
      </c>
      <c r="H2242">
        <v>255728960</v>
      </c>
      <c r="I2242">
        <v>353941978</v>
      </c>
      <c r="J2242">
        <v>244380743</v>
      </c>
      <c r="P2242">
        <v>2969</v>
      </c>
      <c r="Q2242" t="s">
        <v>4799</v>
      </c>
    </row>
    <row r="2243" spans="1:17" x14ac:dyDescent="0.3">
      <c r="A2243" t="s">
        <v>73</v>
      </c>
      <c r="B2243" t="str">
        <f>"301063"</f>
        <v>301063</v>
      </c>
      <c r="C2243" t="s">
        <v>4800</v>
      </c>
      <c r="D2243" t="s">
        <v>146</v>
      </c>
      <c r="E2243">
        <v>411615943</v>
      </c>
      <c r="G2243">
        <v>244130208</v>
      </c>
      <c r="P2243">
        <v>17</v>
      </c>
      <c r="Q2243" t="s">
        <v>4801</v>
      </c>
    </row>
    <row r="2244" spans="1:17" x14ac:dyDescent="0.3">
      <c r="A2244" t="s">
        <v>73</v>
      </c>
      <c r="B2244" t="str">
        <f>"301040"</f>
        <v>301040</v>
      </c>
      <c r="C2244" t="s">
        <v>4802</v>
      </c>
      <c r="D2244" t="s">
        <v>778</v>
      </c>
      <c r="E2244">
        <v>411615760</v>
      </c>
      <c r="F2244">
        <v>312762687</v>
      </c>
      <c r="P2244">
        <v>22</v>
      </c>
      <c r="Q2244" t="s">
        <v>4803</v>
      </c>
    </row>
    <row r="2245" spans="1:17" x14ac:dyDescent="0.3">
      <c r="A2245" t="s">
        <v>73</v>
      </c>
      <c r="B2245" t="str">
        <f>"300513"</f>
        <v>300513</v>
      </c>
      <c r="C2245" t="s">
        <v>4804</v>
      </c>
      <c r="D2245" t="s">
        <v>853</v>
      </c>
      <c r="E2245">
        <v>410789713</v>
      </c>
      <c r="F2245">
        <v>360611078</v>
      </c>
      <c r="G2245">
        <v>484292565</v>
      </c>
      <c r="H2245">
        <v>946509522</v>
      </c>
      <c r="I2245">
        <v>318221505</v>
      </c>
      <c r="J2245">
        <v>283152083</v>
      </c>
      <c r="K2245">
        <v>227570295</v>
      </c>
      <c r="P2245">
        <v>160</v>
      </c>
      <c r="Q2245" t="s">
        <v>4805</v>
      </c>
    </row>
    <row r="2246" spans="1:17" x14ac:dyDescent="0.3">
      <c r="A2246" t="s">
        <v>73</v>
      </c>
      <c r="B2246" t="str">
        <f>"000919"</f>
        <v>000919</v>
      </c>
      <c r="C2246" t="s">
        <v>4806</v>
      </c>
      <c r="D2246" t="s">
        <v>215</v>
      </c>
      <c r="E2246">
        <v>410485224</v>
      </c>
      <c r="F2246">
        <v>365550432</v>
      </c>
      <c r="G2246">
        <v>295906552</v>
      </c>
      <c r="H2246">
        <v>372146912</v>
      </c>
      <c r="I2246">
        <v>569048207</v>
      </c>
      <c r="J2246">
        <v>621840010</v>
      </c>
      <c r="K2246">
        <v>570320817</v>
      </c>
      <c r="L2246">
        <v>450955723</v>
      </c>
      <c r="M2246">
        <v>430269236</v>
      </c>
      <c r="N2246">
        <v>409726156</v>
      </c>
      <c r="O2246">
        <v>349882722</v>
      </c>
      <c r="P2246">
        <v>179</v>
      </c>
      <c r="Q2246" t="s">
        <v>4807</v>
      </c>
    </row>
    <row r="2247" spans="1:17" x14ac:dyDescent="0.3">
      <c r="A2247" t="s">
        <v>17</v>
      </c>
      <c r="B2247" t="str">
        <f>"603889"</f>
        <v>603889</v>
      </c>
      <c r="C2247" t="s">
        <v>4808</v>
      </c>
      <c r="D2247" t="s">
        <v>3204</v>
      </c>
      <c r="E2247">
        <v>410272918</v>
      </c>
      <c r="F2247">
        <v>347956588</v>
      </c>
      <c r="G2247">
        <v>233240453</v>
      </c>
      <c r="H2247">
        <v>305025938</v>
      </c>
      <c r="I2247">
        <v>182709417</v>
      </c>
      <c r="J2247">
        <v>147567796</v>
      </c>
      <c r="K2247">
        <v>130511795</v>
      </c>
      <c r="L2247">
        <v>111463330</v>
      </c>
      <c r="M2247">
        <v>0</v>
      </c>
      <c r="P2247">
        <v>121</v>
      </c>
      <c r="Q2247" t="s">
        <v>4809</v>
      </c>
    </row>
    <row r="2248" spans="1:17" x14ac:dyDescent="0.3">
      <c r="A2248" t="s">
        <v>73</v>
      </c>
      <c r="B2248" t="str">
        <f>"000421"</f>
        <v>000421</v>
      </c>
      <c r="C2248" t="s">
        <v>4810</v>
      </c>
      <c r="D2248" t="s">
        <v>469</v>
      </c>
      <c r="E2248">
        <v>408649574</v>
      </c>
      <c r="F2248">
        <v>374681527</v>
      </c>
      <c r="G2248">
        <v>370790167</v>
      </c>
      <c r="H2248">
        <v>349438038</v>
      </c>
      <c r="I2248">
        <v>299027298</v>
      </c>
      <c r="J2248">
        <v>219237660</v>
      </c>
      <c r="K2248">
        <v>234702294</v>
      </c>
      <c r="L2248">
        <v>202317130</v>
      </c>
      <c r="M2248">
        <v>79328629</v>
      </c>
      <c r="N2248">
        <v>77665136</v>
      </c>
      <c r="O2248">
        <v>70904271</v>
      </c>
      <c r="P2248">
        <v>159</v>
      </c>
      <c r="Q2248" t="s">
        <v>4811</v>
      </c>
    </row>
    <row r="2249" spans="1:17" x14ac:dyDescent="0.3">
      <c r="A2249" t="s">
        <v>17</v>
      </c>
      <c r="B2249" t="str">
        <f>"688529"</f>
        <v>688529</v>
      </c>
      <c r="C2249" t="s">
        <v>4812</v>
      </c>
      <c r="D2249" t="s">
        <v>1451</v>
      </c>
      <c r="E2249">
        <v>408461170</v>
      </c>
      <c r="F2249">
        <v>192435722</v>
      </c>
      <c r="P2249">
        <v>33</v>
      </c>
      <c r="Q2249" t="s">
        <v>4813</v>
      </c>
    </row>
    <row r="2250" spans="1:17" x14ac:dyDescent="0.3">
      <c r="A2250" t="s">
        <v>17</v>
      </c>
      <c r="B2250" t="str">
        <f>"605133"</f>
        <v>605133</v>
      </c>
      <c r="C2250" t="s">
        <v>4814</v>
      </c>
      <c r="D2250" t="s">
        <v>122</v>
      </c>
      <c r="E2250">
        <v>408333679</v>
      </c>
      <c r="F2250">
        <v>296468694</v>
      </c>
      <c r="P2250">
        <v>36</v>
      </c>
      <c r="Q2250" t="s">
        <v>4815</v>
      </c>
    </row>
    <row r="2251" spans="1:17" x14ac:dyDescent="0.3">
      <c r="A2251" t="s">
        <v>17</v>
      </c>
      <c r="B2251" t="str">
        <f>"600035"</f>
        <v>600035</v>
      </c>
      <c r="C2251" t="s">
        <v>4816</v>
      </c>
      <c r="D2251" t="s">
        <v>1592</v>
      </c>
      <c r="E2251">
        <v>408318090</v>
      </c>
      <c r="F2251">
        <v>590399334</v>
      </c>
      <c r="G2251">
        <v>693421464</v>
      </c>
      <c r="H2251">
        <v>429180048</v>
      </c>
      <c r="I2251">
        <v>330411002</v>
      </c>
      <c r="J2251">
        <v>312878486</v>
      </c>
      <c r="K2251">
        <v>62063956</v>
      </c>
      <c r="L2251">
        <v>48446276</v>
      </c>
      <c r="M2251">
        <v>37229266</v>
      </c>
      <c r="N2251">
        <v>7013034</v>
      </c>
      <c r="O2251">
        <v>2010382</v>
      </c>
      <c r="P2251">
        <v>290</v>
      </c>
      <c r="Q2251" t="s">
        <v>4817</v>
      </c>
    </row>
    <row r="2252" spans="1:17" x14ac:dyDescent="0.3">
      <c r="A2252" t="s">
        <v>73</v>
      </c>
      <c r="B2252" t="str">
        <f>"000900"</f>
        <v>000900</v>
      </c>
      <c r="C2252" t="s">
        <v>4818</v>
      </c>
      <c r="D2252" t="s">
        <v>1592</v>
      </c>
      <c r="E2252">
        <v>408226117</v>
      </c>
      <c r="F2252">
        <v>358902488</v>
      </c>
      <c r="G2252">
        <v>25615360</v>
      </c>
      <c r="H2252">
        <v>472307775</v>
      </c>
      <c r="I2252">
        <v>421432652</v>
      </c>
      <c r="J2252">
        <v>363807042</v>
      </c>
      <c r="K2252">
        <v>295969898</v>
      </c>
      <c r="L2252">
        <v>309019714</v>
      </c>
      <c r="M2252">
        <v>104789251</v>
      </c>
      <c r="N2252">
        <v>153666092</v>
      </c>
      <c r="O2252">
        <v>350268581</v>
      </c>
      <c r="P2252">
        <v>570</v>
      </c>
      <c r="Q2252" t="s">
        <v>4819</v>
      </c>
    </row>
    <row r="2253" spans="1:17" x14ac:dyDescent="0.3">
      <c r="A2253" t="s">
        <v>73</v>
      </c>
      <c r="B2253" t="str">
        <f>"002738"</f>
        <v>002738</v>
      </c>
      <c r="C2253" t="s">
        <v>4820</v>
      </c>
      <c r="D2253" t="s">
        <v>1240</v>
      </c>
      <c r="E2253">
        <v>408223200</v>
      </c>
      <c r="F2253">
        <v>404338632</v>
      </c>
      <c r="G2253">
        <v>391283194</v>
      </c>
      <c r="H2253">
        <v>471152220</v>
      </c>
      <c r="I2253">
        <v>441881079</v>
      </c>
      <c r="J2253">
        <v>373348314</v>
      </c>
      <c r="K2253">
        <v>247245518</v>
      </c>
      <c r="L2253">
        <v>163910134</v>
      </c>
      <c r="M2253">
        <v>0</v>
      </c>
      <c r="P2253">
        <v>192</v>
      </c>
      <c r="Q2253" t="s">
        <v>4821</v>
      </c>
    </row>
    <row r="2254" spans="1:17" x14ac:dyDescent="0.3">
      <c r="A2254" t="s">
        <v>73</v>
      </c>
      <c r="B2254" t="str">
        <f>"300862"</f>
        <v>300862</v>
      </c>
      <c r="C2254" t="s">
        <v>4822</v>
      </c>
      <c r="D2254" t="s">
        <v>2280</v>
      </c>
      <c r="E2254">
        <v>406968595</v>
      </c>
      <c r="F2254">
        <v>361848827</v>
      </c>
      <c r="P2254">
        <v>68</v>
      </c>
      <c r="Q2254" t="s">
        <v>4823</v>
      </c>
    </row>
    <row r="2255" spans="1:17" x14ac:dyDescent="0.3">
      <c r="A2255" t="s">
        <v>73</v>
      </c>
      <c r="B2255" t="str">
        <f>"002790"</f>
        <v>002790</v>
      </c>
      <c r="C2255" t="s">
        <v>4824</v>
      </c>
      <c r="D2255" t="s">
        <v>2817</v>
      </c>
      <c r="E2255">
        <v>406944577</v>
      </c>
      <c r="F2255">
        <v>308598187</v>
      </c>
      <c r="G2255">
        <v>202040905</v>
      </c>
      <c r="H2255">
        <v>204447767</v>
      </c>
      <c r="I2255">
        <v>136996273</v>
      </c>
      <c r="J2255">
        <v>137055963</v>
      </c>
      <c r="K2255">
        <v>121363347</v>
      </c>
      <c r="L2255">
        <v>0</v>
      </c>
      <c r="P2255">
        <v>138</v>
      </c>
      <c r="Q2255" t="s">
        <v>4825</v>
      </c>
    </row>
    <row r="2256" spans="1:17" x14ac:dyDescent="0.3">
      <c r="A2256" t="s">
        <v>17</v>
      </c>
      <c r="B2256" t="str">
        <f>"603518"</f>
        <v>603518</v>
      </c>
      <c r="C2256" t="s">
        <v>4826</v>
      </c>
      <c r="D2256" t="s">
        <v>991</v>
      </c>
      <c r="E2256">
        <v>405992051</v>
      </c>
      <c r="F2256">
        <v>396698181</v>
      </c>
      <c r="G2256">
        <v>348760746</v>
      </c>
      <c r="H2256">
        <v>376238489</v>
      </c>
      <c r="I2256">
        <v>545541428</v>
      </c>
      <c r="J2256">
        <v>327906240</v>
      </c>
      <c r="K2256">
        <v>46836768</v>
      </c>
      <c r="L2256">
        <v>53729979</v>
      </c>
      <c r="M2256">
        <v>0</v>
      </c>
      <c r="P2256">
        <v>204</v>
      </c>
      <c r="Q2256" t="s">
        <v>4827</v>
      </c>
    </row>
    <row r="2257" spans="1:17" x14ac:dyDescent="0.3">
      <c r="A2257" t="s">
        <v>73</v>
      </c>
      <c r="B2257" t="str">
        <f>"300692"</f>
        <v>300692</v>
      </c>
      <c r="C2257" t="s">
        <v>4828</v>
      </c>
      <c r="D2257" t="s">
        <v>308</v>
      </c>
      <c r="E2257">
        <v>404604435</v>
      </c>
      <c r="F2257">
        <v>328517964</v>
      </c>
      <c r="G2257">
        <v>206642456</v>
      </c>
      <c r="H2257">
        <v>102646161</v>
      </c>
      <c r="I2257">
        <v>57221373</v>
      </c>
      <c r="J2257">
        <v>0</v>
      </c>
      <c r="P2257">
        <v>162</v>
      </c>
      <c r="Q2257" t="s">
        <v>4829</v>
      </c>
    </row>
    <row r="2258" spans="1:17" x14ac:dyDescent="0.3">
      <c r="A2258" t="s">
        <v>73</v>
      </c>
      <c r="B2258" t="str">
        <f>"002510"</f>
        <v>002510</v>
      </c>
      <c r="C2258" t="s">
        <v>4830</v>
      </c>
      <c r="D2258" t="s">
        <v>722</v>
      </c>
      <c r="E2258">
        <v>404504223</v>
      </c>
      <c r="F2258">
        <v>592142230</v>
      </c>
      <c r="G2258">
        <v>878252354</v>
      </c>
      <c r="H2258">
        <v>907868813</v>
      </c>
      <c r="I2258">
        <v>543639018</v>
      </c>
      <c r="J2258">
        <v>636644999</v>
      </c>
      <c r="K2258">
        <v>536432428</v>
      </c>
      <c r="L2258">
        <v>463926167</v>
      </c>
      <c r="M2258">
        <v>278661369</v>
      </c>
      <c r="N2258">
        <v>287586653</v>
      </c>
      <c r="O2258">
        <v>203774613</v>
      </c>
      <c r="P2258">
        <v>208</v>
      </c>
      <c r="Q2258" t="s">
        <v>4831</v>
      </c>
    </row>
    <row r="2259" spans="1:17" x14ac:dyDescent="0.3">
      <c r="A2259" t="s">
        <v>17</v>
      </c>
      <c r="B2259" t="str">
        <f>"600592"</f>
        <v>600592</v>
      </c>
      <c r="C2259" t="s">
        <v>4832</v>
      </c>
      <c r="D2259" t="s">
        <v>146</v>
      </c>
      <c r="E2259">
        <v>404371860</v>
      </c>
      <c r="F2259">
        <v>335214579</v>
      </c>
      <c r="G2259">
        <v>236073653</v>
      </c>
      <c r="H2259">
        <v>289465797</v>
      </c>
      <c r="I2259">
        <v>250118907</v>
      </c>
      <c r="J2259">
        <v>219048461</v>
      </c>
      <c r="K2259">
        <v>199546014</v>
      </c>
      <c r="L2259">
        <v>220460845</v>
      </c>
      <c r="M2259">
        <v>276156160</v>
      </c>
      <c r="N2259">
        <v>260388467</v>
      </c>
      <c r="O2259">
        <v>269949438</v>
      </c>
      <c r="P2259">
        <v>75</v>
      </c>
      <c r="Q2259" t="s">
        <v>4833</v>
      </c>
    </row>
    <row r="2260" spans="1:17" x14ac:dyDescent="0.3">
      <c r="A2260" t="s">
        <v>17</v>
      </c>
      <c r="B2260" t="str">
        <f>"603380"</f>
        <v>603380</v>
      </c>
      <c r="C2260" t="s">
        <v>4834</v>
      </c>
      <c r="D2260" t="s">
        <v>42</v>
      </c>
      <c r="E2260">
        <v>403716709</v>
      </c>
      <c r="F2260">
        <v>292993170</v>
      </c>
      <c r="G2260">
        <v>178921849</v>
      </c>
      <c r="H2260">
        <v>214400229</v>
      </c>
      <c r="I2260">
        <v>188180666</v>
      </c>
      <c r="J2260">
        <v>0</v>
      </c>
      <c r="P2260">
        <v>209</v>
      </c>
      <c r="Q2260" t="s">
        <v>4835</v>
      </c>
    </row>
    <row r="2261" spans="1:17" x14ac:dyDescent="0.3">
      <c r="A2261" t="s">
        <v>73</v>
      </c>
      <c r="B2261" t="str">
        <f>"002726"</f>
        <v>002726</v>
      </c>
      <c r="C2261" t="s">
        <v>4836</v>
      </c>
      <c r="D2261" t="s">
        <v>1381</v>
      </c>
      <c r="E2261">
        <v>403708914</v>
      </c>
      <c r="F2261">
        <v>458307221</v>
      </c>
      <c r="G2261">
        <v>474421334</v>
      </c>
      <c r="H2261">
        <v>278204412</v>
      </c>
      <c r="I2261">
        <v>222134982</v>
      </c>
      <c r="J2261">
        <v>206278259</v>
      </c>
      <c r="K2261">
        <v>216723064</v>
      </c>
      <c r="L2261">
        <v>145823005</v>
      </c>
      <c r="M2261">
        <v>132053006</v>
      </c>
      <c r="P2261">
        <v>1021</v>
      </c>
      <c r="Q2261" t="s">
        <v>4837</v>
      </c>
    </row>
    <row r="2262" spans="1:17" x14ac:dyDescent="0.3">
      <c r="A2262" t="s">
        <v>73</v>
      </c>
      <c r="B2262" t="str">
        <f>"002279"</f>
        <v>002279</v>
      </c>
      <c r="C2262" t="s">
        <v>4838</v>
      </c>
      <c r="D2262" t="s">
        <v>404</v>
      </c>
      <c r="E2262">
        <v>403547031</v>
      </c>
      <c r="F2262">
        <v>387041462</v>
      </c>
      <c r="G2262">
        <v>496167195</v>
      </c>
      <c r="H2262">
        <v>477129738</v>
      </c>
      <c r="I2262">
        <v>448071969</v>
      </c>
      <c r="J2262">
        <v>246980583</v>
      </c>
      <c r="K2262">
        <v>186533110</v>
      </c>
      <c r="L2262">
        <v>90504511</v>
      </c>
      <c r="M2262">
        <v>71962304</v>
      </c>
      <c r="N2262">
        <v>56774863</v>
      </c>
      <c r="O2262">
        <v>48771228</v>
      </c>
      <c r="P2262">
        <v>323</v>
      </c>
      <c r="Q2262" t="s">
        <v>4839</v>
      </c>
    </row>
    <row r="2263" spans="1:17" x14ac:dyDescent="0.3">
      <c r="A2263" t="s">
        <v>73</v>
      </c>
      <c r="B2263" t="str">
        <f>"002282"</f>
        <v>002282</v>
      </c>
      <c r="C2263" t="s">
        <v>4840</v>
      </c>
      <c r="D2263" t="s">
        <v>3119</v>
      </c>
      <c r="E2263">
        <v>403540684</v>
      </c>
      <c r="F2263">
        <v>399367512</v>
      </c>
      <c r="G2263">
        <v>349137716</v>
      </c>
      <c r="H2263">
        <v>350319409</v>
      </c>
      <c r="I2263">
        <v>380788726</v>
      </c>
      <c r="J2263">
        <v>212057883</v>
      </c>
      <c r="K2263">
        <v>270693651</v>
      </c>
      <c r="L2263">
        <v>276087671</v>
      </c>
      <c r="M2263">
        <v>265619739</v>
      </c>
      <c r="N2263">
        <v>265805383</v>
      </c>
      <c r="O2263">
        <v>220971033</v>
      </c>
      <c r="P2263">
        <v>97</v>
      </c>
      <c r="Q2263" t="s">
        <v>4841</v>
      </c>
    </row>
    <row r="2264" spans="1:17" x14ac:dyDescent="0.3">
      <c r="A2264" t="s">
        <v>73</v>
      </c>
      <c r="B2264" t="str">
        <f>"300739"</f>
        <v>300739</v>
      </c>
      <c r="C2264" t="s">
        <v>4842</v>
      </c>
      <c r="D2264" t="s">
        <v>418</v>
      </c>
      <c r="E2264">
        <v>403478528</v>
      </c>
      <c r="F2264">
        <v>277275613</v>
      </c>
      <c r="G2264">
        <v>240261966</v>
      </c>
      <c r="H2264">
        <v>208168479</v>
      </c>
      <c r="I2264">
        <v>194475843</v>
      </c>
      <c r="P2264">
        <v>170</v>
      </c>
      <c r="Q2264" t="s">
        <v>4843</v>
      </c>
    </row>
    <row r="2265" spans="1:17" x14ac:dyDescent="0.3">
      <c r="A2265" t="s">
        <v>17</v>
      </c>
      <c r="B2265" t="str">
        <f>"605277"</f>
        <v>605277</v>
      </c>
      <c r="C2265" t="s">
        <v>4844</v>
      </c>
      <c r="D2265" t="s">
        <v>42</v>
      </c>
      <c r="E2265">
        <v>402082871</v>
      </c>
      <c r="F2265">
        <v>347545732</v>
      </c>
      <c r="P2265">
        <v>68</v>
      </c>
      <c r="Q2265" t="s">
        <v>4845</v>
      </c>
    </row>
    <row r="2266" spans="1:17" x14ac:dyDescent="0.3">
      <c r="A2266" t="s">
        <v>73</v>
      </c>
      <c r="B2266" t="str">
        <f>"300666"</f>
        <v>300666</v>
      </c>
      <c r="C2266" t="s">
        <v>4846</v>
      </c>
      <c r="D2266" t="s">
        <v>354</v>
      </c>
      <c r="E2266">
        <v>402040033</v>
      </c>
      <c r="F2266">
        <v>302364457</v>
      </c>
      <c r="G2266">
        <v>236486354</v>
      </c>
      <c r="H2266">
        <v>136202545</v>
      </c>
      <c r="I2266">
        <v>108990602</v>
      </c>
      <c r="J2266">
        <v>72449017</v>
      </c>
      <c r="K2266">
        <v>0</v>
      </c>
      <c r="P2266">
        <v>519</v>
      </c>
      <c r="Q2266" t="s">
        <v>4847</v>
      </c>
    </row>
    <row r="2267" spans="1:17" x14ac:dyDescent="0.3">
      <c r="A2267" t="s">
        <v>73</v>
      </c>
      <c r="B2267" t="str">
        <f>"002999"</f>
        <v>002999</v>
      </c>
      <c r="C2267" t="s">
        <v>4848</v>
      </c>
      <c r="D2267" t="s">
        <v>4079</v>
      </c>
      <c r="E2267">
        <v>402028756</v>
      </c>
      <c r="F2267">
        <v>312286794</v>
      </c>
      <c r="P2267">
        <v>45</v>
      </c>
      <c r="Q2267" t="s">
        <v>4849</v>
      </c>
    </row>
    <row r="2268" spans="1:17" x14ac:dyDescent="0.3">
      <c r="A2268" t="s">
        <v>73</v>
      </c>
      <c r="B2268" t="str">
        <f>"002322"</f>
        <v>002322</v>
      </c>
      <c r="C2268" t="s">
        <v>4850</v>
      </c>
      <c r="D2268" t="s">
        <v>795</v>
      </c>
      <c r="E2268">
        <v>402017582</v>
      </c>
      <c r="F2268">
        <v>395303374</v>
      </c>
      <c r="G2268">
        <v>452576155</v>
      </c>
      <c r="H2268">
        <v>398139819</v>
      </c>
      <c r="I2268">
        <v>318074061</v>
      </c>
      <c r="J2268">
        <v>327518950</v>
      </c>
      <c r="K2268">
        <v>258696911</v>
      </c>
      <c r="L2268">
        <v>166520888</v>
      </c>
      <c r="M2268">
        <v>209576661</v>
      </c>
      <c r="N2268">
        <v>197344480</v>
      </c>
      <c r="O2268">
        <v>133788766</v>
      </c>
      <c r="P2268">
        <v>180</v>
      </c>
      <c r="Q2268" t="s">
        <v>4851</v>
      </c>
    </row>
    <row r="2269" spans="1:17" x14ac:dyDescent="0.3">
      <c r="A2269" t="s">
        <v>73</v>
      </c>
      <c r="B2269" t="str">
        <f>"002451"</f>
        <v>002451</v>
      </c>
      <c r="C2269" t="s">
        <v>4852</v>
      </c>
      <c r="D2269" t="s">
        <v>515</v>
      </c>
      <c r="E2269">
        <v>401813089</v>
      </c>
      <c r="F2269">
        <v>229700548</v>
      </c>
      <c r="G2269">
        <v>133547286</v>
      </c>
      <c r="H2269">
        <v>171425349</v>
      </c>
      <c r="I2269">
        <v>266382264</v>
      </c>
      <c r="J2269">
        <v>302499853</v>
      </c>
      <c r="K2269">
        <v>343268419</v>
      </c>
      <c r="L2269">
        <v>336179896</v>
      </c>
      <c r="M2269">
        <v>291257399</v>
      </c>
      <c r="N2269">
        <v>235202837</v>
      </c>
      <c r="O2269">
        <v>222150403</v>
      </c>
      <c r="P2269">
        <v>105</v>
      </c>
      <c r="Q2269" t="s">
        <v>4853</v>
      </c>
    </row>
    <row r="2270" spans="1:17" x14ac:dyDescent="0.3">
      <c r="A2270" t="s">
        <v>73</v>
      </c>
      <c r="B2270" t="str">
        <f>"300487"</f>
        <v>300487</v>
      </c>
      <c r="C2270" t="s">
        <v>4854</v>
      </c>
      <c r="D2270" t="s">
        <v>1557</v>
      </c>
      <c r="E2270">
        <v>401537665</v>
      </c>
      <c r="F2270">
        <v>308623363</v>
      </c>
      <c r="G2270">
        <v>237673918</v>
      </c>
      <c r="H2270">
        <v>184450522</v>
      </c>
      <c r="I2270">
        <v>188164552</v>
      </c>
      <c r="J2270">
        <v>139413190</v>
      </c>
      <c r="K2270">
        <v>117194200</v>
      </c>
      <c r="L2270">
        <v>0</v>
      </c>
      <c r="M2270">
        <v>0</v>
      </c>
      <c r="P2270">
        <v>374</v>
      </c>
      <c r="Q2270" t="s">
        <v>4855</v>
      </c>
    </row>
    <row r="2271" spans="1:17" x14ac:dyDescent="0.3">
      <c r="A2271" t="s">
        <v>73</v>
      </c>
      <c r="B2271" t="str">
        <f>"002499"</f>
        <v>002499</v>
      </c>
      <c r="C2271" t="s">
        <v>4856</v>
      </c>
      <c r="D2271" t="s">
        <v>278</v>
      </c>
      <c r="E2271">
        <v>401503409</v>
      </c>
      <c r="F2271">
        <v>428811077</v>
      </c>
      <c r="G2271">
        <v>465591050</v>
      </c>
      <c r="H2271">
        <v>647868521</v>
      </c>
      <c r="I2271">
        <v>678648118</v>
      </c>
      <c r="J2271">
        <v>179420600</v>
      </c>
      <c r="K2271">
        <v>170722612</v>
      </c>
      <c r="L2271">
        <v>189646474</v>
      </c>
      <c r="M2271">
        <v>211654508</v>
      </c>
      <c r="N2271">
        <v>258418984</v>
      </c>
      <c r="O2271">
        <v>138938837</v>
      </c>
      <c r="P2271">
        <v>51</v>
      </c>
      <c r="Q2271" t="s">
        <v>4857</v>
      </c>
    </row>
    <row r="2272" spans="1:17" x14ac:dyDescent="0.3">
      <c r="A2272" t="s">
        <v>17</v>
      </c>
      <c r="B2272" t="str">
        <f>"603183"</f>
        <v>603183</v>
      </c>
      <c r="C2272" t="s">
        <v>4858</v>
      </c>
      <c r="D2272" t="s">
        <v>2608</v>
      </c>
      <c r="E2272">
        <v>401340000</v>
      </c>
      <c r="F2272">
        <v>278441121</v>
      </c>
      <c r="G2272">
        <v>298190396</v>
      </c>
      <c r="H2272">
        <v>240353117</v>
      </c>
      <c r="I2272">
        <v>209746789</v>
      </c>
      <c r="J2272">
        <v>154324772</v>
      </c>
      <c r="P2272">
        <v>92</v>
      </c>
      <c r="Q2272" t="s">
        <v>4859</v>
      </c>
    </row>
    <row r="2273" spans="1:17" x14ac:dyDescent="0.3">
      <c r="A2273" t="s">
        <v>17</v>
      </c>
      <c r="B2273" t="str">
        <f>"688366"</f>
        <v>688366</v>
      </c>
      <c r="C2273" t="s">
        <v>4860</v>
      </c>
      <c r="D2273" t="s">
        <v>1523</v>
      </c>
      <c r="E2273">
        <v>399705182</v>
      </c>
      <c r="F2273">
        <v>365695417</v>
      </c>
      <c r="G2273">
        <v>293134551</v>
      </c>
      <c r="H2273">
        <v>0</v>
      </c>
      <c r="P2273">
        <v>265</v>
      </c>
      <c r="Q2273" t="s">
        <v>4861</v>
      </c>
    </row>
    <row r="2274" spans="1:17" x14ac:dyDescent="0.3">
      <c r="A2274" t="s">
        <v>73</v>
      </c>
      <c r="B2274" t="str">
        <f>"002626"</f>
        <v>002626</v>
      </c>
      <c r="C2274" t="s">
        <v>4862</v>
      </c>
      <c r="D2274" t="s">
        <v>4140</v>
      </c>
      <c r="E2274">
        <v>399614189</v>
      </c>
      <c r="F2274">
        <v>434608189</v>
      </c>
      <c r="G2274">
        <v>446135239</v>
      </c>
      <c r="H2274">
        <v>363219674</v>
      </c>
      <c r="I2274">
        <v>473126050</v>
      </c>
      <c r="J2274">
        <v>260793530</v>
      </c>
      <c r="K2274">
        <v>226485475</v>
      </c>
      <c r="L2274">
        <v>166950273</v>
      </c>
      <c r="M2274">
        <v>121057338</v>
      </c>
      <c r="N2274">
        <v>114140084</v>
      </c>
      <c r="O2274">
        <v>108753303</v>
      </c>
      <c r="P2274">
        <v>1113</v>
      </c>
      <c r="Q2274" t="s">
        <v>4863</v>
      </c>
    </row>
    <row r="2275" spans="1:17" x14ac:dyDescent="0.3">
      <c r="A2275" t="s">
        <v>73</v>
      </c>
      <c r="B2275" t="str">
        <f>"002975"</f>
        <v>002975</v>
      </c>
      <c r="C2275" t="s">
        <v>4864</v>
      </c>
      <c r="D2275" t="s">
        <v>626</v>
      </c>
      <c r="E2275">
        <v>399596145</v>
      </c>
      <c r="F2275">
        <v>398676327</v>
      </c>
      <c r="G2275">
        <v>229515492</v>
      </c>
      <c r="P2275">
        <v>293</v>
      </c>
      <c r="Q2275" t="s">
        <v>4865</v>
      </c>
    </row>
    <row r="2276" spans="1:17" x14ac:dyDescent="0.3">
      <c r="A2276" t="s">
        <v>73</v>
      </c>
      <c r="B2276" t="str">
        <f>"000926"</f>
        <v>000926</v>
      </c>
      <c r="C2276" t="s">
        <v>4866</v>
      </c>
      <c r="D2276" t="s">
        <v>27</v>
      </c>
      <c r="E2276">
        <v>398873834</v>
      </c>
      <c r="F2276">
        <v>495069292</v>
      </c>
      <c r="G2276">
        <v>469959223</v>
      </c>
      <c r="H2276">
        <v>898622023</v>
      </c>
      <c r="I2276">
        <v>663614548</v>
      </c>
      <c r="J2276">
        <v>985287788</v>
      </c>
      <c r="K2276">
        <v>556416324</v>
      </c>
      <c r="L2276">
        <v>497775321</v>
      </c>
      <c r="M2276">
        <v>536052681</v>
      </c>
      <c r="N2276">
        <v>633982176</v>
      </c>
      <c r="O2276">
        <v>617809169</v>
      </c>
      <c r="P2276">
        <v>239</v>
      </c>
      <c r="Q2276" t="s">
        <v>4867</v>
      </c>
    </row>
    <row r="2277" spans="1:17" x14ac:dyDescent="0.3">
      <c r="A2277" t="s">
        <v>73</v>
      </c>
      <c r="B2277" t="str">
        <f>"300600"</f>
        <v>300600</v>
      </c>
      <c r="C2277" t="s">
        <v>4868</v>
      </c>
      <c r="D2277" t="s">
        <v>283</v>
      </c>
      <c r="E2277">
        <v>398273825</v>
      </c>
      <c r="F2277">
        <v>451929053</v>
      </c>
      <c r="G2277">
        <v>429075557</v>
      </c>
      <c r="H2277">
        <v>327573542</v>
      </c>
      <c r="I2277">
        <v>222177497</v>
      </c>
      <c r="J2277">
        <v>158248894</v>
      </c>
      <c r="K2277">
        <v>0</v>
      </c>
      <c r="P2277">
        <v>101</v>
      </c>
      <c r="Q2277" t="s">
        <v>4869</v>
      </c>
    </row>
    <row r="2278" spans="1:17" x14ac:dyDescent="0.3">
      <c r="A2278" t="s">
        <v>17</v>
      </c>
      <c r="B2278" t="str">
        <f>"603535"</f>
        <v>603535</v>
      </c>
      <c r="C2278" t="s">
        <v>4870</v>
      </c>
      <c r="D2278" t="s">
        <v>174</v>
      </c>
      <c r="E2278">
        <v>397416747</v>
      </c>
      <c r="F2278">
        <v>349589085</v>
      </c>
      <c r="G2278">
        <v>209661499</v>
      </c>
      <c r="H2278">
        <v>230706691</v>
      </c>
      <c r="I2278">
        <v>143792578</v>
      </c>
      <c r="J2278">
        <v>0</v>
      </c>
      <c r="P2278">
        <v>85</v>
      </c>
      <c r="Q2278" t="s">
        <v>4871</v>
      </c>
    </row>
    <row r="2279" spans="1:17" x14ac:dyDescent="0.3">
      <c r="A2279" t="s">
        <v>17</v>
      </c>
      <c r="B2279" t="str">
        <f>"605577"</f>
        <v>605577</v>
      </c>
      <c r="C2279" t="s">
        <v>4872</v>
      </c>
      <c r="D2279" t="s">
        <v>1316</v>
      </c>
      <c r="E2279">
        <v>397363821</v>
      </c>
      <c r="F2279">
        <v>440528824</v>
      </c>
      <c r="P2279">
        <v>19</v>
      </c>
      <c r="Q2279" t="s">
        <v>4873</v>
      </c>
    </row>
    <row r="2280" spans="1:17" x14ac:dyDescent="0.3">
      <c r="A2280" t="s">
        <v>73</v>
      </c>
      <c r="B2280" t="str">
        <f>"300776"</f>
        <v>300776</v>
      </c>
      <c r="C2280" t="s">
        <v>4874</v>
      </c>
      <c r="D2280" t="s">
        <v>1484</v>
      </c>
      <c r="E2280">
        <v>397317053</v>
      </c>
      <c r="F2280">
        <v>209383106</v>
      </c>
      <c r="G2280">
        <v>153690420</v>
      </c>
      <c r="H2280">
        <v>0</v>
      </c>
      <c r="I2280">
        <v>0</v>
      </c>
      <c r="P2280">
        <v>397</v>
      </c>
      <c r="Q2280" t="s">
        <v>4875</v>
      </c>
    </row>
    <row r="2281" spans="1:17" x14ac:dyDescent="0.3">
      <c r="A2281" t="s">
        <v>17</v>
      </c>
      <c r="B2281" t="str">
        <f>"600255"</f>
        <v>600255</v>
      </c>
      <c r="C2281" t="s">
        <v>4876</v>
      </c>
      <c r="D2281" t="s">
        <v>1949</v>
      </c>
      <c r="E2281">
        <v>397132315</v>
      </c>
      <c r="F2281">
        <v>411557418</v>
      </c>
      <c r="G2281">
        <v>260902673</v>
      </c>
      <c r="H2281">
        <v>461828611</v>
      </c>
      <c r="I2281">
        <v>867150818</v>
      </c>
      <c r="J2281">
        <v>682283455</v>
      </c>
      <c r="K2281">
        <v>668447756</v>
      </c>
      <c r="L2281">
        <v>311907873</v>
      </c>
      <c r="M2281">
        <v>288460347</v>
      </c>
      <c r="N2281">
        <v>167584872</v>
      </c>
      <c r="O2281">
        <v>166403632</v>
      </c>
      <c r="P2281">
        <v>82</v>
      </c>
      <c r="Q2281" t="s">
        <v>4877</v>
      </c>
    </row>
    <row r="2282" spans="1:17" x14ac:dyDescent="0.3">
      <c r="A2282" t="s">
        <v>73</v>
      </c>
      <c r="B2282" t="str">
        <f>"300619"</f>
        <v>300619</v>
      </c>
      <c r="C2282" t="s">
        <v>4878</v>
      </c>
      <c r="D2282" t="s">
        <v>672</v>
      </c>
      <c r="E2282">
        <v>396081443</v>
      </c>
      <c r="F2282">
        <v>310649377</v>
      </c>
      <c r="G2282">
        <v>313237788</v>
      </c>
      <c r="H2282">
        <v>281118537</v>
      </c>
      <c r="I2282">
        <v>200977703</v>
      </c>
      <c r="J2282">
        <v>89560022</v>
      </c>
      <c r="K2282">
        <v>0</v>
      </c>
      <c r="P2282">
        <v>94</v>
      </c>
      <c r="Q2282" t="s">
        <v>4879</v>
      </c>
    </row>
    <row r="2283" spans="1:17" x14ac:dyDescent="0.3">
      <c r="A2283" t="s">
        <v>17</v>
      </c>
      <c r="B2283" t="str">
        <f>"688501"</f>
        <v>688501</v>
      </c>
      <c r="C2283" t="s">
        <v>4880</v>
      </c>
      <c r="D2283" t="s">
        <v>540</v>
      </c>
      <c r="E2283">
        <v>395986987</v>
      </c>
      <c r="F2283">
        <v>330085405</v>
      </c>
      <c r="P2283">
        <v>24</v>
      </c>
      <c r="Q2283" t="s">
        <v>4881</v>
      </c>
    </row>
    <row r="2284" spans="1:17" x14ac:dyDescent="0.3">
      <c r="A2284" t="s">
        <v>17</v>
      </c>
      <c r="B2284" t="str">
        <f>"600917"</f>
        <v>600917</v>
      </c>
      <c r="C2284" t="s">
        <v>4882</v>
      </c>
      <c r="D2284" t="s">
        <v>469</v>
      </c>
      <c r="E2284">
        <v>395067521</v>
      </c>
      <c r="F2284">
        <v>248456134</v>
      </c>
      <c r="G2284">
        <v>305235360</v>
      </c>
      <c r="H2284">
        <v>272812853</v>
      </c>
      <c r="I2284">
        <v>304780033</v>
      </c>
      <c r="J2284">
        <v>306710023</v>
      </c>
      <c r="K2284">
        <v>296888794</v>
      </c>
      <c r="L2284">
        <v>316402064</v>
      </c>
      <c r="M2284">
        <v>0</v>
      </c>
      <c r="P2284">
        <v>176</v>
      </c>
      <c r="Q2284" t="s">
        <v>4883</v>
      </c>
    </row>
    <row r="2285" spans="1:17" x14ac:dyDescent="0.3">
      <c r="A2285" t="s">
        <v>73</v>
      </c>
      <c r="B2285" t="str">
        <f>"002777"</f>
        <v>002777</v>
      </c>
      <c r="C2285" t="s">
        <v>4884</v>
      </c>
      <c r="D2285" t="s">
        <v>302</v>
      </c>
      <c r="E2285">
        <v>395037568</v>
      </c>
      <c r="F2285">
        <v>318417342</v>
      </c>
      <c r="G2285">
        <v>209098034</v>
      </c>
      <c r="H2285">
        <v>203033004</v>
      </c>
      <c r="I2285">
        <v>139243833</v>
      </c>
      <c r="J2285">
        <v>93702749</v>
      </c>
      <c r="K2285">
        <v>64372195</v>
      </c>
      <c r="L2285">
        <v>0</v>
      </c>
      <c r="P2285">
        <v>372</v>
      </c>
      <c r="Q2285" t="s">
        <v>4885</v>
      </c>
    </row>
    <row r="2286" spans="1:17" x14ac:dyDescent="0.3">
      <c r="A2286" t="s">
        <v>17</v>
      </c>
      <c r="B2286" t="str">
        <f>"603915"</f>
        <v>603915</v>
      </c>
      <c r="C2286" t="s">
        <v>4886</v>
      </c>
      <c r="D2286" t="s">
        <v>146</v>
      </c>
      <c r="E2286">
        <v>394952874</v>
      </c>
      <c r="F2286">
        <v>331583875</v>
      </c>
      <c r="G2286">
        <v>278536033</v>
      </c>
      <c r="H2286">
        <v>0</v>
      </c>
      <c r="P2286">
        <v>160</v>
      </c>
      <c r="Q2286" t="s">
        <v>4887</v>
      </c>
    </row>
    <row r="2287" spans="1:17" x14ac:dyDescent="0.3">
      <c r="A2287" t="s">
        <v>17</v>
      </c>
      <c r="B2287" t="str">
        <f>"603316"</f>
        <v>603316</v>
      </c>
      <c r="C2287" t="s">
        <v>4888</v>
      </c>
      <c r="D2287" t="s">
        <v>445</v>
      </c>
      <c r="E2287">
        <v>394434877</v>
      </c>
      <c r="F2287">
        <v>230700274</v>
      </c>
      <c r="G2287">
        <v>363292793</v>
      </c>
      <c r="H2287">
        <v>296106593</v>
      </c>
      <c r="I2287">
        <v>270205374</v>
      </c>
      <c r="J2287">
        <v>200083059</v>
      </c>
      <c r="P2287">
        <v>59</v>
      </c>
      <c r="Q2287" t="s">
        <v>4889</v>
      </c>
    </row>
    <row r="2288" spans="1:17" x14ac:dyDescent="0.3">
      <c r="A2288" t="s">
        <v>17</v>
      </c>
      <c r="B2288" t="str">
        <f>"603319"</f>
        <v>603319</v>
      </c>
      <c r="C2288" t="s">
        <v>4890</v>
      </c>
      <c r="D2288" t="s">
        <v>122</v>
      </c>
      <c r="E2288">
        <v>393421712</v>
      </c>
      <c r="F2288">
        <v>436213609</v>
      </c>
      <c r="G2288">
        <v>326193743</v>
      </c>
      <c r="H2288">
        <v>318222548</v>
      </c>
      <c r="I2288">
        <v>301873266</v>
      </c>
      <c r="J2288">
        <v>219808750</v>
      </c>
      <c r="P2288">
        <v>171</v>
      </c>
      <c r="Q2288" t="s">
        <v>4891</v>
      </c>
    </row>
    <row r="2289" spans="1:17" x14ac:dyDescent="0.3">
      <c r="A2289" t="s">
        <v>17</v>
      </c>
      <c r="B2289" t="str">
        <f>"688022"</f>
        <v>688022</v>
      </c>
      <c r="C2289" t="s">
        <v>4892</v>
      </c>
      <c r="D2289" t="s">
        <v>1451</v>
      </c>
      <c r="E2289">
        <v>392690872</v>
      </c>
      <c r="F2289">
        <v>306146201</v>
      </c>
      <c r="G2289">
        <v>109756466</v>
      </c>
      <c r="H2289">
        <v>85334299</v>
      </c>
      <c r="P2289">
        <v>164</v>
      </c>
      <c r="Q2289" t="s">
        <v>4893</v>
      </c>
    </row>
    <row r="2290" spans="1:17" x14ac:dyDescent="0.3">
      <c r="A2290" t="s">
        <v>17</v>
      </c>
      <c r="B2290" t="str">
        <f>"603726"</f>
        <v>603726</v>
      </c>
      <c r="C2290" t="s">
        <v>4894</v>
      </c>
      <c r="D2290" t="s">
        <v>654</v>
      </c>
      <c r="E2290">
        <v>392354212</v>
      </c>
      <c r="F2290">
        <v>394528876</v>
      </c>
      <c r="G2290">
        <v>256024179</v>
      </c>
      <c r="H2290">
        <v>355894537</v>
      </c>
      <c r="I2290">
        <v>314082868</v>
      </c>
      <c r="J2290">
        <v>235939879</v>
      </c>
      <c r="K2290">
        <v>138564214</v>
      </c>
      <c r="L2290">
        <v>0</v>
      </c>
      <c r="P2290">
        <v>123</v>
      </c>
      <c r="Q2290" t="s">
        <v>4895</v>
      </c>
    </row>
    <row r="2291" spans="1:17" x14ac:dyDescent="0.3">
      <c r="A2291" t="s">
        <v>17</v>
      </c>
      <c r="B2291" t="str">
        <f>"605389"</f>
        <v>605389</v>
      </c>
      <c r="C2291" t="s">
        <v>4896</v>
      </c>
      <c r="D2291" t="s">
        <v>2394</v>
      </c>
      <c r="E2291">
        <v>392263643</v>
      </c>
      <c r="F2291">
        <v>306157656</v>
      </c>
      <c r="P2291">
        <v>64</v>
      </c>
      <c r="Q2291" t="s">
        <v>4897</v>
      </c>
    </row>
    <row r="2292" spans="1:17" x14ac:dyDescent="0.3">
      <c r="A2292" t="s">
        <v>73</v>
      </c>
      <c r="B2292" t="str">
        <f>"300746"</f>
        <v>300746</v>
      </c>
      <c r="C2292" t="s">
        <v>4898</v>
      </c>
      <c r="D2292" t="s">
        <v>661</v>
      </c>
      <c r="E2292">
        <v>392220522</v>
      </c>
      <c r="F2292">
        <v>361697634</v>
      </c>
      <c r="G2292">
        <v>365541323</v>
      </c>
      <c r="H2292">
        <v>298674478</v>
      </c>
      <c r="I2292">
        <v>270346686</v>
      </c>
      <c r="J2292">
        <v>0</v>
      </c>
      <c r="P2292">
        <v>66</v>
      </c>
      <c r="Q2292" t="s">
        <v>4899</v>
      </c>
    </row>
    <row r="2293" spans="1:17" x14ac:dyDescent="0.3">
      <c r="A2293" t="s">
        <v>17</v>
      </c>
      <c r="B2293" t="str">
        <f>"603177"</f>
        <v>603177</v>
      </c>
      <c r="C2293" t="s">
        <v>4900</v>
      </c>
      <c r="D2293" t="s">
        <v>629</v>
      </c>
      <c r="E2293">
        <v>391820849</v>
      </c>
      <c r="F2293">
        <v>308165645</v>
      </c>
      <c r="G2293">
        <v>371805212</v>
      </c>
      <c r="H2293">
        <v>407280184</v>
      </c>
      <c r="I2293">
        <v>504964258</v>
      </c>
      <c r="J2293">
        <v>470093831</v>
      </c>
      <c r="P2293">
        <v>68</v>
      </c>
      <c r="Q2293" t="s">
        <v>4901</v>
      </c>
    </row>
    <row r="2294" spans="1:17" x14ac:dyDescent="0.3">
      <c r="A2294" t="s">
        <v>73</v>
      </c>
      <c r="B2294" t="str">
        <f>"002514"</f>
        <v>002514</v>
      </c>
      <c r="C2294" t="s">
        <v>4902</v>
      </c>
      <c r="D2294" t="s">
        <v>146</v>
      </c>
      <c r="E2294">
        <v>391654386</v>
      </c>
      <c r="F2294">
        <v>349619037</v>
      </c>
      <c r="G2294">
        <v>404633768</v>
      </c>
      <c r="H2294">
        <v>507650110</v>
      </c>
      <c r="I2294">
        <v>394972946</v>
      </c>
      <c r="J2294">
        <v>254002221</v>
      </c>
      <c r="K2294">
        <v>287438619</v>
      </c>
      <c r="L2294">
        <v>192317873</v>
      </c>
      <c r="M2294">
        <v>104398562</v>
      </c>
      <c r="N2294">
        <v>81740171</v>
      </c>
      <c r="O2294">
        <v>82841397</v>
      </c>
      <c r="P2294">
        <v>61</v>
      </c>
      <c r="Q2294" t="s">
        <v>4903</v>
      </c>
    </row>
    <row r="2295" spans="1:17" x14ac:dyDescent="0.3">
      <c r="A2295" t="s">
        <v>73</v>
      </c>
      <c r="B2295" t="str">
        <f>"002029"</f>
        <v>002029</v>
      </c>
      <c r="C2295" t="s">
        <v>4904</v>
      </c>
      <c r="D2295" t="s">
        <v>991</v>
      </c>
      <c r="E2295">
        <v>390753245</v>
      </c>
      <c r="F2295">
        <v>359866000</v>
      </c>
      <c r="G2295">
        <v>424178201</v>
      </c>
      <c r="H2295">
        <v>436423691</v>
      </c>
      <c r="I2295">
        <v>384981468</v>
      </c>
      <c r="J2295">
        <v>191789579</v>
      </c>
      <c r="K2295">
        <v>240138889</v>
      </c>
      <c r="L2295">
        <v>303144249</v>
      </c>
      <c r="M2295">
        <v>550602249</v>
      </c>
      <c r="N2295">
        <v>898977436</v>
      </c>
      <c r="O2295">
        <v>454279530</v>
      </c>
      <c r="P2295">
        <v>217</v>
      </c>
      <c r="Q2295" t="s">
        <v>4905</v>
      </c>
    </row>
    <row r="2296" spans="1:17" x14ac:dyDescent="0.3">
      <c r="A2296" t="s">
        <v>73</v>
      </c>
      <c r="B2296" t="str">
        <f>"002003"</f>
        <v>002003</v>
      </c>
      <c r="C2296" t="s">
        <v>4906</v>
      </c>
      <c r="D2296" t="s">
        <v>4907</v>
      </c>
      <c r="E2296">
        <v>390662450</v>
      </c>
      <c r="F2296">
        <v>323105219</v>
      </c>
      <c r="G2296">
        <v>446363538</v>
      </c>
      <c r="H2296">
        <v>618523317</v>
      </c>
      <c r="I2296">
        <v>433242608</v>
      </c>
      <c r="J2296">
        <v>309490773</v>
      </c>
      <c r="K2296">
        <v>192776574</v>
      </c>
      <c r="L2296">
        <v>172795507</v>
      </c>
      <c r="M2296">
        <v>199041393</v>
      </c>
      <c r="N2296">
        <v>179287019</v>
      </c>
      <c r="O2296">
        <v>169537230</v>
      </c>
      <c r="P2296">
        <v>761</v>
      </c>
      <c r="Q2296" t="s">
        <v>4908</v>
      </c>
    </row>
    <row r="2297" spans="1:17" x14ac:dyDescent="0.3">
      <c r="A2297" t="s">
        <v>73</v>
      </c>
      <c r="B2297" t="str">
        <f>"002343"</f>
        <v>002343</v>
      </c>
      <c r="C2297" t="s">
        <v>4909</v>
      </c>
      <c r="D2297" t="s">
        <v>1306</v>
      </c>
      <c r="E2297">
        <v>390655924</v>
      </c>
      <c r="F2297">
        <v>427685622</v>
      </c>
      <c r="G2297">
        <v>787940237</v>
      </c>
      <c r="H2297">
        <v>967655147</v>
      </c>
      <c r="I2297">
        <v>1653819368</v>
      </c>
      <c r="J2297">
        <v>1023823161</v>
      </c>
      <c r="K2297">
        <v>715227755</v>
      </c>
      <c r="L2297">
        <v>277844942</v>
      </c>
      <c r="M2297">
        <v>264983701</v>
      </c>
      <c r="N2297">
        <v>247737223</v>
      </c>
      <c r="O2297">
        <v>207125576</v>
      </c>
      <c r="P2297">
        <v>183</v>
      </c>
      <c r="Q2297" t="s">
        <v>4910</v>
      </c>
    </row>
    <row r="2298" spans="1:17" x14ac:dyDescent="0.3">
      <c r="A2298" t="s">
        <v>17</v>
      </c>
      <c r="B2298" t="str">
        <f>"688517"</f>
        <v>688517</v>
      </c>
      <c r="C2298" t="s">
        <v>4911</v>
      </c>
      <c r="D2298" t="s">
        <v>230</v>
      </c>
      <c r="E2298">
        <v>390640761</v>
      </c>
      <c r="F2298">
        <v>340556570</v>
      </c>
      <c r="P2298">
        <v>19</v>
      </c>
      <c r="Q2298" t="s">
        <v>4912</v>
      </c>
    </row>
    <row r="2299" spans="1:17" x14ac:dyDescent="0.3">
      <c r="A2299" t="s">
        <v>73</v>
      </c>
      <c r="B2299" t="str">
        <f>"000584"</f>
        <v>000584</v>
      </c>
      <c r="C2299" t="s">
        <v>4913</v>
      </c>
      <c r="D2299" t="s">
        <v>2121</v>
      </c>
      <c r="E2299">
        <v>390240086</v>
      </c>
      <c r="F2299">
        <v>427124188</v>
      </c>
      <c r="G2299">
        <v>559770121</v>
      </c>
      <c r="H2299">
        <v>556969478</v>
      </c>
      <c r="I2299">
        <v>249071367</v>
      </c>
      <c r="J2299">
        <v>58950399</v>
      </c>
      <c r="K2299">
        <v>86067574</v>
      </c>
      <c r="L2299">
        <v>83544379</v>
      </c>
      <c r="M2299">
        <v>80167181</v>
      </c>
      <c r="N2299">
        <v>81149447</v>
      </c>
      <c r="O2299">
        <v>89264832</v>
      </c>
      <c r="P2299">
        <v>134</v>
      </c>
      <c r="Q2299" t="s">
        <v>4914</v>
      </c>
    </row>
    <row r="2300" spans="1:17" x14ac:dyDescent="0.3">
      <c r="A2300" t="s">
        <v>73</v>
      </c>
      <c r="B2300" t="str">
        <f>"301150"</f>
        <v>301150</v>
      </c>
      <c r="C2300" t="s">
        <v>4915</v>
      </c>
      <c r="E2300">
        <v>390103765</v>
      </c>
      <c r="P2300">
        <v>7</v>
      </c>
      <c r="Q2300" t="s">
        <v>4916</v>
      </c>
    </row>
    <row r="2301" spans="1:17" x14ac:dyDescent="0.3">
      <c r="A2301" t="s">
        <v>73</v>
      </c>
      <c r="B2301" t="str">
        <f>"300693"</f>
        <v>300693</v>
      </c>
      <c r="C2301" t="s">
        <v>4917</v>
      </c>
      <c r="D2301" t="s">
        <v>747</v>
      </c>
      <c r="E2301">
        <v>389863504</v>
      </c>
      <c r="F2301">
        <v>336888816</v>
      </c>
      <c r="G2301">
        <v>310264779</v>
      </c>
      <c r="H2301">
        <v>261406768</v>
      </c>
      <c r="I2301">
        <v>265542120</v>
      </c>
      <c r="J2301">
        <v>252183640</v>
      </c>
      <c r="K2301">
        <v>0</v>
      </c>
      <c r="P2301">
        <v>214</v>
      </c>
      <c r="Q2301" t="s">
        <v>4918</v>
      </c>
    </row>
    <row r="2302" spans="1:17" x14ac:dyDescent="0.3">
      <c r="A2302" t="s">
        <v>73</v>
      </c>
      <c r="B2302" t="str">
        <f>"300580"</f>
        <v>300580</v>
      </c>
      <c r="C2302" t="s">
        <v>4919</v>
      </c>
      <c r="D2302" t="s">
        <v>122</v>
      </c>
      <c r="E2302">
        <v>389713663</v>
      </c>
      <c r="F2302">
        <v>376564986</v>
      </c>
      <c r="G2302">
        <v>332075606</v>
      </c>
      <c r="H2302">
        <v>281287638</v>
      </c>
      <c r="I2302">
        <v>269121101</v>
      </c>
      <c r="J2302">
        <v>185902861</v>
      </c>
      <c r="K2302">
        <v>0</v>
      </c>
      <c r="P2302">
        <v>148</v>
      </c>
      <c r="Q2302" t="s">
        <v>4920</v>
      </c>
    </row>
    <row r="2303" spans="1:17" x14ac:dyDescent="0.3">
      <c r="A2303" t="s">
        <v>17</v>
      </c>
      <c r="B2303" t="str">
        <f>"603558"</f>
        <v>603558</v>
      </c>
      <c r="C2303" t="s">
        <v>4921</v>
      </c>
      <c r="D2303" t="s">
        <v>2052</v>
      </c>
      <c r="E2303">
        <v>389429621</v>
      </c>
      <c r="F2303">
        <v>318965075</v>
      </c>
      <c r="G2303">
        <v>241791167</v>
      </c>
      <c r="H2303">
        <v>287383614</v>
      </c>
      <c r="I2303">
        <v>200776793</v>
      </c>
      <c r="J2303">
        <v>112606884</v>
      </c>
      <c r="K2303">
        <v>105030820</v>
      </c>
      <c r="L2303">
        <v>85293573</v>
      </c>
      <c r="M2303">
        <v>0</v>
      </c>
      <c r="P2303">
        <v>136</v>
      </c>
      <c r="Q2303" t="s">
        <v>4922</v>
      </c>
    </row>
    <row r="2304" spans="1:17" x14ac:dyDescent="0.3">
      <c r="A2304" t="s">
        <v>73</v>
      </c>
      <c r="B2304" t="str">
        <f>"301029"</f>
        <v>301029</v>
      </c>
      <c r="C2304" t="s">
        <v>4923</v>
      </c>
      <c r="D2304" t="s">
        <v>1967</v>
      </c>
      <c r="E2304">
        <v>389067587</v>
      </c>
      <c r="F2304">
        <v>249065269</v>
      </c>
      <c r="P2304">
        <v>67</v>
      </c>
      <c r="Q2304" t="s">
        <v>4924</v>
      </c>
    </row>
    <row r="2305" spans="1:17" x14ac:dyDescent="0.3">
      <c r="A2305" t="s">
        <v>73</v>
      </c>
      <c r="B2305" t="str">
        <f>"300951"</f>
        <v>300951</v>
      </c>
      <c r="C2305" t="s">
        <v>4925</v>
      </c>
      <c r="D2305" t="s">
        <v>42</v>
      </c>
      <c r="E2305">
        <v>388555479</v>
      </c>
      <c r="F2305">
        <v>321938669</v>
      </c>
      <c r="P2305">
        <v>67</v>
      </c>
      <c r="Q2305" t="s">
        <v>4926</v>
      </c>
    </row>
    <row r="2306" spans="1:17" x14ac:dyDescent="0.3">
      <c r="A2306" t="s">
        <v>73</v>
      </c>
      <c r="B2306" t="str">
        <f>"002519"</f>
        <v>002519</v>
      </c>
      <c r="C2306" t="s">
        <v>4927</v>
      </c>
      <c r="D2306" t="s">
        <v>957</v>
      </c>
      <c r="E2306">
        <v>388535416</v>
      </c>
      <c r="F2306">
        <v>565467365</v>
      </c>
      <c r="G2306">
        <v>514568569</v>
      </c>
      <c r="H2306">
        <v>714477912</v>
      </c>
      <c r="I2306">
        <v>904604738</v>
      </c>
      <c r="J2306">
        <v>863561843</v>
      </c>
      <c r="K2306">
        <v>788756706</v>
      </c>
      <c r="L2306">
        <v>644877759</v>
      </c>
      <c r="M2306">
        <v>605252433</v>
      </c>
      <c r="N2306">
        <v>514161622</v>
      </c>
      <c r="O2306">
        <v>487797570</v>
      </c>
      <c r="P2306">
        <v>160</v>
      </c>
      <c r="Q2306" t="s">
        <v>4928</v>
      </c>
    </row>
    <row r="2307" spans="1:17" x14ac:dyDescent="0.3">
      <c r="A2307" t="s">
        <v>73</v>
      </c>
      <c r="B2307" t="str">
        <f>"002893"</f>
        <v>002893</v>
      </c>
      <c r="C2307" t="s">
        <v>4929</v>
      </c>
      <c r="D2307" t="s">
        <v>1106</v>
      </c>
      <c r="E2307">
        <v>388122417</v>
      </c>
      <c r="F2307">
        <v>334393724</v>
      </c>
      <c r="G2307">
        <v>352848819</v>
      </c>
      <c r="H2307">
        <v>362196396</v>
      </c>
      <c r="I2307">
        <v>378494778</v>
      </c>
      <c r="J2307">
        <v>295673527</v>
      </c>
      <c r="P2307">
        <v>92</v>
      </c>
      <c r="Q2307" t="s">
        <v>4930</v>
      </c>
    </row>
    <row r="2308" spans="1:17" x14ac:dyDescent="0.3">
      <c r="A2308" t="s">
        <v>73</v>
      </c>
      <c r="B2308" t="str">
        <f>"300785"</f>
        <v>300785</v>
      </c>
      <c r="C2308" t="s">
        <v>4931</v>
      </c>
      <c r="D2308" t="s">
        <v>4641</v>
      </c>
      <c r="E2308">
        <v>388058390</v>
      </c>
      <c r="F2308">
        <v>252493558</v>
      </c>
      <c r="G2308">
        <v>184460596</v>
      </c>
      <c r="H2308">
        <v>0</v>
      </c>
      <c r="I2308">
        <v>0</v>
      </c>
      <c r="P2308">
        <v>332</v>
      </c>
      <c r="Q2308" t="s">
        <v>4932</v>
      </c>
    </row>
    <row r="2309" spans="1:17" x14ac:dyDescent="0.3">
      <c r="A2309" t="s">
        <v>73</v>
      </c>
      <c r="B2309" t="str">
        <f>"002703"</f>
        <v>002703</v>
      </c>
      <c r="C2309" t="s">
        <v>4933</v>
      </c>
      <c r="D2309" t="s">
        <v>122</v>
      </c>
      <c r="E2309">
        <v>387923906</v>
      </c>
      <c r="F2309">
        <v>368461883</v>
      </c>
      <c r="G2309">
        <v>364526017</v>
      </c>
      <c r="H2309">
        <v>450372626</v>
      </c>
      <c r="I2309">
        <v>456735591</v>
      </c>
      <c r="J2309">
        <v>372658789</v>
      </c>
      <c r="K2309">
        <v>364244067</v>
      </c>
      <c r="L2309">
        <v>319122487</v>
      </c>
      <c r="M2309">
        <v>300639225</v>
      </c>
      <c r="N2309">
        <v>335272538</v>
      </c>
      <c r="O2309">
        <v>0</v>
      </c>
      <c r="P2309">
        <v>76</v>
      </c>
      <c r="Q2309" t="s">
        <v>4934</v>
      </c>
    </row>
    <row r="2310" spans="1:17" x14ac:dyDescent="0.3">
      <c r="A2310" t="s">
        <v>17</v>
      </c>
      <c r="B2310" t="str">
        <f>"603067"</f>
        <v>603067</v>
      </c>
      <c r="C2310" t="s">
        <v>4935</v>
      </c>
      <c r="D2310" t="s">
        <v>2246</v>
      </c>
      <c r="E2310">
        <v>387751441</v>
      </c>
      <c r="F2310">
        <v>286959665</v>
      </c>
      <c r="G2310">
        <v>155931084</v>
      </c>
      <c r="H2310">
        <v>143422621</v>
      </c>
      <c r="I2310">
        <v>192594257</v>
      </c>
      <c r="J2310">
        <v>126229244</v>
      </c>
      <c r="P2310">
        <v>136</v>
      </c>
      <c r="Q2310" t="s">
        <v>4936</v>
      </c>
    </row>
    <row r="2311" spans="1:17" x14ac:dyDescent="0.3">
      <c r="A2311" t="s">
        <v>73</v>
      </c>
      <c r="B2311" t="str">
        <f>"002827"</f>
        <v>002827</v>
      </c>
      <c r="C2311" t="s">
        <v>4937</v>
      </c>
      <c r="D2311" t="s">
        <v>484</v>
      </c>
      <c r="E2311">
        <v>387696808</v>
      </c>
      <c r="F2311">
        <v>227042934</v>
      </c>
      <c r="G2311">
        <v>176687863</v>
      </c>
      <c r="H2311">
        <v>49557289</v>
      </c>
      <c r="I2311">
        <v>38657238</v>
      </c>
      <c r="J2311">
        <v>24350384</v>
      </c>
      <c r="P2311">
        <v>89</v>
      </c>
      <c r="Q2311" t="s">
        <v>4938</v>
      </c>
    </row>
    <row r="2312" spans="1:17" x14ac:dyDescent="0.3">
      <c r="A2312" t="s">
        <v>73</v>
      </c>
      <c r="B2312" t="str">
        <f>"000807"</f>
        <v>000807</v>
      </c>
      <c r="C2312" t="s">
        <v>4939</v>
      </c>
      <c r="D2312" t="s">
        <v>616</v>
      </c>
      <c r="E2312">
        <v>387282163</v>
      </c>
      <c r="F2312">
        <v>237006711</v>
      </c>
      <c r="G2312">
        <v>295408192</v>
      </c>
      <c r="H2312">
        <v>426123134</v>
      </c>
      <c r="I2312">
        <v>371470450</v>
      </c>
      <c r="J2312">
        <v>537128765</v>
      </c>
      <c r="K2312">
        <v>286154798</v>
      </c>
      <c r="L2312">
        <v>178248106</v>
      </c>
      <c r="M2312">
        <v>56381934</v>
      </c>
      <c r="N2312">
        <v>197418745</v>
      </c>
      <c r="O2312">
        <v>3114266</v>
      </c>
      <c r="P2312">
        <v>551</v>
      </c>
      <c r="Q2312" t="s">
        <v>4940</v>
      </c>
    </row>
    <row r="2313" spans="1:17" x14ac:dyDescent="0.3">
      <c r="A2313" t="s">
        <v>73</v>
      </c>
      <c r="B2313" t="str">
        <f>"200058"</f>
        <v>200058</v>
      </c>
      <c r="C2313" t="s">
        <v>4941</v>
      </c>
      <c r="E2313">
        <v>386966819.51599997</v>
      </c>
      <c r="F2313">
        <v>234087366.84599999</v>
      </c>
      <c r="G2313">
        <v>98543094.626399994</v>
      </c>
      <c r="H2313">
        <v>86704923.131099999</v>
      </c>
      <c r="I2313">
        <v>119349743.309</v>
      </c>
      <c r="J2313">
        <v>84210714.042799994</v>
      </c>
      <c r="K2313">
        <v>117663190.515</v>
      </c>
      <c r="L2313">
        <v>185299373.75</v>
      </c>
      <c r="M2313">
        <v>144648063.18399999</v>
      </c>
      <c r="N2313">
        <v>18717637.198800001</v>
      </c>
      <c r="O2313">
        <v>10556694.468</v>
      </c>
      <c r="P2313">
        <v>7</v>
      </c>
      <c r="Q2313" t="s">
        <v>4942</v>
      </c>
    </row>
    <row r="2314" spans="1:17" x14ac:dyDescent="0.3">
      <c r="A2314" t="s">
        <v>17</v>
      </c>
      <c r="B2314" t="str">
        <f>"603789"</f>
        <v>603789</v>
      </c>
      <c r="C2314" t="s">
        <v>4943</v>
      </c>
      <c r="D2314" t="s">
        <v>2030</v>
      </c>
      <c r="E2314">
        <v>386309545</v>
      </c>
      <c r="F2314">
        <v>485764758</v>
      </c>
      <c r="G2314">
        <v>619706880</v>
      </c>
      <c r="H2314">
        <v>469557272</v>
      </c>
      <c r="I2314">
        <v>199347708</v>
      </c>
      <c r="J2314">
        <v>111547689</v>
      </c>
      <c r="K2314">
        <v>34294798</v>
      </c>
      <c r="L2314">
        <v>0</v>
      </c>
      <c r="P2314">
        <v>64</v>
      </c>
      <c r="Q2314" t="s">
        <v>4944</v>
      </c>
    </row>
    <row r="2315" spans="1:17" x14ac:dyDescent="0.3">
      <c r="A2315" t="s">
        <v>73</v>
      </c>
      <c r="B2315" t="str">
        <f>"300405"</f>
        <v>300405</v>
      </c>
      <c r="C2315" t="s">
        <v>4945</v>
      </c>
      <c r="D2315" t="s">
        <v>588</v>
      </c>
      <c r="E2315">
        <v>386104852</v>
      </c>
      <c r="F2315">
        <v>419056195</v>
      </c>
      <c r="G2315">
        <v>392608286</v>
      </c>
      <c r="H2315">
        <v>438479830</v>
      </c>
      <c r="I2315">
        <v>464997119</v>
      </c>
      <c r="J2315">
        <v>427164271</v>
      </c>
      <c r="K2315">
        <v>287219873</v>
      </c>
      <c r="L2315">
        <v>317050613</v>
      </c>
      <c r="M2315">
        <v>0</v>
      </c>
      <c r="P2315">
        <v>59</v>
      </c>
      <c r="Q2315" t="s">
        <v>4946</v>
      </c>
    </row>
    <row r="2316" spans="1:17" x14ac:dyDescent="0.3">
      <c r="A2316" t="s">
        <v>73</v>
      </c>
      <c r="B2316" t="str">
        <f>"300411"</f>
        <v>300411</v>
      </c>
      <c r="C2316" t="s">
        <v>4947</v>
      </c>
      <c r="D2316" t="s">
        <v>1451</v>
      </c>
      <c r="E2316">
        <v>385810253</v>
      </c>
      <c r="F2316">
        <v>403627100</v>
      </c>
      <c r="G2316">
        <v>556668563</v>
      </c>
      <c r="H2316">
        <v>635215598</v>
      </c>
      <c r="I2316">
        <v>694063208</v>
      </c>
      <c r="J2316">
        <v>530333826</v>
      </c>
      <c r="K2316">
        <v>468514171</v>
      </c>
      <c r="L2316">
        <v>375680240</v>
      </c>
      <c r="M2316">
        <v>0</v>
      </c>
      <c r="P2316">
        <v>73</v>
      </c>
      <c r="Q2316" t="s">
        <v>4948</v>
      </c>
    </row>
    <row r="2317" spans="1:17" x14ac:dyDescent="0.3">
      <c r="A2317" t="s">
        <v>73</v>
      </c>
      <c r="B2317" t="str">
        <f>"301259"</f>
        <v>301259</v>
      </c>
      <c r="C2317" t="s">
        <v>4949</v>
      </c>
      <c r="E2317">
        <v>385447437</v>
      </c>
      <c r="P2317">
        <v>0</v>
      </c>
      <c r="Q2317" t="s">
        <v>4950</v>
      </c>
    </row>
    <row r="2318" spans="1:17" x14ac:dyDescent="0.3">
      <c r="A2318" t="s">
        <v>73</v>
      </c>
      <c r="B2318" t="str">
        <f>"002372"</f>
        <v>002372</v>
      </c>
      <c r="C2318" t="s">
        <v>4951</v>
      </c>
      <c r="D2318" t="s">
        <v>1836</v>
      </c>
      <c r="E2318">
        <v>385440965</v>
      </c>
      <c r="F2318">
        <v>274985887</v>
      </c>
      <c r="G2318">
        <v>225265732</v>
      </c>
      <c r="H2318">
        <v>331418666</v>
      </c>
      <c r="I2318">
        <v>225120806</v>
      </c>
      <c r="J2318">
        <v>196909090</v>
      </c>
      <c r="K2318">
        <v>152183993</v>
      </c>
      <c r="L2318">
        <v>150749720</v>
      </c>
      <c r="M2318">
        <v>137492423</v>
      </c>
      <c r="N2318">
        <v>141578426</v>
      </c>
      <c r="O2318">
        <v>154813548</v>
      </c>
      <c r="P2318">
        <v>10689</v>
      </c>
      <c r="Q2318" t="s">
        <v>4952</v>
      </c>
    </row>
    <row r="2319" spans="1:17" x14ac:dyDescent="0.3">
      <c r="A2319" t="s">
        <v>17</v>
      </c>
      <c r="B2319" t="str">
        <f>"603336"</f>
        <v>603336</v>
      </c>
      <c r="C2319" t="s">
        <v>4953</v>
      </c>
      <c r="D2319" t="s">
        <v>2090</v>
      </c>
      <c r="E2319">
        <v>385409616</v>
      </c>
      <c r="F2319">
        <v>356405798</v>
      </c>
      <c r="G2319">
        <v>280648186</v>
      </c>
      <c r="H2319">
        <v>213745510</v>
      </c>
      <c r="I2319">
        <v>145326903</v>
      </c>
      <c r="J2319">
        <v>172486550</v>
      </c>
      <c r="P2319">
        <v>179</v>
      </c>
      <c r="Q2319" t="s">
        <v>4954</v>
      </c>
    </row>
    <row r="2320" spans="1:17" x14ac:dyDescent="0.3">
      <c r="A2320" t="s">
        <v>73</v>
      </c>
      <c r="B2320" t="str">
        <f>"300531"</f>
        <v>300531</v>
      </c>
      <c r="C2320" t="s">
        <v>4955</v>
      </c>
      <c r="D2320" t="s">
        <v>158</v>
      </c>
      <c r="E2320">
        <v>384811464</v>
      </c>
      <c r="F2320">
        <v>265409063</v>
      </c>
      <c r="G2320">
        <v>233556130</v>
      </c>
      <c r="H2320">
        <v>352453198</v>
      </c>
      <c r="I2320">
        <v>193407940</v>
      </c>
      <c r="J2320">
        <v>141708582</v>
      </c>
      <c r="K2320">
        <v>124475431</v>
      </c>
      <c r="P2320">
        <v>173</v>
      </c>
      <c r="Q2320" t="s">
        <v>4956</v>
      </c>
    </row>
    <row r="2321" spans="1:17" x14ac:dyDescent="0.3">
      <c r="A2321" t="s">
        <v>73</v>
      </c>
      <c r="B2321" t="str">
        <f>"300160"</f>
        <v>300160</v>
      </c>
      <c r="C2321" t="s">
        <v>4957</v>
      </c>
      <c r="D2321" t="s">
        <v>654</v>
      </c>
      <c r="E2321">
        <v>384764805</v>
      </c>
      <c r="F2321">
        <v>309604714</v>
      </c>
      <c r="G2321">
        <v>262014605</v>
      </c>
      <c r="H2321">
        <v>310221912</v>
      </c>
      <c r="I2321">
        <v>359115217</v>
      </c>
      <c r="J2321">
        <v>374439369</v>
      </c>
      <c r="K2321">
        <v>301653125</v>
      </c>
      <c r="L2321">
        <v>284145611</v>
      </c>
      <c r="M2321">
        <v>223346338</v>
      </c>
      <c r="N2321">
        <v>244706065</v>
      </c>
      <c r="O2321">
        <v>219675546</v>
      </c>
      <c r="P2321">
        <v>150</v>
      </c>
      <c r="Q2321" t="s">
        <v>4958</v>
      </c>
    </row>
    <row r="2322" spans="1:17" x14ac:dyDescent="0.3">
      <c r="A2322" t="s">
        <v>17</v>
      </c>
      <c r="B2322" t="str">
        <f>"605128"</f>
        <v>605128</v>
      </c>
      <c r="C2322" t="s">
        <v>4959</v>
      </c>
      <c r="D2322" t="s">
        <v>106</v>
      </c>
      <c r="E2322">
        <v>384688000</v>
      </c>
      <c r="F2322">
        <v>321864716</v>
      </c>
      <c r="P2322">
        <v>53</v>
      </c>
      <c r="Q2322" t="s">
        <v>4960</v>
      </c>
    </row>
    <row r="2323" spans="1:17" x14ac:dyDescent="0.3">
      <c r="A2323" t="s">
        <v>73</v>
      </c>
      <c r="B2323" t="str">
        <f>"002755"</f>
        <v>002755</v>
      </c>
      <c r="C2323" t="s">
        <v>4961</v>
      </c>
      <c r="D2323" t="s">
        <v>348</v>
      </c>
      <c r="E2323">
        <v>384267436</v>
      </c>
      <c r="F2323">
        <v>681797439</v>
      </c>
      <c r="G2323">
        <v>660913312</v>
      </c>
      <c r="H2323">
        <v>645419595</v>
      </c>
      <c r="I2323">
        <v>414581425</v>
      </c>
      <c r="J2323">
        <v>305947261</v>
      </c>
      <c r="K2323">
        <v>306431430</v>
      </c>
      <c r="L2323">
        <v>358596448</v>
      </c>
      <c r="M2323">
        <v>0</v>
      </c>
      <c r="P2323">
        <v>307</v>
      </c>
      <c r="Q2323" t="s">
        <v>4962</v>
      </c>
    </row>
    <row r="2324" spans="1:17" x14ac:dyDescent="0.3">
      <c r="A2324" t="s">
        <v>17</v>
      </c>
      <c r="B2324" t="str">
        <f>"600662"</f>
        <v>600662</v>
      </c>
      <c r="C2324" t="s">
        <v>4963</v>
      </c>
      <c r="D2324" t="s">
        <v>4964</v>
      </c>
      <c r="E2324">
        <v>384183825</v>
      </c>
      <c r="F2324">
        <v>174351960</v>
      </c>
      <c r="G2324">
        <v>202365909</v>
      </c>
      <c r="H2324">
        <v>199475067</v>
      </c>
      <c r="I2324">
        <v>202795307</v>
      </c>
      <c r="J2324">
        <v>206687305</v>
      </c>
      <c r="K2324">
        <v>181291646</v>
      </c>
      <c r="L2324">
        <v>184635027</v>
      </c>
      <c r="M2324">
        <v>214535048</v>
      </c>
      <c r="N2324">
        <v>152545461</v>
      </c>
      <c r="O2324">
        <v>127300698</v>
      </c>
      <c r="P2324">
        <v>130</v>
      </c>
      <c r="Q2324" t="s">
        <v>4965</v>
      </c>
    </row>
    <row r="2325" spans="1:17" x14ac:dyDescent="0.3">
      <c r="A2325" t="s">
        <v>17</v>
      </c>
      <c r="B2325" t="str">
        <f>"603633"</f>
        <v>603633</v>
      </c>
      <c r="C2325" t="s">
        <v>4966</v>
      </c>
      <c r="D2325" t="s">
        <v>42</v>
      </c>
      <c r="E2325">
        <v>383625637</v>
      </c>
      <c r="F2325">
        <v>313061963</v>
      </c>
      <c r="G2325">
        <v>263878236</v>
      </c>
      <c r="H2325">
        <v>236686353</v>
      </c>
      <c r="I2325">
        <v>207323359</v>
      </c>
      <c r="J2325">
        <v>173479132</v>
      </c>
      <c r="P2325">
        <v>90</v>
      </c>
      <c r="Q2325" t="s">
        <v>4967</v>
      </c>
    </row>
    <row r="2326" spans="1:17" x14ac:dyDescent="0.3">
      <c r="A2326" t="s">
        <v>73</v>
      </c>
      <c r="B2326" t="str">
        <f>"002254"</f>
        <v>002254</v>
      </c>
      <c r="C2326" t="s">
        <v>4968</v>
      </c>
      <c r="D2326" t="s">
        <v>943</v>
      </c>
      <c r="E2326">
        <v>383617751</v>
      </c>
      <c r="F2326">
        <v>293229842</v>
      </c>
      <c r="G2326">
        <v>202020868</v>
      </c>
      <c r="H2326">
        <v>200937497</v>
      </c>
      <c r="I2326">
        <v>201931335</v>
      </c>
      <c r="J2326">
        <v>185069182</v>
      </c>
      <c r="K2326">
        <v>188007344</v>
      </c>
      <c r="L2326">
        <v>121440861</v>
      </c>
      <c r="M2326">
        <v>93529652</v>
      </c>
      <c r="N2326">
        <v>139082612</v>
      </c>
      <c r="O2326">
        <v>100537457</v>
      </c>
      <c r="P2326">
        <v>215</v>
      </c>
      <c r="Q2326" t="s">
        <v>4969</v>
      </c>
    </row>
    <row r="2327" spans="1:17" x14ac:dyDescent="0.3">
      <c r="A2327" t="s">
        <v>17</v>
      </c>
      <c r="B2327" t="str">
        <f>"603528"</f>
        <v>603528</v>
      </c>
      <c r="C2327" t="s">
        <v>4970</v>
      </c>
      <c r="D2327" t="s">
        <v>795</v>
      </c>
      <c r="E2327">
        <v>383489978</v>
      </c>
      <c r="F2327">
        <v>393327696</v>
      </c>
      <c r="G2327">
        <v>283477002</v>
      </c>
      <c r="H2327">
        <v>290776400</v>
      </c>
      <c r="I2327">
        <v>317036561</v>
      </c>
      <c r="J2327">
        <v>335808138</v>
      </c>
      <c r="K2327">
        <v>286118590</v>
      </c>
      <c r="L2327">
        <v>0</v>
      </c>
      <c r="P2327">
        <v>195</v>
      </c>
      <c r="Q2327" t="s">
        <v>4971</v>
      </c>
    </row>
    <row r="2328" spans="1:17" x14ac:dyDescent="0.3">
      <c r="A2328" t="s">
        <v>17</v>
      </c>
      <c r="B2328" t="str">
        <f>"601636"</f>
        <v>601636</v>
      </c>
      <c r="C2328" t="s">
        <v>4972</v>
      </c>
      <c r="D2328" t="s">
        <v>2655</v>
      </c>
      <c r="E2328">
        <v>383478157</v>
      </c>
      <c r="F2328">
        <v>171122665</v>
      </c>
      <c r="G2328">
        <v>126301156</v>
      </c>
      <c r="H2328">
        <v>95416292</v>
      </c>
      <c r="I2328">
        <v>30471886</v>
      </c>
      <c r="J2328">
        <v>6808558</v>
      </c>
      <c r="K2328">
        <v>17654798</v>
      </c>
      <c r="L2328">
        <v>12417274</v>
      </c>
      <c r="M2328">
        <v>8879298</v>
      </c>
      <c r="N2328">
        <v>41619262</v>
      </c>
      <c r="O2328">
        <v>149355210</v>
      </c>
      <c r="P2328">
        <v>1517</v>
      </c>
      <c r="Q2328" t="s">
        <v>4973</v>
      </c>
    </row>
    <row r="2329" spans="1:17" x14ac:dyDescent="0.3">
      <c r="A2329" t="s">
        <v>73</v>
      </c>
      <c r="B2329" t="str">
        <f>"301219"</f>
        <v>301219</v>
      </c>
      <c r="C2329" t="s">
        <v>4974</v>
      </c>
      <c r="E2329">
        <v>383432864</v>
      </c>
      <c r="G2329">
        <v>92550171</v>
      </c>
      <c r="P2329">
        <v>8</v>
      </c>
      <c r="Q2329" t="s">
        <v>4975</v>
      </c>
    </row>
    <row r="2330" spans="1:17" x14ac:dyDescent="0.3">
      <c r="A2330" t="s">
        <v>17</v>
      </c>
      <c r="B2330" t="str">
        <f>"603809"</f>
        <v>603809</v>
      </c>
      <c r="C2330" t="s">
        <v>4976</v>
      </c>
      <c r="D2330" t="s">
        <v>122</v>
      </c>
      <c r="E2330">
        <v>383079400</v>
      </c>
      <c r="F2330">
        <v>371773838</v>
      </c>
      <c r="G2330">
        <v>230398727</v>
      </c>
      <c r="H2330">
        <v>249420402</v>
      </c>
      <c r="I2330">
        <v>253512460</v>
      </c>
      <c r="P2330">
        <v>137</v>
      </c>
      <c r="Q2330" t="s">
        <v>4977</v>
      </c>
    </row>
    <row r="2331" spans="1:17" x14ac:dyDescent="0.3">
      <c r="A2331" t="s">
        <v>17</v>
      </c>
      <c r="B2331" t="str">
        <f>"603778"</f>
        <v>603778</v>
      </c>
      <c r="C2331" t="s">
        <v>4978</v>
      </c>
      <c r="D2331" t="s">
        <v>445</v>
      </c>
      <c r="E2331">
        <v>382968638</v>
      </c>
      <c r="F2331">
        <v>233213787</v>
      </c>
      <c r="G2331">
        <v>363609439</v>
      </c>
      <c r="H2331">
        <v>322131386</v>
      </c>
      <c r="I2331">
        <v>367988114</v>
      </c>
      <c r="J2331">
        <v>305295945</v>
      </c>
      <c r="K2331">
        <v>310044497</v>
      </c>
      <c r="L2331">
        <v>0</v>
      </c>
      <c r="M2331">
        <v>0</v>
      </c>
      <c r="P2331">
        <v>72</v>
      </c>
      <c r="Q2331" t="s">
        <v>4979</v>
      </c>
    </row>
    <row r="2332" spans="1:17" x14ac:dyDescent="0.3">
      <c r="A2332" t="s">
        <v>73</v>
      </c>
      <c r="B2332" t="str">
        <f>"300039"</f>
        <v>300039</v>
      </c>
      <c r="C2332" t="s">
        <v>4980</v>
      </c>
      <c r="D2332" t="s">
        <v>215</v>
      </c>
      <c r="E2332">
        <v>382628345</v>
      </c>
      <c r="F2332">
        <v>387788224</v>
      </c>
      <c r="G2332">
        <v>413378262</v>
      </c>
      <c r="H2332">
        <v>499124252</v>
      </c>
      <c r="I2332">
        <v>540676241</v>
      </c>
      <c r="J2332">
        <v>494341088</v>
      </c>
      <c r="K2332">
        <v>532600619</v>
      </c>
      <c r="L2332">
        <v>529747531</v>
      </c>
      <c r="M2332">
        <v>311668778</v>
      </c>
      <c r="N2332">
        <v>228488690</v>
      </c>
      <c r="O2332">
        <v>208760980</v>
      </c>
      <c r="P2332">
        <v>223</v>
      </c>
      <c r="Q2332" t="s">
        <v>4981</v>
      </c>
    </row>
    <row r="2333" spans="1:17" x14ac:dyDescent="0.3">
      <c r="A2333" t="s">
        <v>73</v>
      </c>
      <c r="B2333" t="str">
        <f>"002190"</f>
        <v>002190</v>
      </c>
      <c r="C2333" t="s">
        <v>4982</v>
      </c>
      <c r="D2333" t="s">
        <v>130</v>
      </c>
      <c r="E2333">
        <v>382573850</v>
      </c>
      <c r="F2333">
        <v>364742114</v>
      </c>
      <c r="G2333">
        <v>407913895</v>
      </c>
      <c r="H2333">
        <v>1206862612</v>
      </c>
      <c r="I2333">
        <v>898537066</v>
      </c>
      <c r="J2333">
        <v>532684887</v>
      </c>
      <c r="K2333">
        <v>672438333</v>
      </c>
      <c r="L2333">
        <v>645659568</v>
      </c>
      <c r="M2333">
        <v>366721943</v>
      </c>
      <c r="N2333">
        <v>304795230</v>
      </c>
      <c r="O2333">
        <v>276530019</v>
      </c>
      <c r="P2333">
        <v>184</v>
      </c>
      <c r="Q2333" t="s">
        <v>4983</v>
      </c>
    </row>
    <row r="2334" spans="1:17" x14ac:dyDescent="0.3">
      <c r="A2334" t="s">
        <v>73</v>
      </c>
      <c r="B2334" t="str">
        <f>"300579"</f>
        <v>300579</v>
      </c>
      <c r="C2334" t="s">
        <v>4984</v>
      </c>
      <c r="D2334" t="s">
        <v>795</v>
      </c>
      <c r="E2334">
        <v>382397956</v>
      </c>
      <c r="F2334">
        <v>308604008</v>
      </c>
      <c r="G2334">
        <v>269715600</v>
      </c>
      <c r="H2334">
        <v>165845532</v>
      </c>
      <c r="I2334">
        <v>166348707</v>
      </c>
      <c r="J2334">
        <v>156341755</v>
      </c>
      <c r="K2334">
        <v>0</v>
      </c>
      <c r="P2334">
        <v>335</v>
      </c>
      <c r="Q2334" t="s">
        <v>4985</v>
      </c>
    </row>
    <row r="2335" spans="1:17" x14ac:dyDescent="0.3">
      <c r="A2335" t="s">
        <v>17</v>
      </c>
      <c r="B2335" t="str">
        <f>"688636"</f>
        <v>688636</v>
      </c>
      <c r="C2335" t="s">
        <v>4986</v>
      </c>
      <c r="D2335" t="s">
        <v>502</v>
      </c>
      <c r="E2335">
        <v>382004711</v>
      </c>
      <c r="F2335">
        <v>232506759</v>
      </c>
      <c r="P2335">
        <v>32</v>
      </c>
      <c r="Q2335" t="s">
        <v>4987</v>
      </c>
    </row>
    <row r="2336" spans="1:17" x14ac:dyDescent="0.3">
      <c r="A2336" t="s">
        <v>73</v>
      </c>
      <c r="B2336" t="str">
        <f>"300187"</f>
        <v>300187</v>
      </c>
      <c r="C2336" t="s">
        <v>4988</v>
      </c>
      <c r="D2336" t="s">
        <v>623</v>
      </c>
      <c r="E2336">
        <v>381085746</v>
      </c>
      <c r="F2336">
        <v>424773493</v>
      </c>
      <c r="G2336">
        <v>482957690</v>
      </c>
      <c r="H2336">
        <v>362646621</v>
      </c>
      <c r="I2336">
        <v>381390548</v>
      </c>
      <c r="J2336">
        <v>380654679</v>
      </c>
      <c r="K2336">
        <v>322444895</v>
      </c>
      <c r="L2336">
        <v>233543822</v>
      </c>
      <c r="M2336">
        <v>84688307</v>
      </c>
      <c r="N2336">
        <v>23211226</v>
      </c>
      <c r="O2336">
        <v>39434125</v>
      </c>
      <c r="P2336">
        <v>110</v>
      </c>
      <c r="Q2336" t="s">
        <v>4989</v>
      </c>
    </row>
    <row r="2337" spans="1:17" x14ac:dyDescent="0.3">
      <c r="A2337" t="s">
        <v>73</v>
      </c>
      <c r="B2337" t="str">
        <f>"000031"</f>
        <v>000031</v>
      </c>
      <c r="C2337" t="s">
        <v>4990</v>
      </c>
      <c r="D2337" t="s">
        <v>697</v>
      </c>
      <c r="E2337">
        <v>380711923</v>
      </c>
      <c r="F2337">
        <v>381696662</v>
      </c>
      <c r="G2337">
        <v>427278631</v>
      </c>
      <c r="H2337">
        <v>459966973</v>
      </c>
      <c r="I2337">
        <v>275557579</v>
      </c>
      <c r="J2337">
        <v>214177628</v>
      </c>
      <c r="K2337">
        <v>164260161</v>
      </c>
      <c r="L2337">
        <v>130156427</v>
      </c>
      <c r="M2337">
        <v>109736048</v>
      </c>
      <c r="N2337">
        <v>70379093</v>
      </c>
      <c r="O2337">
        <v>90639505</v>
      </c>
      <c r="P2337">
        <v>327</v>
      </c>
      <c r="Q2337" t="s">
        <v>4991</v>
      </c>
    </row>
    <row r="2338" spans="1:17" x14ac:dyDescent="0.3">
      <c r="A2338" t="s">
        <v>73</v>
      </c>
      <c r="B2338" t="str">
        <f>"300311"</f>
        <v>300311</v>
      </c>
      <c r="C2338" t="s">
        <v>4992</v>
      </c>
      <c r="D2338" t="s">
        <v>404</v>
      </c>
      <c r="E2338">
        <v>379868558</v>
      </c>
      <c r="F2338">
        <v>337062773</v>
      </c>
      <c r="G2338">
        <v>447514003</v>
      </c>
      <c r="H2338">
        <v>548206020</v>
      </c>
      <c r="I2338">
        <v>390512078</v>
      </c>
      <c r="J2338">
        <v>278787298</v>
      </c>
      <c r="K2338">
        <v>160255952</v>
      </c>
      <c r="L2338">
        <v>109429601</v>
      </c>
      <c r="M2338">
        <v>38596768</v>
      </c>
      <c r="N2338">
        <v>39814258</v>
      </c>
      <c r="O2338">
        <v>21236291</v>
      </c>
      <c r="P2338">
        <v>161</v>
      </c>
      <c r="Q2338" t="s">
        <v>4993</v>
      </c>
    </row>
    <row r="2339" spans="1:17" x14ac:dyDescent="0.3">
      <c r="A2339" t="s">
        <v>73</v>
      </c>
      <c r="B2339" t="str">
        <f>"000409"</f>
        <v>000409</v>
      </c>
      <c r="C2339" t="s">
        <v>4994</v>
      </c>
      <c r="D2339" t="s">
        <v>466</v>
      </c>
      <c r="E2339">
        <v>379734617</v>
      </c>
      <c r="F2339">
        <v>279721606</v>
      </c>
      <c r="G2339">
        <v>280199597</v>
      </c>
      <c r="H2339">
        <v>282995933</v>
      </c>
      <c r="I2339">
        <v>381080583</v>
      </c>
      <c r="J2339">
        <v>283272058</v>
      </c>
      <c r="K2339">
        <v>208882336</v>
      </c>
      <c r="L2339">
        <v>41646807</v>
      </c>
      <c r="M2339">
        <v>72484849</v>
      </c>
      <c r="N2339">
        <v>40719539</v>
      </c>
      <c r="O2339">
        <v>8881472</v>
      </c>
      <c r="P2339">
        <v>75</v>
      </c>
      <c r="Q2339" t="s">
        <v>4995</v>
      </c>
    </row>
    <row r="2340" spans="1:17" x14ac:dyDescent="0.3">
      <c r="A2340" t="s">
        <v>73</v>
      </c>
      <c r="B2340" t="str">
        <f>"300832"</f>
        <v>300832</v>
      </c>
      <c r="C2340" t="s">
        <v>4996</v>
      </c>
      <c r="D2340" t="s">
        <v>773</v>
      </c>
      <c r="E2340">
        <v>379417754</v>
      </c>
      <c r="F2340">
        <v>249520016</v>
      </c>
      <c r="G2340">
        <v>229096260</v>
      </c>
      <c r="H2340">
        <v>0</v>
      </c>
      <c r="P2340">
        <v>513</v>
      </c>
      <c r="Q2340" t="s">
        <v>4997</v>
      </c>
    </row>
    <row r="2341" spans="1:17" x14ac:dyDescent="0.3">
      <c r="A2341" t="s">
        <v>17</v>
      </c>
      <c r="B2341" t="str">
        <f>"600479"</f>
        <v>600479</v>
      </c>
      <c r="C2341" t="s">
        <v>4998</v>
      </c>
      <c r="D2341" t="s">
        <v>215</v>
      </c>
      <c r="E2341">
        <v>379156692</v>
      </c>
      <c r="F2341">
        <v>375463326</v>
      </c>
      <c r="G2341">
        <v>337254843</v>
      </c>
      <c r="H2341">
        <v>367708385</v>
      </c>
      <c r="I2341">
        <v>287788212</v>
      </c>
      <c r="J2341">
        <v>208857966</v>
      </c>
      <c r="K2341">
        <v>167874643</v>
      </c>
      <c r="L2341">
        <v>138268780</v>
      </c>
      <c r="M2341">
        <v>148880919</v>
      </c>
      <c r="N2341">
        <v>149653147</v>
      </c>
      <c r="O2341">
        <v>100246754</v>
      </c>
      <c r="P2341">
        <v>605</v>
      </c>
      <c r="Q2341" t="s">
        <v>4999</v>
      </c>
    </row>
    <row r="2342" spans="1:17" x14ac:dyDescent="0.3">
      <c r="A2342" t="s">
        <v>17</v>
      </c>
      <c r="B2342" t="str">
        <f>"688196"</f>
        <v>688196</v>
      </c>
      <c r="C2342" t="s">
        <v>5000</v>
      </c>
      <c r="D2342" t="s">
        <v>588</v>
      </c>
      <c r="E2342">
        <v>378735421</v>
      </c>
      <c r="F2342">
        <v>96325444</v>
      </c>
      <c r="G2342">
        <v>90819685</v>
      </c>
      <c r="H2342">
        <v>88967255</v>
      </c>
      <c r="P2342">
        <v>188</v>
      </c>
      <c r="Q2342" t="s">
        <v>5001</v>
      </c>
    </row>
    <row r="2343" spans="1:17" x14ac:dyDescent="0.3">
      <c r="A2343" t="s">
        <v>73</v>
      </c>
      <c r="B2343" t="str">
        <f>"300437"</f>
        <v>300437</v>
      </c>
      <c r="C2343" t="s">
        <v>5002</v>
      </c>
      <c r="D2343" t="s">
        <v>308</v>
      </c>
      <c r="E2343">
        <v>378539574</v>
      </c>
      <c r="F2343">
        <v>624526685</v>
      </c>
      <c r="G2343">
        <v>746557965</v>
      </c>
      <c r="H2343">
        <v>835643188</v>
      </c>
      <c r="I2343">
        <v>758962239</v>
      </c>
      <c r="J2343">
        <v>169890975</v>
      </c>
      <c r="K2343">
        <v>75926770</v>
      </c>
      <c r="L2343">
        <v>58801270</v>
      </c>
      <c r="M2343">
        <v>0</v>
      </c>
      <c r="P2343">
        <v>143</v>
      </c>
      <c r="Q2343" t="s">
        <v>5003</v>
      </c>
    </row>
    <row r="2344" spans="1:17" x14ac:dyDescent="0.3">
      <c r="A2344" t="s">
        <v>73</v>
      </c>
      <c r="B2344" t="str">
        <f>"300006"</f>
        <v>300006</v>
      </c>
      <c r="C2344" t="s">
        <v>5004</v>
      </c>
      <c r="D2344" t="s">
        <v>348</v>
      </c>
      <c r="E2344">
        <v>377785879</v>
      </c>
      <c r="F2344">
        <v>457772168</v>
      </c>
      <c r="G2344">
        <v>566349352</v>
      </c>
      <c r="H2344">
        <v>482509384</v>
      </c>
      <c r="I2344">
        <v>369374099</v>
      </c>
      <c r="J2344">
        <v>264561859</v>
      </c>
      <c r="K2344">
        <v>262185291</v>
      </c>
      <c r="L2344">
        <v>233369534</v>
      </c>
      <c r="M2344">
        <v>166225022</v>
      </c>
      <c r="N2344">
        <v>173336481</v>
      </c>
      <c r="O2344">
        <v>148156808</v>
      </c>
      <c r="P2344">
        <v>136</v>
      </c>
      <c r="Q2344" t="s">
        <v>5005</v>
      </c>
    </row>
    <row r="2345" spans="1:17" x14ac:dyDescent="0.3">
      <c r="A2345" t="s">
        <v>73</v>
      </c>
      <c r="B2345" t="str">
        <f>"200152"</f>
        <v>200152</v>
      </c>
      <c r="C2345" t="s">
        <v>5006</v>
      </c>
      <c r="E2345">
        <v>377731806.61400002</v>
      </c>
      <c r="F2345">
        <v>560819983.06350005</v>
      </c>
      <c r="G2345">
        <v>300795096.495</v>
      </c>
      <c r="H2345">
        <v>458640223.77420002</v>
      </c>
      <c r="I2345">
        <v>712709893.71949995</v>
      </c>
      <c r="J2345">
        <v>448215879.87660003</v>
      </c>
      <c r="K2345">
        <v>407497041.80309999</v>
      </c>
      <c r="L2345">
        <v>394200913.75</v>
      </c>
      <c r="M2345">
        <v>379717719.64200002</v>
      </c>
      <c r="N2345">
        <v>326953194.11760002</v>
      </c>
      <c r="O2345">
        <v>310419133.05599999</v>
      </c>
      <c r="P2345">
        <v>112</v>
      </c>
      <c r="Q2345" t="s">
        <v>5007</v>
      </c>
    </row>
    <row r="2346" spans="1:17" x14ac:dyDescent="0.3">
      <c r="A2346" t="s">
        <v>17</v>
      </c>
      <c r="B2346" t="str">
        <f>"603115"</f>
        <v>603115</v>
      </c>
      <c r="C2346" t="s">
        <v>5008</v>
      </c>
      <c r="D2346" t="s">
        <v>616</v>
      </c>
      <c r="E2346">
        <v>376946989</v>
      </c>
      <c r="F2346">
        <v>284422091</v>
      </c>
      <c r="G2346">
        <v>206547220</v>
      </c>
      <c r="H2346">
        <v>0</v>
      </c>
      <c r="P2346">
        <v>88</v>
      </c>
      <c r="Q2346" t="s">
        <v>5009</v>
      </c>
    </row>
    <row r="2347" spans="1:17" x14ac:dyDescent="0.3">
      <c r="A2347" t="s">
        <v>73</v>
      </c>
      <c r="B2347" t="str">
        <f>"002535"</f>
        <v>002535</v>
      </c>
      <c r="C2347" t="s">
        <v>5010</v>
      </c>
      <c r="D2347" t="s">
        <v>311</v>
      </c>
      <c r="E2347">
        <v>376107077</v>
      </c>
      <c r="F2347">
        <v>377333994</v>
      </c>
      <c r="G2347">
        <v>462006607</v>
      </c>
      <c r="H2347">
        <v>690512111</v>
      </c>
      <c r="I2347">
        <v>866493321</v>
      </c>
      <c r="J2347">
        <v>695215022</v>
      </c>
      <c r="K2347">
        <v>1043517971</v>
      </c>
      <c r="L2347">
        <v>1111535852</v>
      </c>
      <c r="M2347">
        <v>898699940</v>
      </c>
      <c r="N2347">
        <v>674293065</v>
      </c>
      <c r="O2347">
        <v>557713690</v>
      </c>
      <c r="P2347">
        <v>89</v>
      </c>
      <c r="Q2347" t="s">
        <v>5011</v>
      </c>
    </row>
    <row r="2348" spans="1:17" x14ac:dyDescent="0.3">
      <c r="A2348" t="s">
        <v>73</v>
      </c>
      <c r="B2348" t="str">
        <f>"300153"</f>
        <v>300153</v>
      </c>
      <c r="C2348" t="s">
        <v>5012</v>
      </c>
      <c r="D2348" t="s">
        <v>747</v>
      </c>
      <c r="E2348">
        <v>375591528</v>
      </c>
      <c r="F2348">
        <v>394817383</v>
      </c>
      <c r="G2348">
        <v>526987528</v>
      </c>
      <c r="H2348">
        <v>436984488</v>
      </c>
      <c r="I2348">
        <v>377887965</v>
      </c>
      <c r="J2348">
        <v>385963135</v>
      </c>
      <c r="K2348">
        <v>324630257</v>
      </c>
      <c r="L2348">
        <v>243970982</v>
      </c>
      <c r="M2348">
        <v>206536106</v>
      </c>
      <c r="N2348">
        <v>139503924</v>
      </c>
      <c r="O2348">
        <v>181707061</v>
      </c>
      <c r="P2348">
        <v>108</v>
      </c>
      <c r="Q2348" t="s">
        <v>5013</v>
      </c>
    </row>
    <row r="2349" spans="1:17" x14ac:dyDescent="0.3">
      <c r="A2349" t="s">
        <v>73</v>
      </c>
      <c r="B2349" t="str">
        <f>"002829"</f>
        <v>002829</v>
      </c>
      <c r="C2349" t="s">
        <v>5014</v>
      </c>
      <c r="D2349" t="s">
        <v>433</v>
      </c>
      <c r="E2349">
        <v>375517091</v>
      </c>
      <c r="F2349">
        <v>336409822</v>
      </c>
      <c r="G2349">
        <v>359164807</v>
      </c>
      <c r="H2349">
        <v>412027560</v>
      </c>
      <c r="I2349">
        <v>314244667</v>
      </c>
      <c r="J2349">
        <v>155200494</v>
      </c>
      <c r="P2349">
        <v>132</v>
      </c>
      <c r="Q2349" t="s">
        <v>5015</v>
      </c>
    </row>
    <row r="2350" spans="1:17" x14ac:dyDescent="0.3">
      <c r="A2350" t="s">
        <v>73</v>
      </c>
      <c r="B2350" t="str">
        <f>"300529"</f>
        <v>300529</v>
      </c>
      <c r="C2350" t="s">
        <v>5016</v>
      </c>
      <c r="D2350" t="s">
        <v>1523</v>
      </c>
      <c r="E2350">
        <v>374634599</v>
      </c>
      <c r="F2350">
        <v>222616074</v>
      </c>
      <c r="G2350">
        <v>204175654</v>
      </c>
      <c r="H2350">
        <v>140884336</v>
      </c>
      <c r="I2350">
        <v>118303046</v>
      </c>
      <c r="J2350">
        <v>85611742</v>
      </c>
      <c r="K2350">
        <v>67501292</v>
      </c>
      <c r="L2350">
        <v>0</v>
      </c>
      <c r="P2350">
        <v>5945</v>
      </c>
      <c r="Q2350" t="s">
        <v>5017</v>
      </c>
    </row>
    <row r="2351" spans="1:17" x14ac:dyDescent="0.3">
      <c r="A2351" t="s">
        <v>73</v>
      </c>
      <c r="B2351" t="str">
        <f>"002098"</f>
        <v>002098</v>
      </c>
      <c r="C2351" t="s">
        <v>5018</v>
      </c>
      <c r="D2351" t="s">
        <v>4907</v>
      </c>
      <c r="E2351">
        <v>374568404</v>
      </c>
      <c r="F2351">
        <v>282331048</v>
      </c>
      <c r="G2351">
        <v>237424529</v>
      </c>
      <c r="H2351">
        <v>302357059</v>
      </c>
      <c r="I2351">
        <v>356498415</v>
      </c>
      <c r="J2351">
        <v>236754440</v>
      </c>
      <c r="K2351">
        <v>217379554</v>
      </c>
      <c r="L2351">
        <v>207917351</v>
      </c>
      <c r="M2351">
        <v>220501817</v>
      </c>
      <c r="N2351">
        <v>191741835</v>
      </c>
      <c r="O2351">
        <v>216562110</v>
      </c>
      <c r="P2351">
        <v>111</v>
      </c>
      <c r="Q2351" t="s">
        <v>5019</v>
      </c>
    </row>
    <row r="2352" spans="1:17" x14ac:dyDescent="0.3">
      <c r="A2352" t="s">
        <v>17</v>
      </c>
      <c r="B2352" t="str">
        <f>"603926"</f>
        <v>603926</v>
      </c>
      <c r="C2352" t="s">
        <v>5020</v>
      </c>
      <c r="D2352" t="s">
        <v>122</v>
      </c>
      <c r="E2352">
        <v>374293332</v>
      </c>
      <c r="F2352">
        <v>315396303</v>
      </c>
      <c r="G2352">
        <v>253850208</v>
      </c>
      <c r="H2352">
        <v>175596004</v>
      </c>
      <c r="I2352">
        <v>117269919</v>
      </c>
      <c r="J2352">
        <v>99319175</v>
      </c>
      <c r="P2352">
        <v>104</v>
      </c>
      <c r="Q2352" t="s">
        <v>5021</v>
      </c>
    </row>
    <row r="2353" spans="1:17" x14ac:dyDescent="0.3">
      <c r="A2353" t="s">
        <v>73</v>
      </c>
      <c r="B2353" t="str">
        <f>"300923"</f>
        <v>300923</v>
      </c>
      <c r="C2353" t="s">
        <v>5022</v>
      </c>
      <c r="D2353" t="s">
        <v>47</v>
      </c>
      <c r="E2353">
        <v>374095587</v>
      </c>
      <c r="F2353">
        <v>212796890</v>
      </c>
      <c r="P2353">
        <v>28</v>
      </c>
      <c r="Q2353" t="s">
        <v>5023</v>
      </c>
    </row>
    <row r="2354" spans="1:17" x14ac:dyDescent="0.3">
      <c r="A2354" t="s">
        <v>73</v>
      </c>
      <c r="B2354" t="str">
        <f>"300454"</f>
        <v>300454</v>
      </c>
      <c r="C2354" t="s">
        <v>5024</v>
      </c>
      <c r="D2354" t="s">
        <v>404</v>
      </c>
      <c r="E2354">
        <v>374080546</v>
      </c>
      <c r="F2354">
        <v>303173132</v>
      </c>
      <c r="G2354">
        <v>255673573</v>
      </c>
      <c r="H2354">
        <v>211493414</v>
      </c>
      <c r="I2354">
        <v>203274329</v>
      </c>
      <c r="J2354">
        <v>0</v>
      </c>
      <c r="P2354">
        <v>799</v>
      </c>
      <c r="Q2354" t="s">
        <v>5025</v>
      </c>
    </row>
    <row r="2355" spans="1:17" x14ac:dyDescent="0.3">
      <c r="A2355" t="s">
        <v>73</v>
      </c>
      <c r="B2355" t="str">
        <f>"300968"</f>
        <v>300968</v>
      </c>
      <c r="C2355" t="s">
        <v>5026</v>
      </c>
      <c r="D2355" t="s">
        <v>42</v>
      </c>
      <c r="E2355">
        <v>374032432</v>
      </c>
      <c r="F2355">
        <v>320743438</v>
      </c>
      <c r="P2355">
        <v>31</v>
      </c>
      <c r="Q2355" t="s">
        <v>5027</v>
      </c>
    </row>
    <row r="2356" spans="1:17" x14ac:dyDescent="0.3">
      <c r="A2356" t="s">
        <v>73</v>
      </c>
      <c r="B2356" t="str">
        <f>"301012"</f>
        <v>301012</v>
      </c>
      <c r="C2356" t="s">
        <v>5028</v>
      </c>
      <c r="D2356" t="s">
        <v>224</v>
      </c>
      <c r="E2356">
        <v>373783981</v>
      </c>
      <c r="F2356">
        <v>314397926</v>
      </c>
      <c r="P2356">
        <v>23</v>
      </c>
      <c r="Q2356" t="s">
        <v>5029</v>
      </c>
    </row>
    <row r="2357" spans="1:17" x14ac:dyDescent="0.3">
      <c r="A2357" t="s">
        <v>73</v>
      </c>
      <c r="B2357" t="str">
        <f>"000150"</f>
        <v>000150</v>
      </c>
      <c r="C2357" t="s">
        <v>5030</v>
      </c>
      <c r="D2357" t="s">
        <v>1255</v>
      </c>
      <c r="E2357">
        <v>373744954</v>
      </c>
      <c r="F2357">
        <v>468423896</v>
      </c>
      <c r="G2357">
        <v>1044400512</v>
      </c>
      <c r="H2357">
        <v>1160099718</v>
      </c>
      <c r="I2357">
        <v>811336537</v>
      </c>
      <c r="J2357">
        <v>355146701</v>
      </c>
      <c r="K2357">
        <v>291895673</v>
      </c>
      <c r="L2357">
        <v>147971015</v>
      </c>
      <c r="M2357">
        <v>21165341</v>
      </c>
      <c r="N2357">
        <v>19293156</v>
      </c>
      <c r="O2357">
        <v>8942818</v>
      </c>
      <c r="P2357">
        <v>184</v>
      </c>
      <c r="Q2357" t="s">
        <v>5031</v>
      </c>
    </row>
    <row r="2358" spans="1:17" x14ac:dyDescent="0.3">
      <c r="A2358" t="s">
        <v>73</v>
      </c>
      <c r="B2358" t="str">
        <f>"002346"</f>
        <v>002346</v>
      </c>
      <c r="C2358" t="s">
        <v>5032</v>
      </c>
      <c r="D2358" t="s">
        <v>224</v>
      </c>
      <c r="E2358">
        <v>373710694</v>
      </c>
      <c r="F2358">
        <v>318018323</v>
      </c>
      <c r="G2358">
        <v>273107374</v>
      </c>
      <c r="H2358">
        <v>309910051</v>
      </c>
      <c r="I2358">
        <v>281388025</v>
      </c>
      <c r="J2358">
        <v>215636886</v>
      </c>
      <c r="K2358">
        <v>237310580</v>
      </c>
      <c r="L2358">
        <v>179357500</v>
      </c>
      <c r="M2358">
        <v>87516336</v>
      </c>
      <c r="N2358">
        <v>150782951</v>
      </c>
      <c r="O2358">
        <v>171310483</v>
      </c>
      <c r="P2358">
        <v>105</v>
      </c>
      <c r="Q2358" t="s">
        <v>5033</v>
      </c>
    </row>
    <row r="2359" spans="1:17" x14ac:dyDescent="0.3">
      <c r="A2359" t="s">
        <v>73</v>
      </c>
      <c r="B2359" t="str">
        <f>"300597"</f>
        <v>300597</v>
      </c>
      <c r="C2359" t="s">
        <v>5034</v>
      </c>
      <c r="D2359" t="s">
        <v>853</v>
      </c>
      <c r="E2359">
        <v>373617142</v>
      </c>
      <c r="F2359">
        <v>429342773</v>
      </c>
      <c r="G2359">
        <v>401085779</v>
      </c>
      <c r="H2359">
        <v>397431555</v>
      </c>
      <c r="I2359">
        <v>343195761</v>
      </c>
      <c r="J2359">
        <v>317620254</v>
      </c>
      <c r="K2359">
        <v>0</v>
      </c>
      <c r="P2359">
        <v>110</v>
      </c>
      <c r="Q2359" t="s">
        <v>5035</v>
      </c>
    </row>
    <row r="2360" spans="1:17" x14ac:dyDescent="0.3">
      <c r="A2360" t="s">
        <v>17</v>
      </c>
      <c r="B2360" t="str">
        <f>"605151"</f>
        <v>605151</v>
      </c>
      <c r="C2360" t="s">
        <v>5036</v>
      </c>
      <c r="D2360" t="s">
        <v>3310</v>
      </c>
      <c r="E2360">
        <v>373315587</v>
      </c>
      <c r="F2360">
        <v>341772069</v>
      </c>
      <c r="P2360">
        <v>55</v>
      </c>
      <c r="Q2360" t="s">
        <v>5037</v>
      </c>
    </row>
    <row r="2361" spans="1:17" x14ac:dyDescent="0.3">
      <c r="A2361" t="s">
        <v>17</v>
      </c>
      <c r="B2361" t="str">
        <f>"603677"</f>
        <v>603677</v>
      </c>
      <c r="C2361" t="s">
        <v>5038</v>
      </c>
      <c r="D2361" t="s">
        <v>654</v>
      </c>
      <c r="E2361">
        <v>373235887</v>
      </c>
      <c r="F2361">
        <v>391710351</v>
      </c>
      <c r="G2361">
        <v>280411690</v>
      </c>
      <c r="H2361">
        <v>334497413</v>
      </c>
      <c r="I2361">
        <v>234036683</v>
      </c>
      <c r="J2361">
        <v>262917530</v>
      </c>
      <c r="P2361">
        <v>124</v>
      </c>
      <c r="Q2361" t="s">
        <v>5039</v>
      </c>
    </row>
    <row r="2362" spans="1:17" x14ac:dyDescent="0.3">
      <c r="A2362" t="s">
        <v>17</v>
      </c>
      <c r="B2362" t="str">
        <f>"603978"</f>
        <v>603978</v>
      </c>
      <c r="C2362" t="s">
        <v>5040</v>
      </c>
      <c r="D2362" t="s">
        <v>1949</v>
      </c>
      <c r="E2362">
        <v>373152507</v>
      </c>
      <c r="F2362">
        <v>304771103</v>
      </c>
      <c r="G2362">
        <v>274753776</v>
      </c>
      <c r="H2362">
        <v>281293908</v>
      </c>
      <c r="I2362">
        <v>209032476</v>
      </c>
      <c r="J2362">
        <v>187914837</v>
      </c>
      <c r="P2362">
        <v>112</v>
      </c>
      <c r="Q2362" t="s">
        <v>5041</v>
      </c>
    </row>
    <row r="2363" spans="1:17" x14ac:dyDescent="0.3">
      <c r="A2363" t="s">
        <v>73</v>
      </c>
      <c r="B2363" t="str">
        <f>"300198"</f>
        <v>300198</v>
      </c>
      <c r="C2363" t="s">
        <v>5042</v>
      </c>
      <c r="D2363" t="s">
        <v>1836</v>
      </c>
      <c r="E2363">
        <v>372555464</v>
      </c>
      <c r="F2363">
        <v>371637615</v>
      </c>
      <c r="G2363">
        <v>413023124</v>
      </c>
      <c r="H2363">
        <v>493917433</v>
      </c>
      <c r="I2363">
        <v>673528204</v>
      </c>
      <c r="J2363">
        <v>649360208</v>
      </c>
      <c r="K2363">
        <v>646698440</v>
      </c>
      <c r="L2363">
        <v>515419556</v>
      </c>
      <c r="M2363">
        <v>467941410</v>
      </c>
      <c r="N2363">
        <v>324693899</v>
      </c>
      <c r="O2363">
        <v>194740094</v>
      </c>
      <c r="P2363">
        <v>82</v>
      </c>
      <c r="Q2363" t="s">
        <v>5043</v>
      </c>
    </row>
    <row r="2364" spans="1:17" x14ac:dyDescent="0.3">
      <c r="A2364" t="s">
        <v>17</v>
      </c>
      <c r="B2364" t="str">
        <f>"603950"</f>
        <v>603950</v>
      </c>
      <c r="C2364" t="s">
        <v>5044</v>
      </c>
      <c r="D2364" t="s">
        <v>122</v>
      </c>
      <c r="E2364">
        <v>372516283</v>
      </c>
      <c r="F2364">
        <v>526022901</v>
      </c>
      <c r="G2364">
        <v>317043280</v>
      </c>
      <c r="P2364">
        <v>97</v>
      </c>
      <c r="Q2364" t="s">
        <v>5045</v>
      </c>
    </row>
    <row r="2365" spans="1:17" x14ac:dyDescent="0.3">
      <c r="A2365" t="s">
        <v>17</v>
      </c>
      <c r="B2365" t="str">
        <f>"600303"</f>
        <v>600303</v>
      </c>
      <c r="C2365" t="s">
        <v>5046</v>
      </c>
      <c r="D2365" t="s">
        <v>545</v>
      </c>
      <c r="E2365">
        <v>371671472</v>
      </c>
      <c r="F2365">
        <v>515608542</v>
      </c>
      <c r="G2365">
        <v>812525606</v>
      </c>
      <c r="H2365">
        <v>850361464</v>
      </c>
      <c r="I2365">
        <v>980130977</v>
      </c>
      <c r="J2365">
        <v>1180001902</v>
      </c>
      <c r="K2365">
        <v>1723791920</v>
      </c>
      <c r="L2365">
        <v>705652333</v>
      </c>
      <c r="M2365">
        <v>894000196</v>
      </c>
      <c r="N2365">
        <v>982171954</v>
      </c>
      <c r="O2365">
        <v>952735539</v>
      </c>
      <c r="P2365">
        <v>131</v>
      </c>
      <c r="Q2365" t="s">
        <v>5047</v>
      </c>
    </row>
    <row r="2366" spans="1:17" x14ac:dyDescent="0.3">
      <c r="A2366" t="s">
        <v>73</v>
      </c>
      <c r="B2366" t="str">
        <f>"002855"</f>
        <v>002855</v>
      </c>
      <c r="C2366" t="s">
        <v>5048</v>
      </c>
      <c r="D2366" t="s">
        <v>42</v>
      </c>
      <c r="E2366">
        <v>371621529</v>
      </c>
      <c r="F2366">
        <v>494753402</v>
      </c>
      <c r="G2366">
        <v>299516293</v>
      </c>
      <c r="H2366">
        <v>451038967</v>
      </c>
      <c r="I2366">
        <v>345578691</v>
      </c>
      <c r="J2366">
        <v>252000889</v>
      </c>
      <c r="P2366">
        <v>138</v>
      </c>
      <c r="Q2366" t="s">
        <v>5049</v>
      </c>
    </row>
    <row r="2367" spans="1:17" x14ac:dyDescent="0.3">
      <c r="A2367" t="s">
        <v>73</v>
      </c>
      <c r="B2367" t="str">
        <f>"002713"</f>
        <v>002713</v>
      </c>
      <c r="C2367" t="s">
        <v>5050</v>
      </c>
      <c r="D2367" t="s">
        <v>258</v>
      </c>
      <c r="E2367">
        <v>371539138</v>
      </c>
      <c r="F2367">
        <v>305742251</v>
      </c>
      <c r="G2367">
        <v>402139534</v>
      </c>
      <c r="H2367">
        <v>421749141</v>
      </c>
      <c r="I2367">
        <v>292898026</v>
      </c>
      <c r="J2367">
        <v>192551891</v>
      </c>
      <c r="K2367">
        <v>151283168</v>
      </c>
      <c r="L2367">
        <v>78651013</v>
      </c>
      <c r="M2367">
        <v>64488108</v>
      </c>
      <c r="N2367">
        <v>0</v>
      </c>
      <c r="P2367">
        <v>268</v>
      </c>
      <c r="Q2367" t="s">
        <v>5051</v>
      </c>
    </row>
    <row r="2368" spans="1:17" x14ac:dyDescent="0.3">
      <c r="A2368" t="s">
        <v>73</v>
      </c>
      <c r="B2368" t="str">
        <f>"002112"</f>
        <v>002112</v>
      </c>
      <c r="C2368" t="s">
        <v>5052</v>
      </c>
      <c r="D2368" t="s">
        <v>224</v>
      </c>
      <c r="E2368">
        <v>371406467</v>
      </c>
      <c r="F2368">
        <v>295926588</v>
      </c>
      <c r="G2368">
        <v>269258494</v>
      </c>
      <c r="H2368">
        <v>283539654</v>
      </c>
      <c r="I2368">
        <v>329013559</v>
      </c>
      <c r="J2368">
        <v>384628207</v>
      </c>
      <c r="K2368">
        <v>571353299</v>
      </c>
      <c r="L2368">
        <v>456778079</v>
      </c>
      <c r="M2368">
        <v>428547857</v>
      </c>
      <c r="N2368">
        <v>354863415</v>
      </c>
      <c r="O2368">
        <v>425613514</v>
      </c>
      <c r="P2368">
        <v>76</v>
      </c>
      <c r="Q2368" t="s">
        <v>5053</v>
      </c>
    </row>
    <row r="2369" spans="1:17" x14ac:dyDescent="0.3">
      <c r="A2369" t="s">
        <v>73</v>
      </c>
      <c r="B2369" t="str">
        <f>"002165"</f>
        <v>002165</v>
      </c>
      <c r="C2369" t="s">
        <v>5054</v>
      </c>
      <c r="D2369" t="s">
        <v>267</v>
      </c>
      <c r="E2369">
        <v>371131030</v>
      </c>
      <c r="F2369">
        <v>482643928</v>
      </c>
      <c r="G2369">
        <v>306029719</v>
      </c>
      <c r="H2369">
        <v>348057877</v>
      </c>
      <c r="I2369">
        <v>389064059</v>
      </c>
      <c r="J2369">
        <v>351683898</v>
      </c>
      <c r="K2369">
        <v>271632165</v>
      </c>
      <c r="L2369">
        <v>313433864</v>
      </c>
      <c r="M2369">
        <v>339422204</v>
      </c>
      <c r="N2369">
        <v>302794351</v>
      </c>
      <c r="O2369">
        <v>275313090</v>
      </c>
      <c r="P2369">
        <v>100</v>
      </c>
      <c r="Q2369" t="s">
        <v>5055</v>
      </c>
    </row>
    <row r="2370" spans="1:17" x14ac:dyDescent="0.3">
      <c r="A2370" t="s">
        <v>73</v>
      </c>
      <c r="B2370" t="str">
        <f>"300138"</f>
        <v>300138</v>
      </c>
      <c r="C2370" t="s">
        <v>5056</v>
      </c>
      <c r="D2370" t="s">
        <v>2469</v>
      </c>
      <c r="E2370">
        <v>370902457</v>
      </c>
      <c r="F2370">
        <v>282171980</v>
      </c>
      <c r="G2370">
        <v>370664061</v>
      </c>
      <c r="H2370">
        <v>265081934</v>
      </c>
      <c r="I2370">
        <v>206510944</v>
      </c>
      <c r="J2370">
        <v>259446393</v>
      </c>
      <c r="K2370">
        <v>137059987</v>
      </c>
      <c r="L2370">
        <v>84421719</v>
      </c>
      <c r="M2370">
        <v>71032012</v>
      </c>
      <c r="N2370">
        <v>101471763</v>
      </c>
      <c r="O2370">
        <v>85155276</v>
      </c>
      <c r="P2370">
        <v>264</v>
      </c>
      <c r="Q2370" t="s">
        <v>5057</v>
      </c>
    </row>
    <row r="2371" spans="1:17" x14ac:dyDescent="0.3">
      <c r="A2371" t="s">
        <v>17</v>
      </c>
      <c r="B2371" t="str">
        <f>"603299"</f>
        <v>603299</v>
      </c>
      <c r="C2371" t="s">
        <v>5058</v>
      </c>
      <c r="D2371" t="s">
        <v>2246</v>
      </c>
      <c r="E2371">
        <v>370886992</v>
      </c>
      <c r="F2371">
        <v>347158264</v>
      </c>
      <c r="G2371">
        <v>307921025</v>
      </c>
      <c r="H2371">
        <v>326642422</v>
      </c>
      <c r="I2371">
        <v>201210273</v>
      </c>
      <c r="J2371">
        <v>240071126</v>
      </c>
      <c r="K2371">
        <v>217868254</v>
      </c>
      <c r="L2371">
        <v>0</v>
      </c>
      <c r="P2371">
        <v>139</v>
      </c>
      <c r="Q2371" t="s">
        <v>5059</v>
      </c>
    </row>
    <row r="2372" spans="1:17" x14ac:dyDescent="0.3">
      <c r="A2372" t="s">
        <v>73</v>
      </c>
      <c r="B2372" t="str">
        <f>"300647"</f>
        <v>300647</v>
      </c>
      <c r="C2372" t="s">
        <v>5060</v>
      </c>
      <c r="D2372" t="s">
        <v>42</v>
      </c>
      <c r="E2372">
        <v>370674349</v>
      </c>
      <c r="F2372">
        <v>313001608</v>
      </c>
      <c r="G2372">
        <v>231050385</v>
      </c>
      <c r="H2372">
        <v>159562590</v>
      </c>
      <c r="I2372">
        <v>122778920</v>
      </c>
      <c r="J2372">
        <v>29260155</v>
      </c>
      <c r="K2372">
        <v>0</v>
      </c>
      <c r="P2372">
        <v>116</v>
      </c>
      <c r="Q2372" t="s">
        <v>5061</v>
      </c>
    </row>
    <row r="2373" spans="1:17" x14ac:dyDescent="0.3">
      <c r="A2373" t="s">
        <v>73</v>
      </c>
      <c r="B2373" t="str">
        <f>"300873"</f>
        <v>300873</v>
      </c>
      <c r="C2373" t="s">
        <v>5062</v>
      </c>
      <c r="D2373" t="s">
        <v>233</v>
      </c>
      <c r="E2373">
        <v>370337251</v>
      </c>
      <c r="F2373">
        <v>286257546</v>
      </c>
      <c r="P2373">
        <v>88</v>
      </c>
      <c r="Q2373" t="s">
        <v>5063</v>
      </c>
    </row>
    <row r="2374" spans="1:17" x14ac:dyDescent="0.3">
      <c r="A2374" t="s">
        <v>73</v>
      </c>
      <c r="B2374" t="str">
        <f>"300961"</f>
        <v>300961</v>
      </c>
      <c r="C2374" t="s">
        <v>5064</v>
      </c>
      <c r="D2374" t="s">
        <v>308</v>
      </c>
      <c r="E2374">
        <v>370263750</v>
      </c>
      <c r="F2374">
        <v>198997438</v>
      </c>
      <c r="P2374">
        <v>27</v>
      </c>
      <c r="Q2374" t="s">
        <v>5065</v>
      </c>
    </row>
    <row r="2375" spans="1:17" x14ac:dyDescent="0.3">
      <c r="A2375" t="s">
        <v>17</v>
      </c>
      <c r="B2375" t="str">
        <f>"688363"</f>
        <v>688363</v>
      </c>
      <c r="C2375" t="s">
        <v>5066</v>
      </c>
      <c r="D2375" t="s">
        <v>5067</v>
      </c>
      <c r="E2375">
        <v>370240828</v>
      </c>
      <c r="F2375">
        <v>375629731</v>
      </c>
      <c r="G2375">
        <v>362050936</v>
      </c>
      <c r="H2375">
        <v>216686947</v>
      </c>
      <c r="P2375">
        <v>1156</v>
      </c>
      <c r="Q2375" t="s">
        <v>5068</v>
      </c>
    </row>
    <row r="2376" spans="1:17" x14ac:dyDescent="0.3">
      <c r="A2376" t="s">
        <v>17</v>
      </c>
      <c r="B2376" t="str">
        <f>"600962"</f>
        <v>600962</v>
      </c>
      <c r="C2376" t="s">
        <v>5069</v>
      </c>
      <c r="D2376" t="s">
        <v>5070</v>
      </c>
      <c r="E2376">
        <v>370196840</v>
      </c>
      <c r="F2376">
        <v>349089415</v>
      </c>
      <c r="G2376">
        <v>388867447</v>
      </c>
      <c r="H2376">
        <v>204770651</v>
      </c>
      <c r="I2376">
        <v>215491570</v>
      </c>
      <c r="J2376">
        <v>181994777</v>
      </c>
      <c r="K2376">
        <v>252471727</v>
      </c>
      <c r="L2376">
        <v>126429446</v>
      </c>
      <c r="M2376">
        <v>299642512</v>
      </c>
      <c r="N2376">
        <v>249789726</v>
      </c>
      <c r="O2376">
        <v>158928684</v>
      </c>
      <c r="P2376">
        <v>94</v>
      </c>
      <c r="Q2376" t="s">
        <v>5071</v>
      </c>
    </row>
    <row r="2377" spans="1:17" x14ac:dyDescent="0.3">
      <c r="A2377" t="s">
        <v>17</v>
      </c>
      <c r="B2377" t="str">
        <f>"600395"</f>
        <v>600395</v>
      </c>
      <c r="C2377" t="s">
        <v>5072</v>
      </c>
      <c r="D2377" t="s">
        <v>492</v>
      </c>
      <c r="E2377">
        <v>369874180</v>
      </c>
      <c r="F2377">
        <v>626549383</v>
      </c>
      <c r="G2377">
        <v>514730412</v>
      </c>
      <c r="H2377">
        <v>577348589</v>
      </c>
      <c r="I2377">
        <v>529233400</v>
      </c>
      <c r="J2377">
        <v>539091000</v>
      </c>
      <c r="K2377">
        <v>1062695300</v>
      </c>
      <c r="L2377">
        <v>994818398</v>
      </c>
      <c r="M2377">
        <v>1051987321</v>
      </c>
      <c r="N2377">
        <v>773962840</v>
      </c>
      <c r="O2377">
        <v>320478297</v>
      </c>
      <c r="P2377">
        <v>517</v>
      </c>
      <c r="Q2377" t="s">
        <v>5073</v>
      </c>
    </row>
    <row r="2378" spans="1:17" x14ac:dyDescent="0.3">
      <c r="A2378" t="s">
        <v>73</v>
      </c>
      <c r="B2378" t="str">
        <f>"300395"</f>
        <v>300395</v>
      </c>
      <c r="C2378" t="s">
        <v>5074</v>
      </c>
      <c r="D2378" t="s">
        <v>130</v>
      </c>
      <c r="E2378">
        <v>369755202</v>
      </c>
      <c r="F2378">
        <v>286721319</v>
      </c>
      <c r="G2378">
        <v>221557080</v>
      </c>
      <c r="H2378">
        <v>180613472</v>
      </c>
      <c r="I2378">
        <v>136856481</v>
      </c>
      <c r="J2378">
        <v>106002060</v>
      </c>
      <c r="K2378">
        <v>100735478</v>
      </c>
      <c r="L2378">
        <v>89815724</v>
      </c>
      <c r="M2378">
        <v>0</v>
      </c>
      <c r="P2378">
        <v>553</v>
      </c>
      <c r="Q2378" t="s">
        <v>5075</v>
      </c>
    </row>
    <row r="2379" spans="1:17" x14ac:dyDescent="0.3">
      <c r="A2379" t="s">
        <v>73</v>
      </c>
      <c r="B2379" t="str">
        <f>"300542"</f>
        <v>300542</v>
      </c>
      <c r="C2379" t="s">
        <v>5076</v>
      </c>
      <c r="D2379" t="s">
        <v>795</v>
      </c>
      <c r="E2379">
        <v>369072673</v>
      </c>
      <c r="F2379">
        <v>260625023</v>
      </c>
      <c r="G2379">
        <v>308121223</v>
      </c>
      <c r="H2379">
        <v>429733335</v>
      </c>
      <c r="I2379">
        <v>366954173</v>
      </c>
      <c r="J2379">
        <v>259070439</v>
      </c>
      <c r="K2379">
        <v>0</v>
      </c>
      <c r="P2379">
        <v>143</v>
      </c>
      <c r="Q2379" t="s">
        <v>5077</v>
      </c>
    </row>
    <row r="2380" spans="1:17" x14ac:dyDescent="0.3">
      <c r="A2380" t="s">
        <v>73</v>
      </c>
      <c r="B2380" t="str">
        <f>"300464"</f>
        <v>300464</v>
      </c>
      <c r="C2380" t="s">
        <v>5078</v>
      </c>
      <c r="D2380" t="s">
        <v>3100</v>
      </c>
      <c r="E2380">
        <v>368816347</v>
      </c>
      <c r="F2380">
        <v>443595105</v>
      </c>
      <c r="G2380">
        <v>393499121</v>
      </c>
      <c r="H2380">
        <v>344680589</v>
      </c>
      <c r="I2380">
        <v>131273099</v>
      </c>
      <c r="J2380">
        <v>101816131</v>
      </c>
      <c r="K2380">
        <v>101595906</v>
      </c>
      <c r="L2380">
        <v>89207178</v>
      </c>
      <c r="M2380">
        <v>0</v>
      </c>
      <c r="P2380">
        <v>121</v>
      </c>
      <c r="Q2380" t="s">
        <v>5079</v>
      </c>
    </row>
    <row r="2381" spans="1:17" x14ac:dyDescent="0.3">
      <c r="A2381" t="s">
        <v>17</v>
      </c>
      <c r="B2381" t="str">
        <f>"603918"</f>
        <v>603918</v>
      </c>
      <c r="C2381" t="s">
        <v>5080</v>
      </c>
      <c r="D2381" t="s">
        <v>302</v>
      </c>
      <c r="E2381">
        <v>368723878</v>
      </c>
      <c r="F2381">
        <v>324714361</v>
      </c>
      <c r="G2381">
        <v>192848946</v>
      </c>
      <c r="H2381">
        <v>287902366</v>
      </c>
      <c r="I2381">
        <v>255693003</v>
      </c>
      <c r="J2381">
        <v>262297882</v>
      </c>
      <c r="K2381">
        <v>237168728</v>
      </c>
      <c r="L2381">
        <v>0</v>
      </c>
      <c r="M2381">
        <v>0</v>
      </c>
      <c r="P2381">
        <v>142</v>
      </c>
      <c r="Q2381" t="s">
        <v>5081</v>
      </c>
    </row>
    <row r="2382" spans="1:17" x14ac:dyDescent="0.3">
      <c r="A2382" t="s">
        <v>17</v>
      </c>
      <c r="B2382" t="str">
        <f>"603045"</f>
        <v>603045</v>
      </c>
      <c r="C2382" t="s">
        <v>5082</v>
      </c>
      <c r="D2382" t="s">
        <v>1949</v>
      </c>
      <c r="E2382">
        <v>368461272</v>
      </c>
      <c r="F2382">
        <v>471704295</v>
      </c>
      <c r="G2382">
        <v>274723024</v>
      </c>
      <c r="H2382">
        <v>308959612</v>
      </c>
      <c r="I2382">
        <v>252586223</v>
      </c>
      <c r="J2382">
        <v>0</v>
      </c>
      <c r="P2382">
        <v>54</v>
      </c>
      <c r="Q2382" t="s">
        <v>5083</v>
      </c>
    </row>
    <row r="2383" spans="1:17" x14ac:dyDescent="0.3">
      <c r="A2383" t="s">
        <v>73</v>
      </c>
      <c r="B2383" t="str">
        <f>"000026"</f>
        <v>000026</v>
      </c>
      <c r="C2383" t="s">
        <v>5084</v>
      </c>
      <c r="D2383" t="s">
        <v>1260</v>
      </c>
      <c r="E2383">
        <v>368376666</v>
      </c>
      <c r="F2383">
        <v>474323700</v>
      </c>
      <c r="G2383">
        <v>311885196</v>
      </c>
      <c r="H2383">
        <v>421762299</v>
      </c>
      <c r="I2383">
        <v>350094007</v>
      </c>
      <c r="J2383">
        <v>338296601</v>
      </c>
      <c r="K2383">
        <v>346656604</v>
      </c>
      <c r="L2383">
        <v>466398300</v>
      </c>
      <c r="M2383">
        <v>390101497</v>
      </c>
      <c r="N2383">
        <v>341256287</v>
      </c>
      <c r="O2383">
        <v>304023208</v>
      </c>
      <c r="P2383">
        <v>321</v>
      </c>
      <c r="Q2383" t="s">
        <v>5085</v>
      </c>
    </row>
    <row r="2384" spans="1:17" x14ac:dyDescent="0.3">
      <c r="A2384" t="s">
        <v>73</v>
      </c>
      <c r="B2384" t="str">
        <f>"300838"</f>
        <v>300838</v>
      </c>
      <c r="C2384" t="s">
        <v>5086</v>
      </c>
      <c r="D2384" t="s">
        <v>146</v>
      </c>
      <c r="E2384">
        <v>367955927</v>
      </c>
      <c r="F2384">
        <v>265217751</v>
      </c>
      <c r="G2384">
        <v>251346847</v>
      </c>
      <c r="H2384">
        <v>0</v>
      </c>
      <c r="P2384">
        <v>39</v>
      </c>
      <c r="Q2384" t="s">
        <v>5087</v>
      </c>
    </row>
    <row r="2385" spans="1:17" x14ac:dyDescent="0.3">
      <c r="A2385" t="s">
        <v>73</v>
      </c>
      <c r="B2385" t="str">
        <f>"300698"</f>
        <v>300698</v>
      </c>
      <c r="C2385" t="s">
        <v>5088</v>
      </c>
      <c r="D2385" t="s">
        <v>189</v>
      </c>
      <c r="E2385">
        <v>366741275</v>
      </c>
      <c r="F2385">
        <v>252780903</v>
      </c>
      <c r="G2385">
        <v>291345544</v>
      </c>
      <c r="H2385">
        <v>186945113</v>
      </c>
      <c r="I2385">
        <v>186792272</v>
      </c>
      <c r="J2385">
        <v>0</v>
      </c>
      <c r="P2385">
        <v>121</v>
      </c>
      <c r="Q2385" t="s">
        <v>5089</v>
      </c>
    </row>
    <row r="2386" spans="1:17" x14ac:dyDescent="0.3">
      <c r="A2386" t="s">
        <v>73</v>
      </c>
      <c r="B2386" t="str">
        <f>"300360"</f>
        <v>300360</v>
      </c>
      <c r="C2386" t="s">
        <v>5090</v>
      </c>
      <c r="D2386" t="s">
        <v>1280</v>
      </c>
      <c r="E2386">
        <v>366268333</v>
      </c>
      <c r="F2386">
        <v>336452292</v>
      </c>
      <c r="G2386">
        <v>278776337</v>
      </c>
      <c r="H2386">
        <v>368929320</v>
      </c>
      <c r="I2386">
        <v>429952483</v>
      </c>
      <c r="J2386">
        <v>573771774</v>
      </c>
      <c r="K2386">
        <v>402539948</v>
      </c>
      <c r="L2386">
        <v>319852725</v>
      </c>
      <c r="M2386">
        <v>329011492</v>
      </c>
      <c r="N2386">
        <v>0</v>
      </c>
      <c r="P2386">
        <v>958</v>
      </c>
      <c r="Q2386" t="s">
        <v>5091</v>
      </c>
    </row>
    <row r="2387" spans="1:17" x14ac:dyDescent="0.3">
      <c r="A2387" t="s">
        <v>73</v>
      </c>
      <c r="B2387" t="str">
        <f>"300304"</f>
        <v>300304</v>
      </c>
      <c r="C2387" t="s">
        <v>5092</v>
      </c>
      <c r="D2387" t="s">
        <v>442</v>
      </c>
      <c r="E2387">
        <v>366237614</v>
      </c>
      <c r="F2387">
        <v>315653268</v>
      </c>
      <c r="G2387">
        <v>240919495</v>
      </c>
      <c r="H2387">
        <v>257629930</v>
      </c>
      <c r="I2387">
        <v>210717551</v>
      </c>
      <c r="J2387">
        <v>164602229</v>
      </c>
      <c r="K2387">
        <v>135796511</v>
      </c>
      <c r="L2387">
        <v>135724215</v>
      </c>
      <c r="M2387">
        <v>130575396</v>
      </c>
      <c r="N2387">
        <v>115843348</v>
      </c>
      <c r="O2387">
        <v>111887180</v>
      </c>
      <c r="P2387">
        <v>114</v>
      </c>
      <c r="Q2387" t="s">
        <v>5093</v>
      </c>
    </row>
    <row r="2388" spans="1:17" x14ac:dyDescent="0.3">
      <c r="A2388" t="s">
        <v>17</v>
      </c>
      <c r="B2388" t="str">
        <f>"600223"</f>
        <v>600223</v>
      </c>
      <c r="C2388" t="s">
        <v>5094</v>
      </c>
      <c r="D2388" t="s">
        <v>27</v>
      </c>
      <c r="E2388">
        <v>365845956</v>
      </c>
      <c r="F2388">
        <v>228609027</v>
      </c>
      <c r="G2388">
        <v>148555846</v>
      </c>
      <c r="H2388">
        <v>147170810</v>
      </c>
      <c r="I2388">
        <v>10577514</v>
      </c>
      <c r="J2388">
        <v>15878114</v>
      </c>
      <c r="K2388">
        <v>167783674</v>
      </c>
      <c r="L2388">
        <v>159677083</v>
      </c>
      <c r="M2388">
        <v>249262002</v>
      </c>
      <c r="N2388">
        <v>5225240</v>
      </c>
      <c r="O2388">
        <v>13496635</v>
      </c>
      <c r="P2388">
        <v>361</v>
      </c>
      <c r="Q2388" t="s">
        <v>5095</v>
      </c>
    </row>
    <row r="2389" spans="1:17" x14ac:dyDescent="0.3">
      <c r="A2389" t="s">
        <v>17</v>
      </c>
      <c r="B2389" t="str">
        <f>"600558"</f>
        <v>600558</v>
      </c>
      <c r="C2389" t="s">
        <v>5096</v>
      </c>
      <c r="D2389" t="s">
        <v>146</v>
      </c>
      <c r="E2389">
        <v>365656100</v>
      </c>
      <c r="F2389">
        <v>364193991</v>
      </c>
      <c r="G2389">
        <v>288697956</v>
      </c>
      <c r="H2389">
        <v>320141473</v>
      </c>
      <c r="I2389">
        <v>287172206</v>
      </c>
      <c r="J2389">
        <v>259028283</v>
      </c>
      <c r="K2389">
        <v>236959245</v>
      </c>
      <c r="L2389">
        <v>247952022</v>
      </c>
      <c r="M2389">
        <v>260482405</v>
      </c>
      <c r="N2389">
        <v>284417727</v>
      </c>
      <c r="O2389">
        <v>297713316</v>
      </c>
      <c r="P2389">
        <v>72</v>
      </c>
      <c r="Q2389" t="s">
        <v>5097</v>
      </c>
    </row>
    <row r="2390" spans="1:17" x14ac:dyDescent="0.3">
      <c r="A2390" t="s">
        <v>73</v>
      </c>
      <c r="B2390" t="str">
        <f>"000011"</f>
        <v>000011</v>
      </c>
      <c r="C2390" t="s">
        <v>5098</v>
      </c>
      <c r="D2390" t="s">
        <v>27</v>
      </c>
      <c r="E2390">
        <v>365164519</v>
      </c>
      <c r="F2390">
        <v>241098903</v>
      </c>
      <c r="G2390">
        <v>298975721</v>
      </c>
      <c r="H2390">
        <v>79973193</v>
      </c>
      <c r="I2390">
        <v>51644714</v>
      </c>
      <c r="J2390">
        <v>35535384</v>
      </c>
      <c r="K2390">
        <v>35756035</v>
      </c>
      <c r="L2390">
        <v>38471654</v>
      </c>
      <c r="M2390">
        <v>27803524</v>
      </c>
      <c r="N2390">
        <v>80402598</v>
      </c>
      <c r="O2390">
        <v>74424068</v>
      </c>
      <c r="P2390">
        <v>479</v>
      </c>
      <c r="Q2390" t="s">
        <v>5099</v>
      </c>
    </row>
    <row r="2391" spans="1:17" x14ac:dyDescent="0.3">
      <c r="A2391" t="s">
        <v>73</v>
      </c>
      <c r="B2391" t="str">
        <f>"300099"</f>
        <v>300099</v>
      </c>
      <c r="C2391" t="s">
        <v>5100</v>
      </c>
      <c r="D2391" t="s">
        <v>311</v>
      </c>
      <c r="E2391">
        <v>364876413</v>
      </c>
      <c r="F2391">
        <v>292190559</v>
      </c>
      <c r="G2391">
        <v>181447206</v>
      </c>
      <c r="H2391">
        <v>300476661</v>
      </c>
      <c r="I2391">
        <v>320038069</v>
      </c>
      <c r="J2391">
        <v>255552687</v>
      </c>
      <c r="K2391">
        <v>220066570</v>
      </c>
      <c r="L2391">
        <v>212580037</v>
      </c>
      <c r="M2391">
        <v>260231796</v>
      </c>
      <c r="N2391">
        <v>142990413</v>
      </c>
      <c r="O2391">
        <v>99804048</v>
      </c>
      <c r="P2391">
        <v>134</v>
      </c>
      <c r="Q2391" t="s">
        <v>5101</v>
      </c>
    </row>
    <row r="2392" spans="1:17" x14ac:dyDescent="0.3">
      <c r="A2392" t="s">
        <v>17</v>
      </c>
      <c r="B2392" t="str">
        <f>"601890"</f>
        <v>601890</v>
      </c>
      <c r="C2392" t="s">
        <v>5102</v>
      </c>
      <c r="D2392" t="s">
        <v>283</v>
      </c>
      <c r="E2392">
        <v>364668917</v>
      </c>
      <c r="F2392">
        <v>294238776</v>
      </c>
      <c r="G2392">
        <v>352284630</v>
      </c>
      <c r="H2392">
        <v>369466061</v>
      </c>
      <c r="I2392">
        <v>278898747</v>
      </c>
      <c r="J2392">
        <v>347500037</v>
      </c>
      <c r="K2392">
        <v>470563603</v>
      </c>
      <c r="L2392">
        <v>442772982</v>
      </c>
      <c r="M2392">
        <v>405886925</v>
      </c>
      <c r="N2392">
        <v>513837714</v>
      </c>
      <c r="O2392">
        <v>440937337</v>
      </c>
      <c r="P2392">
        <v>144</v>
      </c>
      <c r="Q2392" t="s">
        <v>5103</v>
      </c>
    </row>
    <row r="2393" spans="1:17" x14ac:dyDescent="0.3">
      <c r="A2393" t="s">
        <v>17</v>
      </c>
      <c r="B2393" t="str">
        <f>"600448"</f>
        <v>600448</v>
      </c>
      <c r="C2393" t="s">
        <v>5104</v>
      </c>
      <c r="D2393" t="s">
        <v>1099</v>
      </c>
      <c r="E2393">
        <v>364537165</v>
      </c>
      <c r="F2393">
        <v>297062519</v>
      </c>
      <c r="G2393">
        <v>279041182</v>
      </c>
      <c r="H2393">
        <v>324378384</v>
      </c>
      <c r="I2393">
        <v>259199622</v>
      </c>
      <c r="J2393">
        <v>162529363</v>
      </c>
      <c r="K2393">
        <v>158717776</v>
      </c>
      <c r="L2393">
        <v>176925983</v>
      </c>
      <c r="M2393">
        <v>115471271</v>
      </c>
      <c r="N2393">
        <v>71690350</v>
      </c>
      <c r="O2393">
        <v>104465922</v>
      </c>
      <c r="P2393">
        <v>97</v>
      </c>
      <c r="Q2393" t="s">
        <v>5105</v>
      </c>
    </row>
    <row r="2394" spans="1:17" x14ac:dyDescent="0.3">
      <c r="A2394" t="s">
        <v>73</v>
      </c>
      <c r="B2394" t="str">
        <f>"300790"</f>
        <v>300790</v>
      </c>
      <c r="C2394" t="s">
        <v>5106</v>
      </c>
      <c r="D2394" t="s">
        <v>119</v>
      </c>
      <c r="E2394">
        <v>364475795</v>
      </c>
      <c r="F2394">
        <v>503953220</v>
      </c>
      <c r="G2394">
        <v>193084143</v>
      </c>
      <c r="H2394">
        <v>0</v>
      </c>
      <c r="P2394">
        <v>158</v>
      </c>
      <c r="Q2394" t="s">
        <v>5107</v>
      </c>
    </row>
    <row r="2395" spans="1:17" x14ac:dyDescent="0.3">
      <c r="A2395" t="s">
        <v>17</v>
      </c>
      <c r="B2395" t="str">
        <f>"600848"</f>
        <v>600848</v>
      </c>
      <c r="C2395" t="s">
        <v>5108</v>
      </c>
      <c r="D2395" t="s">
        <v>61</v>
      </c>
      <c r="E2395">
        <v>363513853</v>
      </c>
      <c r="F2395">
        <v>291713361</v>
      </c>
      <c r="G2395">
        <v>683485112</v>
      </c>
      <c r="H2395">
        <v>488445543</v>
      </c>
      <c r="I2395">
        <v>351261845</v>
      </c>
      <c r="J2395">
        <v>228682804</v>
      </c>
      <c r="K2395">
        <v>94551214</v>
      </c>
      <c r="L2395">
        <v>541388726</v>
      </c>
      <c r="M2395">
        <v>569093942</v>
      </c>
      <c r="N2395">
        <v>536026465</v>
      </c>
      <c r="O2395">
        <v>528561276</v>
      </c>
      <c r="P2395">
        <v>271</v>
      </c>
      <c r="Q2395" t="s">
        <v>5109</v>
      </c>
    </row>
    <row r="2396" spans="1:17" x14ac:dyDescent="0.3">
      <c r="A2396" t="s">
        <v>73</v>
      </c>
      <c r="B2396" t="str">
        <f>"002178"</f>
        <v>002178</v>
      </c>
      <c r="C2396" t="s">
        <v>5110</v>
      </c>
      <c r="D2396" t="s">
        <v>795</v>
      </c>
      <c r="E2396">
        <v>363372416</v>
      </c>
      <c r="F2396">
        <v>385689776</v>
      </c>
      <c r="G2396">
        <v>417787569</v>
      </c>
      <c r="H2396">
        <v>401914751</v>
      </c>
      <c r="I2396">
        <v>473919506</v>
      </c>
      <c r="J2396">
        <v>357877297</v>
      </c>
      <c r="K2396">
        <v>287198621</v>
      </c>
      <c r="L2396">
        <v>126546595</v>
      </c>
      <c r="M2396">
        <v>94308300</v>
      </c>
      <c r="N2396">
        <v>161938434</v>
      </c>
      <c r="O2396">
        <v>156848181</v>
      </c>
      <c r="P2396">
        <v>89</v>
      </c>
      <c r="Q2396" t="s">
        <v>5111</v>
      </c>
    </row>
    <row r="2397" spans="1:17" x14ac:dyDescent="0.3">
      <c r="A2397" t="s">
        <v>17</v>
      </c>
      <c r="B2397" t="str">
        <f>"600376"</f>
        <v>600376</v>
      </c>
      <c r="C2397" t="s">
        <v>5112</v>
      </c>
      <c r="D2397" t="s">
        <v>27</v>
      </c>
      <c r="E2397">
        <v>363111516</v>
      </c>
      <c r="F2397">
        <v>548738397</v>
      </c>
      <c r="G2397">
        <v>182311152</v>
      </c>
      <c r="H2397">
        <v>222883818</v>
      </c>
      <c r="I2397">
        <v>485554622</v>
      </c>
      <c r="J2397">
        <v>223565158</v>
      </c>
      <c r="K2397">
        <v>212936895</v>
      </c>
      <c r="L2397">
        <v>235329446</v>
      </c>
      <c r="M2397">
        <v>640633101</v>
      </c>
      <c r="N2397">
        <v>79555228</v>
      </c>
      <c r="O2397">
        <v>38621242</v>
      </c>
      <c r="P2397">
        <v>1101</v>
      </c>
      <c r="Q2397" t="s">
        <v>5113</v>
      </c>
    </row>
    <row r="2398" spans="1:17" x14ac:dyDescent="0.3">
      <c r="A2398" t="s">
        <v>73</v>
      </c>
      <c r="B2398" t="str">
        <f>"300861"</f>
        <v>300861</v>
      </c>
      <c r="C2398" t="s">
        <v>5114</v>
      </c>
      <c r="D2398" t="s">
        <v>3119</v>
      </c>
      <c r="E2398">
        <v>363027057</v>
      </c>
      <c r="F2398">
        <v>175992867</v>
      </c>
      <c r="G2398">
        <v>0</v>
      </c>
      <c r="P2398">
        <v>147</v>
      </c>
      <c r="Q2398" t="s">
        <v>5115</v>
      </c>
    </row>
    <row r="2399" spans="1:17" x14ac:dyDescent="0.3">
      <c r="A2399" t="s">
        <v>73</v>
      </c>
      <c r="B2399" t="str">
        <f>"003029"</f>
        <v>003029</v>
      </c>
      <c r="C2399" t="s">
        <v>5116</v>
      </c>
      <c r="D2399" t="s">
        <v>795</v>
      </c>
      <c r="E2399">
        <v>362286767</v>
      </c>
      <c r="F2399">
        <v>269181376</v>
      </c>
      <c r="P2399">
        <v>75</v>
      </c>
      <c r="Q2399" t="s">
        <v>5117</v>
      </c>
    </row>
    <row r="2400" spans="1:17" x14ac:dyDescent="0.3">
      <c r="A2400" t="s">
        <v>73</v>
      </c>
      <c r="B2400" t="str">
        <f>"000407"</f>
        <v>000407</v>
      </c>
      <c r="C2400" t="s">
        <v>5118</v>
      </c>
      <c r="D2400" t="s">
        <v>469</v>
      </c>
      <c r="E2400">
        <v>362186047</v>
      </c>
      <c r="F2400">
        <v>375385093</v>
      </c>
      <c r="G2400">
        <v>450785060</v>
      </c>
      <c r="H2400">
        <v>373791797</v>
      </c>
      <c r="I2400">
        <v>318467408</v>
      </c>
      <c r="J2400">
        <v>268142028</v>
      </c>
      <c r="K2400">
        <v>410216118</v>
      </c>
      <c r="L2400">
        <v>397995482</v>
      </c>
      <c r="M2400">
        <v>454498594</v>
      </c>
      <c r="N2400">
        <v>410228715</v>
      </c>
      <c r="O2400">
        <v>387752491</v>
      </c>
      <c r="P2400">
        <v>113</v>
      </c>
      <c r="Q2400" t="s">
        <v>5119</v>
      </c>
    </row>
    <row r="2401" spans="1:17" x14ac:dyDescent="0.3">
      <c r="A2401" t="s">
        <v>73</v>
      </c>
      <c r="B2401" t="str">
        <f>"300181"</f>
        <v>300181</v>
      </c>
      <c r="C2401" t="s">
        <v>5120</v>
      </c>
      <c r="D2401" t="s">
        <v>215</v>
      </c>
      <c r="E2401">
        <v>362183077</v>
      </c>
      <c r="F2401">
        <v>282789172</v>
      </c>
      <c r="G2401">
        <v>263874173</v>
      </c>
      <c r="H2401">
        <v>261621249</v>
      </c>
      <c r="I2401">
        <v>289836480</v>
      </c>
      <c r="J2401">
        <v>302064575</v>
      </c>
      <c r="K2401">
        <v>249556748</v>
      </c>
      <c r="L2401">
        <v>202848008</v>
      </c>
      <c r="M2401">
        <v>84592245</v>
      </c>
      <c r="N2401">
        <v>61033717</v>
      </c>
      <c r="O2401">
        <v>45636246</v>
      </c>
      <c r="P2401">
        <v>174</v>
      </c>
      <c r="Q2401" t="s">
        <v>5121</v>
      </c>
    </row>
    <row r="2402" spans="1:17" x14ac:dyDescent="0.3">
      <c r="A2402" t="s">
        <v>17</v>
      </c>
      <c r="B2402" t="str">
        <f>"688065"</f>
        <v>688065</v>
      </c>
      <c r="C2402" t="s">
        <v>5122</v>
      </c>
      <c r="D2402" t="s">
        <v>588</v>
      </c>
      <c r="E2402">
        <v>362020278</v>
      </c>
      <c r="F2402">
        <v>218767531</v>
      </c>
      <c r="G2402">
        <v>231622721</v>
      </c>
      <c r="P2402">
        <v>107</v>
      </c>
      <c r="Q2402" t="s">
        <v>5123</v>
      </c>
    </row>
    <row r="2403" spans="1:17" x14ac:dyDescent="0.3">
      <c r="A2403" t="s">
        <v>73</v>
      </c>
      <c r="B2403" t="str">
        <f>"300228"</f>
        <v>300228</v>
      </c>
      <c r="C2403" t="s">
        <v>5124</v>
      </c>
      <c r="D2403" t="s">
        <v>146</v>
      </c>
      <c r="E2403">
        <v>361999051</v>
      </c>
      <c r="F2403">
        <v>505082853</v>
      </c>
      <c r="G2403">
        <v>477551197</v>
      </c>
      <c r="H2403">
        <v>614518744</v>
      </c>
      <c r="I2403">
        <v>719958919</v>
      </c>
      <c r="J2403">
        <v>612421704</v>
      </c>
      <c r="K2403">
        <v>854376030</v>
      </c>
      <c r="L2403">
        <v>804506581</v>
      </c>
      <c r="M2403">
        <v>892217921</v>
      </c>
      <c r="N2403">
        <v>512587914</v>
      </c>
      <c r="O2403">
        <v>259314311</v>
      </c>
      <c r="P2403">
        <v>128</v>
      </c>
      <c r="Q2403" t="s">
        <v>5125</v>
      </c>
    </row>
    <row r="2404" spans="1:17" x14ac:dyDescent="0.3">
      <c r="A2404" t="s">
        <v>73</v>
      </c>
      <c r="B2404" t="str">
        <f>"002172"</f>
        <v>002172</v>
      </c>
      <c r="C2404" t="s">
        <v>5126</v>
      </c>
      <c r="D2404" t="s">
        <v>3596</v>
      </c>
      <c r="E2404">
        <v>361545764</v>
      </c>
      <c r="F2404">
        <v>343780627</v>
      </c>
      <c r="G2404">
        <v>418713524</v>
      </c>
      <c r="H2404">
        <v>289944841</v>
      </c>
      <c r="I2404">
        <v>273344233</v>
      </c>
      <c r="J2404">
        <v>298018974</v>
      </c>
      <c r="K2404">
        <v>300921279</v>
      </c>
      <c r="L2404">
        <v>42097937</v>
      </c>
      <c r="M2404">
        <v>72209044</v>
      </c>
      <c r="N2404">
        <v>53702230</v>
      </c>
      <c r="O2404">
        <v>45888417</v>
      </c>
      <c r="P2404">
        <v>141</v>
      </c>
      <c r="Q2404" t="s">
        <v>5127</v>
      </c>
    </row>
    <row r="2405" spans="1:17" x14ac:dyDescent="0.3">
      <c r="A2405" t="s">
        <v>73</v>
      </c>
      <c r="B2405" t="str">
        <f>"002174"</f>
        <v>002174</v>
      </c>
      <c r="C2405" t="s">
        <v>5128</v>
      </c>
      <c r="D2405" t="s">
        <v>899</v>
      </c>
      <c r="E2405">
        <v>361406010</v>
      </c>
      <c r="F2405">
        <v>633212212</v>
      </c>
      <c r="G2405">
        <v>988163933</v>
      </c>
      <c r="H2405">
        <v>970208168</v>
      </c>
      <c r="I2405">
        <v>683249949</v>
      </c>
      <c r="J2405">
        <v>853700080</v>
      </c>
      <c r="K2405">
        <v>433676053</v>
      </c>
      <c r="L2405">
        <v>257173753</v>
      </c>
      <c r="M2405">
        <v>44894432</v>
      </c>
      <c r="N2405">
        <v>64861587</v>
      </c>
      <c r="O2405">
        <v>59434692</v>
      </c>
      <c r="P2405">
        <v>736</v>
      </c>
      <c r="Q2405" t="s">
        <v>5129</v>
      </c>
    </row>
    <row r="2406" spans="1:17" x14ac:dyDescent="0.3">
      <c r="A2406" t="s">
        <v>73</v>
      </c>
      <c r="B2406" t="str">
        <f>"002860"</f>
        <v>002860</v>
      </c>
      <c r="C2406" t="s">
        <v>5130</v>
      </c>
      <c r="D2406" t="s">
        <v>654</v>
      </c>
      <c r="E2406">
        <v>361161282</v>
      </c>
      <c r="F2406">
        <v>397165977</v>
      </c>
      <c r="G2406">
        <v>202197880</v>
      </c>
      <c r="H2406">
        <v>208831167</v>
      </c>
      <c r="I2406">
        <v>120060222</v>
      </c>
      <c r="J2406">
        <v>99539363</v>
      </c>
      <c r="P2406">
        <v>249</v>
      </c>
      <c r="Q2406" t="s">
        <v>5131</v>
      </c>
    </row>
    <row r="2407" spans="1:17" x14ac:dyDescent="0.3">
      <c r="A2407" t="s">
        <v>17</v>
      </c>
      <c r="B2407" t="str">
        <f>"600287"</f>
        <v>600287</v>
      </c>
      <c r="C2407" t="s">
        <v>5132</v>
      </c>
      <c r="D2407" t="s">
        <v>299</v>
      </c>
      <c r="E2407">
        <v>360563112</v>
      </c>
      <c r="F2407">
        <v>214646365</v>
      </c>
      <c r="G2407">
        <v>217406413</v>
      </c>
      <c r="H2407">
        <v>415429019</v>
      </c>
      <c r="I2407">
        <v>372878584</v>
      </c>
      <c r="J2407">
        <v>318244084</v>
      </c>
      <c r="K2407">
        <v>306032037</v>
      </c>
      <c r="L2407">
        <v>239567382</v>
      </c>
      <c r="M2407">
        <v>276693268</v>
      </c>
      <c r="N2407">
        <v>349244025</v>
      </c>
      <c r="O2407">
        <v>445236031</v>
      </c>
      <c r="P2407">
        <v>72</v>
      </c>
      <c r="Q2407" t="s">
        <v>5133</v>
      </c>
    </row>
    <row r="2408" spans="1:17" x14ac:dyDescent="0.3">
      <c r="A2408" t="s">
        <v>73</v>
      </c>
      <c r="B2408" t="str">
        <f>"301024"</f>
        <v>301024</v>
      </c>
      <c r="C2408" t="s">
        <v>5134</v>
      </c>
      <c r="D2408" t="s">
        <v>661</v>
      </c>
      <c r="E2408">
        <v>360221552</v>
      </c>
      <c r="F2408">
        <v>313336916</v>
      </c>
      <c r="P2408">
        <v>22</v>
      </c>
      <c r="Q2408" t="s">
        <v>5135</v>
      </c>
    </row>
    <row r="2409" spans="1:17" x14ac:dyDescent="0.3">
      <c r="A2409" t="s">
        <v>73</v>
      </c>
      <c r="B2409" t="str">
        <f>"002386"</f>
        <v>002386</v>
      </c>
      <c r="C2409" t="s">
        <v>5136</v>
      </c>
      <c r="D2409" t="s">
        <v>641</v>
      </c>
      <c r="E2409">
        <v>359708741</v>
      </c>
      <c r="F2409">
        <v>290430489</v>
      </c>
      <c r="G2409">
        <v>197292838</v>
      </c>
      <c r="H2409">
        <v>356952984</v>
      </c>
      <c r="I2409">
        <v>231537701</v>
      </c>
      <c r="J2409">
        <v>233495853</v>
      </c>
      <c r="K2409">
        <v>280593981</v>
      </c>
      <c r="L2409">
        <v>374682858</v>
      </c>
      <c r="M2409">
        <v>300018353</v>
      </c>
      <c r="N2409">
        <v>280552214</v>
      </c>
      <c r="O2409">
        <v>161016994</v>
      </c>
      <c r="P2409">
        <v>143</v>
      </c>
      <c r="Q2409" t="s">
        <v>5137</v>
      </c>
    </row>
    <row r="2410" spans="1:17" x14ac:dyDescent="0.3">
      <c r="A2410" t="s">
        <v>73</v>
      </c>
      <c r="B2410" t="str">
        <f>"000516"</f>
        <v>000516</v>
      </c>
      <c r="C2410" t="s">
        <v>5138</v>
      </c>
      <c r="D2410" t="s">
        <v>1255</v>
      </c>
      <c r="E2410">
        <v>359485382</v>
      </c>
      <c r="F2410">
        <v>316818590</v>
      </c>
      <c r="G2410">
        <v>145105812</v>
      </c>
      <c r="H2410">
        <v>103431758</v>
      </c>
      <c r="I2410">
        <v>77967977</v>
      </c>
      <c r="J2410">
        <v>61807791</v>
      </c>
      <c r="K2410">
        <v>55845613</v>
      </c>
      <c r="L2410">
        <v>35889900</v>
      </c>
      <c r="M2410">
        <v>34858168</v>
      </c>
      <c r="N2410">
        <v>24917901</v>
      </c>
      <c r="O2410">
        <v>18107135</v>
      </c>
      <c r="P2410">
        <v>405</v>
      </c>
      <c r="Q2410" t="s">
        <v>5139</v>
      </c>
    </row>
    <row r="2411" spans="1:17" x14ac:dyDescent="0.3">
      <c r="A2411" t="s">
        <v>17</v>
      </c>
      <c r="B2411" t="str">
        <f>"688701"</f>
        <v>688701</v>
      </c>
      <c r="C2411" t="s">
        <v>5140</v>
      </c>
      <c r="D2411" t="s">
        <v>472</v>
      </c>
      <c r="E2411">
        <v>359164653</v>
      </c>
      <c r="G2411">
        <v>150578472</v>
      </c>
      <c r="P2411">
        <v>19</v>
      </c>
      <c r="Q2411" t="s">
        <v>5141</v>
      </c>
    </row>
    <row r="2412" spans="1:17" x14ac:dyDescent="0.3">
      <c r="A2412" t="s">
        <v>73</v>
      </c>
      <c r="B2412" t="str">
        <f>"300793"</f>
        <v>300793</v>
      </c>
      <c r="C2412" t="s">
        <v>5142</v>
      </c>
      <c r="D2412" t="s">
        <v>42</v>
      </c>
      <c r="E2412">
        <v>358613486</v>
      </c>
      <c r="F2412">
        <v>437798217</v>
      </c>
      <c r="G2412">
        <v>206585851</v>
      </c>
      <c r="H2412">
        <v>0</v>
      </c>
      <c r="P2412">
        <v>144</v>
      </c>
      <c r="Q2412" t="s">
        <v>5143</v>
      </c>
    </row>
    <row r="2413" spans="1:17" x14ac:dyDescent="0.3">
      <c r="A2413" t="s">
        <v>73</v>
      </c>
      <c r="B2413" t="str">
        <f>"002810"</f>
        <v>002810</v>
      </c>
      <c r="C2413" t="s">
        <v>5144</v>
      </c>
      <c r="D2413" t="s">
        <v>588</v>
      </c>
      <c r="E2413">
        <v>358582654</v>
      </c>
      <c r="F2413">
        <v>223321710</v>
      </c>
      <c r="G2413">
        <v>225062942</v>
      </c>
      <c r="H2413">
        <v>192823655</v>
      </c>
      <c r="I2413">
        <v>145194401</v>
      </c>
      <c r="J2413">
        <v>115887534</v>
      </c>
      <c r="P2413">
        <v>419</v>
      </c>
      <c r="Q2413" t="s">
        <v>5145</v>
      </c>
    </row>
    <row r="2414" spans="1:17" x14ac:dyDescent="0.3">
      <c r="A2414" t="s">
        <v>17</v>
      </c>
      <c r="B2414" t="str">
        <f>"600993"</f>
        <v>600993</v>
      </c>
      <c r="C2414" t="s">
        <v>5146</v>
      </c>
      <c r="D2414" t="s">
        <v>215</v>
      </c>
      <c r="E2414">
        <v>358106798</v>
      </c>
      <c r="F2414">
        <v>188560961</v>
      </c>
      <c r="G2414">
        <v>115935100</v>
      </c>
      <c r="H2414">
        <v>82897025</v>
      </c>
      <c r="I2414">
        <v>162859887</v>
      </c>
      <c r="J2414">
        <v>96774685</v>
      </c>
      <c r="K2414">
        <v>210933629</v>
      </c>
      <c r="L2414">
        <v>213423573</v>
      </c>
      <c r="M2414">
        <v>226474602</v>
      </c>
      <c r="N2414">
        <v>210569417</v>
      </c>
      <c r="O2414">
        <v>187037933</v>
      </c>
      <c r="P2414">
        <v>942</v>
      </c>
      <c r="Q2414" t="s">
        <v>5147</v>
      </c>
    </row>
    <row r="2415" spans="1:17" x14ac:dyDescent="0.3">
      <c r="A2415" t="s">
        <v>73</v>
      </c>
      <c r="B2415" t="str">
        <f>"003027"</f>
        <v>003027</v>
      </c>
      <c r="C2415" t="s">
        <v>5148</v>
      </c>
      <c r="D2415" t="s">
        <v>629</v>
      </c>
      <c r="E2415">
        <v>357973187</v>
      </c>
      <c r="F2415">
        <v>254466878</v>
      </c>
      <c r="P2415">
        <v>58</v>
      </c>
      <c r="Q2415" t="s">
        <v>5149</v>
      </c>
    </row>
    <row r="2416" spans="1:17" x14ac:dyDescent="0.3">
      <c r="A2416" t="s">
        <v>73</v>
      </c>
      <c r="B2416" t="str">
        <f>"002937"</f>
        <v>002937</v>
      </c>
      <c r="C2416" t="s">
        <v>5150</v>
      </c>
      <c r="D2416" t="s">
        <v>42</v>
      </c>
      <c r="E2416">
        <v>357418622</v>
      </c>
      <c r="F2416">
        <v>314105226</v>
      </c>
      <c r="G2416">
        <v>242903187</v>
      </c>
      <c r="H2416">
        <v>275066044</v>
      </c>
      <c r="P2416">
        <v>209</v>
      </c>
      <c r="Q2416" t="s">
        <v>5151</v>
      </c>
    </row>
    <row r="2417" spans="1:17" x14ac:dyDescent="0.3">
      <c r="A2417" t="s">
        <v>73</v>
      </c>
      <c r="B2417" t="str">
        <f>"300173"</f>
        <v>300173</v>
      </c>
      <c r="C2417" t="s">
        <v>5152</v>
      </c>
      <c r="D2417" t="s">
        <v>626</v>
      </c>
      <c r="E2417">
        <v>357404484</v>
      </c>
      <c r="F2417">
        <v>427052628</v>
      </c>
      <c r="G2417">
        <v>474437453</v>
      </c>
      <c r="H2417">
        <v>420323176</v>
      </c>
      <c r="I2417">
        <v>498443184</v>
      </c>
      <c r="J2417">
        <v>525421840</v>
      </c>
      <c r="K2417">
        <v>268752382</v>
      </c>
      <c r="L2417">
        <v>194061645</v>
      </c>
      <c r="M2417">
        <v>125829179</v>
      </c>
      <c r="N2417">
        <v>114273359</v>
      </c>
      <c r="O2417">
        <v>116661757</v>
      </c>
      <c r="P2417">
        <v>61</v>
      </c>
      <c r="Q2417" t="s">
        <v>5153</v>
      </c>
    </row>
    <row r="2418" spans="1:17" x14ac:dyDescent="0.3">
      <c r="A2418" t="s">
        <v>17</v>
      </c>
      <c r="B2418" t="str">
        <f>"603025"</f>
        <v>603025</v>
      </c>
      <c r="C2418" t="s">
        <v>5154</v>
      </c>
      <c r="D2418" t="s">
        <v>626</v>
      </c>
      <c r="E2418">
        <v>357267717</v>
      </c>
      <c r="F2418">
        <v>366540894</v>
      </c>
      <c r="G2418">
        <v>249625126</v>
      </c>
      <c r="H2418">
        <v>210165248</v>
      </c>
      <c r="I2418">
        <v>174961522</v>
      </c>
      <c r="J2418">
        <v>132731789</v>
      </c>
      <c r="K2418">
        <v>110919952</v>
      </c>
      <c r="L2418">
        <v>144820872</v>
      </c>
      <c r="M2418">
        <v>0</v>
      </c>
      <c r="P2418">
        <v>434</v>
      </c>
      <c r="Q2418" t="s">
        <v>5155</v>
      </c>
    </row>
    <row r="2419" spans="1:17" x14ac:dyDescent="0.3">
      <c r="A2419" t="s">
        <v>73</v>
      </c>
      <c r="B2419" t="str">
        <f>"300243"</f>
        <v>300243</v>
      </c>
      <c r="C2419" t="s">
        <v>5156</v>
      </c>
      <c r="D2419" t="s">
        <v>3079</v>
      </c>
      <c r="E2419">
        <v>357201812</v>
      </c>
      <c r="F2419">
        <v>268599641</v>
      </c>
      <c r="G2419">
        <v>230088603</v>
      </c>
      <c r="H2419">
        <v>231532833</v>
      </c>
      <c r="I2419">
        <v>196870363</v>
      </c>
      <c r="J2419">
        <v>228732176</v>
      </c>
      <c r="K2419">
        <v>211022023</v>
      </c>
      <c r="L2419">
        <v>192405750</v>
      </c>
      <c r="M2419">
        <v>181483987</v>
      </c>
      <c r="N2419">
        <v>156948985</v>
      </c>
      <c r="O2419">
        <v>134809577</v>
      </c>
      <c r="P2419">
        <v>103</v>
      </c>
      <c r="Q2419" t="s">
        <v>5157</v>
      </c>
    </row>
    <row r="2420" spans="1:17" x14ac:dyDescent="0.3">
      <c r="A2420" t="s">
        <v>17</v>
      </c>
      <c r="B2420" t="str">
        <f>"603306"</f>
        <v>603306</v>
      </c>
      <c r="C2420" t="s">
        <v>5158</v>
      </c>
      <c r="D2420" t="s">
        <v>106</v>
      </c>
      <c r="E2420">
        <v>357168427</v>
      </c>
      <c r="F2420">
        <v>306409091</v>
      </c>
      <c r="G2420">
        <v>143682693</v>
      </c>
      <c r="H2420">
        <v>149235967</v>
      </c>
      <c r="I2420">
        <v>231206198</v>
      </c>
      <c r="J2420">
        <v>239400145</v>
      </c>
      <c r="K2420">
        <v>245950770</v>
      </c>
      <c r="L2420">
        <v>165992004</v>
      </c>
      <c r="M2420">
        <v>110147363</v>
      </c>
      <c r="P2420">
        <v>631</v>
      </c>
      <c r="Q2420" t="s">
        <v>5159</v>
      </c>
    </row>
    <row r="2421" spans="1:17" x14ac:dyDescent="0.3">
      <c r="A2421" t="s">
        <v>17</v>
      </c>
      <c r="B2421" t="str">
        <f>"688281"</f>
        <v>688281</v>
      </c>
      <c r="C2421" t="s">
        <v>5160</v>
      </c>
      <c r="E2421">
        <v>356229281</v>
      </c>
      <c r="P2421">
        <v>13</v>
      </c>
      <c r="Q2421" t="s">
        <v>5161</v>
      </c>
    </row>
    <row r="2422" spans="1:17" x14ac:dyDescent="0.3">
      <c r="A2422" t="s">
        <v>73</v>
      </c>
      <c r="B2422" t="str">
        <f>"300176"</f>
        <v>300176</v>
      </c>
      <c r="C2422" t="s">
        <v>5162</v>
      </c>
      <c r="D2422" t="s">
        <v>122</v>
      </c>
      <c r="E2422">
        <v>356169247</v>
      </c>
      <c r="F2422">
        <v>341440053</v>
      </c>
      <c r="G2422">
        <v>406532470</v>
      </c>
      <c r="H2422">
        <v>708085581</v>
      </c>
      <c r="I2422">
        <v>360980741</v>
      </c>
      <c r="J2422">
        <v>315745455</v>
      </c>
      <c r="K2422">
        <v>312299879</v>
      </c>
      <c r="L2422">
        <v>341643811</v>
      </c>
      <c r="M2422">
        <v>279302811</v>
      </c>
      <c r="N2422">
        <v>225759483</v>
      </c>
      <c r="O2422">
        <v>160599333</v>
      </c>
      <c r="P2422">
        <v>151</v>
      </c>
      <c r="Q2422" t="s">
        <v>5163</v>
      </c>
    </row>
    <row r="2423" spans="1:17" x14ac:dyDescent="0.3">
      <c r="A2423" t="s">
        <v>73</v>
      </c>
      <c r="B2423" t="str">
        <f>"300814"</f>
        <v>300814</v>
      </c>
      <c r="C2423" t="s">
        <v>5164</v>
      </c>
      <c r="D2423" t="s">
        <v>418</v>
      </c>
      <c r="E2423">
        <v>356161192</v>
      </c>
      <c r="F2423">
        <v>223973642</v>
      </c>
      <c r="P2423">
        <v>14</v>
      </c>
      <c r="Q2423" t="s">
        <v>5165</v>
      </c>
    </row>
    <row r="2424" spans="1:17" x14ac:dyDescent="0.3">
      <c r="A2424" t="s">
        <v>73</v>
      </c>
      <c r="B2424" t="str">
        <f>"002613"</f>
        <v>002613</v>
      </c>
      <c r="C2424" t="s">
        <v>5166</v>
      </c>
      <c r="D2424" t="s">
        <v>2655</v>
      </c>
      <c r="E2424">
        <v>355626918</v>
      </c>
      <c r="F2424">
        <v>199105704</v>
      </c>
      <c r="G2424">
        <v>181748804</v>
      </c>
      <c r="H2424">
        <v>191600521</v>
      </c>
      <c r="I2424">
        <v>358838366</v>
      </c>
      <c r="J2424">
        <v>290886495</v>
      </c>
      <c r="K2424">
        <v>295827657</v>
      </c>
      <c r="L2424">
        <v>272631671</v>
      </c>
      <c r="M2424">
        <v>260169638</v>
      </c>
      <c r="N2424">
        <v>218031176</v>
      </c>
      <c r="O2424">
        <v>230934090</v>
      </c>
      <c r="P2424">
        <v>90</v>
      </c>
      <c r="Q2424" t="s">
        <v>5167</v>
      </c>
    </row>
    <row r="2425" spans="1:17" x14ac:dyDescent="0.3">
      <c r="A2425" t="s">
        <v>73</v>
      </c>
      <c r="B2425" t="str">
        <f>"300109"</f>
        <v>300109</v>
      </c>
      <c r="C2425" t="s">
        <v>5168</v>
      </c>
      <c r="D2425" t="s">
        <v>588</v>
      </c>
      <c r="E2425">
        <v>355624490</v>
      </c>
      <c r="F2425">
        <v>311937329</v>
      </c>
      <c r="G2425">
        <v>321923632</v>
      </c>
      <c r="H2425">
        <v>170101695</v>
      </c>
      <c r="I2425">
        <v>136317100</v>
      </c>
      <c r="J2425">
        <v>99282638</v>
      </c>
      <c r="K2425">
        <v>81867803</v>
      </c>
      <c r="L2425">
        <v>30991226</v>
      </c>
      <c r="M2425">
        <v>31579065</v>
      </c>
      <c r="N2425">
        <v>28487310</v>
      </c>
      <c r="O2425">
        <v>30046178</v>
      </c>
      <c r="P2425">
        <v>122</v>
      </c>
      <c r="Q2425" t="s">
        <v>5169</v>
      </c>
    </row>
    <row r="2426" spans="1:17" x14ac:dyDescent="0.3">
      <c r="A2426" t="s">
        <v>73</v>
      </c>
      <c r="B2426" t="str">
        <f>"002567"</f>
        <v>002567</v>
      </c>
      <c r="C2426" t="s">
        <v>5170</v>
      </c>
      <c r="D2426" t="s">
        <v>2130</v>
      </c>
      <c r="E2426">
        <v>355305691</v>
      </c>
      <c r="F2426">
        <v>354212590</v>
      </c>
      <c r="G2426">
        <v>245687835</v>
      </c>
      <c r="H2426">
        <v>248159968</v>
      </c>
      <c r="I2426">
        <v>229985831</v>
      </c>
      <c r="J2426">
        <v>205801495</v>
      </c>
      <c r="K2426">
        <v>105415896</v>
      </c>
      <c r="L2426">
        <v>104277678</v>
      </c>
      <c r="M2426">
        <v>117021318</v>
      </c>
      <c r="N2426">
        <v>80071948</v>
      </c>
      <c r="O2426">
        <v>34081513</v>
      </c>
      <c r="P2426">
        <v>451</v>
      </c>
      <c r="Q2426" t="s">
        <v>5171</v>
      </c>
    </row>
    <row r="2427" spans="1:17" x14ac:dyDescent="0.3">
      <c r="A2427" t="s">
        <v>17</v>
      </c>
      <c r="B2427" t="str">
        <f>"600135"</f>
        <v>600135</v>
      </c>
      <c r="C2427" t="s">
        <v>5172</v>
      </c>
      <c r="D2427" t="s">
        <v>2271</v>
      </c>
      <c r="E2427">
        <v>355203222</v>
      </c>
      <c r="F2427">
        <v>452299607</v>
      </c>
      <c r="G2427">
        <v>257010534</v>
      </c>
      <c r="H2427">
        <v>374066600</v>
      </c>
      <c r="I2427">
        <v>384754264</v>
      </c>
      <c r="J2427">
        <v>382038165</v>
      </c>
      <c r="K2427">
        <v>361590837</v>
      </c>
      <c r="L2427">
        <v>207531518</v>
      </c>
      <c r="M2427">
        <v>166183264</v>
      </c>
      <c r="N2427">
        <v>119368352</v>
      </c>
      <c r="O2427">
        <v>63168488</v>
      </c>
      <c r="P2427">
        <v>112</v>
      </c>
      <c r="Q2427" t="s">
        <v>5173</v>
      </c>
    </row>
    <row r="2428" spans="1:17" x14ac:dyDescent="0.3">
      <c r="A2428" t="s">
        <v>17</v>
      </c>
      <c r="B2428" t="str">
        <f>"600258"</f>
        <v>600258</v>
      </c>
      <c r="C2428" t="s">
        <v>5174</v>
      </c>
      <c r="D2428" t="s">
        <v>1563</v>
      </c>
      <c r="E2428">
        <v>354690070</v>
      </c>
      <c r="F2428">
        <v>231394068</v>
      </c>
      <c r="G2428">
        <v>184331799</v>
      </c>
      <c r="H2428">
        <v>251448029</v>
      </c>
      <c r="I2428">
        <v>228338941</v>
      </c>
      <c r="J2428">
        <v>220857491</v>
      </c>
      <c r="K2428">
        <v>45074408</v>
      </c>
      <c r="L2428">
        <v>40866686</v>
      </c>
      <c r="M2428">
        <v>62744979</v>
      </c>
      <c r="N2428">
        <v>60180578</v>
      </c>
      <c r="O2428">
        <v>37520395</v>
      </c>
      <c r="P2428">
        <v>514</v>
      </c>
      <c r="Q2428" t="s">
        <v>5175</v>
      </c>
    </row>
    <row r="2429" spans="1:17" x14ac:dyDescent="0.3">
      <c r="A2429" t="s">
        <v>17</v>
      </c>
      <c r="B2429" t="str">
        <f>"600798"</f>
        <v>600798</v>
      </c>
      <c r="C2429" t="s">
        <v>5176</v>
      </c>
      <c r="D2429" t="s">
        <v>246</v>
      </c>
      <c r="E2429">
        <v>354580766</v>
      </c>
      <c r="F2429">
        <v>453206026</v>
      </c>
      <c r="G2429">
        <v>146042356</v>
      </c>
      <c r="H2429">
        <v>402801896</v>
      </c>
      <c r="I2429">
        <v>168977147</v>
      </c>
      <c r="J2429">
        <v>83337229</v>
      </c>
      <c r="K2429">
        <v>19975539</v>
      </c>
      <c r="L2429">
        <v>105580925</v>
      </c>
      <c r="M2429">
        <v>77758196</v>
      </c>
      <c r="N2429">
        <v>75645302</v>
      </c>
      <c r="O2429">
        <v>65544412</v>
      </c>
      <c r="P2429">
        <v>142</v>
      </c>
      <c r="Q2429" t="s">
        <v>5177</v>
      </c>
    </row>
    <row r="2430" spans="1:17" x14ac:dyDescent="0.3">
      <c r="A2430" t="s">
        <v>17</v>
      </c>
      <c r="B2430" t="str">
        <f>"603929"</f>
        <v>603929</v>
      </c>
      <c r="C2430" t="s">
        <v>5178</v>
      </c>
      <c r="D2430" t="s">
        <v>39</v>
      </c>
      <c r="E2430">
        <v>354428866</v>
      </c>
      <c r="F2430">
        <v>171249743</v>
      </c>
      <c r="G2430">
        <v>359843922</v>
      </c>
      <c r="H2430">
        <v>653397107</v>
      </c>
      <c r="I2430">
        <v>546646155</v>
      </c>
      <c r="J2430">
        <v>417496689</v>
      </c>
      <c r="P2430">
        <v>109</v>
      </c>
      <c r="Q2430" t="s">
        <v>5179</v>
      </c>
    </row>
    <row r="2431" spans="1:17" x14ac:dyDescent="0.3">
      <c r="A2431" t="s">
        <v>73</v>
      </c>
      <c r="B2431" t="str">
        <f>"300328"</f>
        <v>300328</v>
      </c>
      <c r="C2431" t="s">
        <v>5180</v>
      </c>
      <c r="D2431" t="s">
        <v>1240</v>
      </c>
      <c r="E2431">
        <v>354226726</v>
      </c>
      <c r="F2431">
        <v>262783972</v>
      </c>
      <c r="G2431">
        <v>261930974</v>
      </c>
      <c r="H2431">
        <v>330688682</v>
      </c>
      <c r="I2431">
        <v>221754148</v>
      </c>
      <c r="J2431">
        <v>198962150</v>
      </c>
      <c r="K2431">
        <v>140057063</v>
      </c>
      <c r="L2431">
        <v>158859748</v>
      </c>
      <c r="M2431">
        <v>108692048</v>
      </c>
      <c r="N2431">
        <v>75981454</v>
      </c>
      <c r="O2431">
        <v>65720069</v>
      </c>
      <c r="P2431">
        <v>232</v>
      </c>
      <c r="Q2431" t="s">
        <v>5181</v>
      </c>
    </row>
    <row r="2432" spans="1:17" x14ac:dyDescent="0.3">
      <c r="A2432" t="s">
        <v>17</v>
      </c>
      <c r="B2432" t="str">
        <f>"603290"</f>
        <v>603290</v>
      </c>
      <c r="C2432" t="s">
        <v>5182</v>
      </c>
      <c r="D2432" t="s">
        <v>1479</v>
      </c>
      <c r="E2432">
        <v>354132199</v>
      </c>
      <c r="F2432">
        <v>279794055</v>
      </c>
      <c r="G2432">
        <v>181236472</v>
      </c>
      <c r="H2432">
        <v>0</v>
      </c>
      <c r="P2432">
        <v>635</v>
      </c>
      <c r="Q2432" t="s">
        <v>5183</v>
      </c>
    </row>
    <row r="2433" spans="1:17" x14ac:dyDescent="0.3">
      <c r="A2433" t="s">
        <v>17</v>
      </c>
      <c r="B2433" t="str">
        <f>"600367"</f>
        <v>600367</v>
      </c>
      <c r="C2433" t="s">
        <v>5184</v>
      </c>
      <c r="D2433" t="s">
        <v>2246</v>
      </c>
      <c r="E2433">
        <v>353253920</v>
      </c>
      <c r="F2433">
        <v>220496614</v>
      </c>
      <c r="G2433">
        <v>222932375</v>
      </c>
      <c r="H2433">
        <v>246411666</v>
      </c>
      <c r="I2433">
        <v>195266056</v>
      </c>
      <c r="J2433">
        <v>220417946</v>
      </c>
      <c r="K2433">
        <v>206091338</v>
      </c>
      <c r="L2433">
        <v>197455188</v>
      </c>
      <c r="M2433">
        <v>174148081</v>
      </c>
      <c r="N2433">
        <v>155435412</v>
      </c>
      <c r="O2433">
        <v>129930921</v>
      </c>
      <c r="P2433">
        <v>115</v>
      </c>
      <c r="Q2433" t="s">
        <v>5185</v>
      </c>
    </row>
    <row r="2434" spans="1:17" x14ac:dyDescent="0.3">
      <c r="A2434" t="s">
        <v>17</v>
      </c>
      <c r="B2434" t="str">
        <f>"600603"</f>
        <v>600603</v>
      </c>
      <c r="C2434" t="s">
        <v>5186</v>
      </c>
      <c r="D2434" t="s">
        <v>27</v>
      </c>
      <c r="E2434">
        <v>352960094</v>
      </c>
      <c r="F2434">
        <v>1017350493</v>
      </c>
      <c r="G2434">
        <v>669967874</v>
      </c>
      <c r="H2434">
        <v>814890072</v>
      </c>
      <c r="I2434">
        <v>512966484</v>
      </c>
      <c r="J2434">
        <v>311656893</v>
      </c>
      <c r="K2434">
        <v>663032</v>
      </c>
      <c r="L2434">
        <v>7646764</v>
      </c>
      <c r="M2434">
        <v>26589194</v>
      </c>
      <c r="N2434">
        <v>0</v>
      </c>
      <c r="O2434">
        <v>0</v>
      </c>
      <c r="P2434">
        <v>510</v>
      </c>
      <c r="Q2434" t="s">
        <v>5187</v>
      </c>
    </row>
    <row r="2435" spans="1:17" x14ac:dyDescent="0.3">
      <c r="A2435" t="s">
        <v>73</v>
      </c>
      <c r="B2435" t="str">
        <f>"002979"</f>
        <v>002979</v>
      </c>
      <c r="C2435" t="s">
        <v>5188</v>
      </c>
      <c r="D2435" t="s">
        <v>2121</v>
      </c>
      <c r="E2435">
        <v>352843811</v>
      </c>
      <c r="F2435">
        <v>268237740</v>
      </c>
      <c r="G2435">
        <v>209939576</v>
      </c>
      <c r="P2435">
        <v>196</v>
      </c>
      <c r="Q2435" t="s">
        <v>5189</v>
      </c>
    </row>
    <row r="2436" spans="1:17" x14ac:dyDescent="0.3">
      <c r="A2436" t="s">
        <v>17</v>
      </c>
      <c r="B2436" t="str">
        <f>"688180"</f>
        <v>688180</v>
      </c>
      <c r="C2436" t="s">
        <v>5190</v>
      </c>
      <c r="D2436" t="s">
        <v>1505</v>
      </c>
      <c r="E2436">
        <v>352440767</v>
      </c>
      <c r="F2436">
        <v>633311152</v>
      </c>
      <c r="G2436">
        <v>0</v>
      </c>
      <c r="H2436">
        <v>89324735</v>
      </c>
      <c r="P2436">
        <v>206</v>
      </c>
      <c r="Q2436" t="s">
        <v>5191</v>
      </c>
    </row>
    <row r="2437" spans="1:17" x14ac:dyDescent="0.3">
      <c r="A2437" t="s">
        <v>17</v>
      </c>
      <c r="B2437" t="str">
        <f>"603530"</f>
        <v>603530</v>
      </c>
      <c r="C2437" t="s">
        <v>5192</v>
      </c>
      <c r="D2437" t="s">
        <v>515</v>
      </c>
      <c r="E2437">
        <v>352215611</v>
      </c>
      <c r="F2437">
        <v>289618856</v>
      </c>
      <c r="G2437">
        <v>270441694</v>
      </c>
      <c r="P2437">
        <v>88</v>
      </c>
      <c r="Q2437" t="s">
        <v>5193</v>
      </c>
    </row>
    <row r="2438" spans="1:17" x14ac:dyDescent="0.3">
      <c r="A2438" t="s">
        <v>73</v>
      </c>
      <c r="B2438" t="str">
        <f>"300202"</f>
        <v>300202</v>
      </c>
      <c r="C2438" t="s">
        <v>5194</v>
      </c>
      <c r="D2438" t="s">
        <v>158</v>
      </c>
      <c r="E2438">
        <v>351969088</v>
      </c>
      <c r="F2438">
        <v>412812453</v>
      </c>
      <c r="G2438">
        <v>535203446</v>
      </c>
      <c r="H2438">
        <v>664978343</v>
      </c>
      <c r="I2438">
        <v>723274136</v>
      </c>
      <c r="J2438">
        <v>840539768</v>
      </c>
      <c r="K2438">
        <v>604324595</v>
      </c>
      <c r="L2438">
        <v>529920478</v>
      </c>
      <c r="M2438">
        <v>389255172</v>
      </c>
      <c r="N2438">
        <v>149958561</v>
      </c>
      <c r="O2438">
        <v>69189455</v>
      </c>
      <c r="P2438">
        <v>2978</v>
      </c>
      <c r="Q2438" t="s">
        <v>5195</v>
      </c>
    </row>
    <row r="2439" spans="1:17" x14ac:dyDescent="0.3">
      <c r="A2439" t="s">
        <v>73</v>
      </c>
      <c r="B2439" t="str">
        <f>"300491"</f>
        <v>300491</v>
      </c>
      <c r="C2439" t="s">
        <v>5196</v>
      </c>
      <c r="D2439" t="s">
        <v>747</v>
      </c>
      <c r="E2439">
        <v>351867332</v>
      </c>
      <c r="F2439">
        <v>297794186</v>
      </c>
      <c r="G2439">
        <v>227856345</v>
      </c>
      <c r="H2439">
        <v>211871441</v>
      </c>
      <c r="I2439">
        <v>134661992</v>
      </c>
      <c r="J2439">
        <v>103194413</v>
      </c>
      <c r="K2439">
        <v>54762725</v>
      </c>
      <c r="L2439">
        <v>41449025</v>
      </c>
      <c r="P2439">
        <v>94</v>
      </c>
      <c r="Q2439" t="s">
        <v>5197</v>
      </c>
    </row>
    <row r="2440" spans="1:17" x14ac:dyDescent="0.3">
      <c r="A2440" t="s">
        <v>73</v>
      </c>
      <c r="B2440" t="str">
        <f>"002606"</f>
        <v>002606</v>
      </c>
      <c r="C2440" t="s">
        <v>5198</v>
      </c>
      <c r="D2440" t="s">
        <v>515</v>
      </c>
      <c r="E2440">
        <v>351833336</v>
      </c>
      <c r="F2440">
        <v>339419105</v>
      </c>
      <c r="G2440">
        <v>348778962</v>
      </c>
      <c r="H2440">
        <v>377918550</v>
      </c>
      <c r="I2440">
        <v>457171232</v>
      </c>
      <c r="J2440">
        <v>381960885</v>
      </c>
      <c r="K2440">
        <v>375837248</v>
      </c>
      <c r="L2440">
        <v>284706373</v>
      </c>
      <c r="M2440">
        <v>302202016</v>
      </c>
      <c r="N2440">
        <v>336121956</v>
      </c>
      <c r="O2440">
        <v>257922491</v>
      </c>
      <c r="P2440">
        <v>160</v>
      </c>
      <c r="Q2440" t="s">
        <v>5199</v>
      </c>
    </row>
    <row r="2441" spans="1:17" x14ac:dyDescent="0.3">
      <c r="A2441" t="s">
        <v>17</v>
      </c>
      <c r="B2441" t="str">
        <f>"600805"</f>
        <v>600805</v>
      </c>
      <c r="C2441" t="s">
        <v>5200</v>
      </c>
      <c r="D2441" t="s">
        <v>466</v>
      </c>
      <c r="E2441">
        <v>351632272</v>
      </c>
      <c r="F2441">
        <v>479630174</v>
      </c>
      <c r="G2441">
        <v>327552640</v>
      </c>
      <c r="H2441">
        <v>0</v>
      </c>
      <c r="I2441">
        <v>282402132</v>
      </c>
      <c r="J2441">
        <v>127510061</v>
      </c>
      <c r="K2441">
        <v>130298655</v>
      </c>
      <c r="L2441">
        <v>119870636</v>
      </c>
      <c r="M2441">
        <v>71776717</v>
      </c>
      <c r="N2441">
        <v>98430685</v>
      </c>
      <c r="O2441">
        <v>68343422</v>
      </c>
      <c r="P2441">
        <v>106</v>
      </c>
      <c r="Q2441" t="s">
        <v>5201</v>
      </c>
    </row>
    <row r="2442" spans="1:17" x14ac:dyDescent="0.3">
      <c r="A2442" t="s">
        <v>73</v>
      </c>
      <c r="B2442" t="str">
        <f>"000159"</f>
        <v>000159</v>
      </c>
      <c r="C2442" t="s">
        <v>5202</v>
      </c>
      <c r="D2442" t="s">
        <v>1267</v>
      </c>
      <c r="E2442">
        <v>351510803</v>
      </c>
      <c r="F2442">
        <v>23564480</v>
      </c>
      <c r="G2442">
        <v>14028767</v>
      </c>
      <c r="H2442">
        <v>24419440</v>
      </c>
      <c r="I2442">
        <v>130951953</v>
      </c>
      <c r="J2442">
        <v>104812885</v>
      </c>
      <c r="K2442">
        <v>112572724</v>
      </c>
      <c r="L2442">
        <v>161360523</v>
      </c>
      <c r="M2442">
        <v>155924634</v>
      </c>
      <c r="N2442">
        <v>133518687</v>
      </c>
      <c r="O2442">
        <v>60520278</v>
      </c>
      <c r="P2442">
        <v>100</v>
      </c>
      <c r="Q2442" t="s">
        <v>5203</v>
      </c>
    </row>
    <row r="2443" spans="1:17" x14ac:dyDescent="0.3">
      <c r="A2443" t="s">
        <v>73</v>
      </c>
      <c r="B2443" t="str">
        <f>"300302"</f>
        <v>300302</v>
      </c>
      <c r="C2443" t="s">
        <v>5204</v>
      </c>
      <c r="D2443" t="s">
        <v>158</v>
      </c>
      <c r="E2443">
        <v>351077422</v>
      </c>
      <c r="F2443">
        <v>267413103</v>
      </c>
      <c r="G2443">
        <v>255662049</v>
      </c>
      <c r="H2443">
        <v>219227246</v>
      </c>
      <c r="I2443">
        <v>165641369</v>
      </c>
      <c r="J2443">
        <v>163908610</v>
      </c>
      <c r="K2443">
        <v>59674931</v>
      </c>
      <c r="L2443">
        <v>110810192</v>
      </c>
      <c r="M2443">
        <v>105491187</v>
      </c>
      <c r="N2443">
        <v>80468423</v>
      </c>
      <c r="O2443">
        <v>59138543</v>
      </c>
      <c r="P2443">
        <v>146</v>
      </c>
      <c r="Q2443" t="s">
        <v>5205</v>
      </c>
    </row>
    <row r="2444" spans="1:17" x14ac:dyDescent="0.3">
      <c r="A2444" t="s">
        <v>73</v>
      </c>
      <c r="B2444" t="str">
        <f>"002864"</f>
        <v>002864</v>
      </c>
      <c r="C2444" t="s">
        <v>5206</v>
      </c>
      <c r="D2444" t="s">
        <v>215</v>
      </c>
      <c r="E2444">
        <v>350821705</v>
      </c>
      <c r="F2444">
        <v>339846427</v>
      </c>
      <c r="G2444">
        <v>192138861</v>
      </c>
      <c r="H2444">
        <v>176810437</v>
      </c>
      <c r="I2444">
        <v>167300978</v>
      </c>
      <c r="P2444">
        <v>184</v>
      </c>
      <c r="Q2444" t="s">
        <v>5207</v>
      </c>
    </row>
    <row r="2445" spans="1:17" x14ac:dyDescent="0.3">
      <c r="A2445" t="s">
        <v>17</v>
      </c>
      <c r="B2445" t="str">
        <f>"688185"</f>
        <v>688185</v>
      </c>
      <c r="C2445" t="s">
        <v>5208</v>
      </c>
      <c r="D2445" t="s">
        <v>182</v>
      </c>
      <c r="E2445">
        <v>350532000</v>
      </c>
      <c r="F2445">
        <v>200281353</v>
      </c>
      <c r="G2445">
        <v>3500039</v>
      </c>
      <c r="P2445">
        <v>266</v>
      </c>
      <c r="Q2445" t="s">
        <v>5209</v>
      </c>
    </row>
    <row r="2446" spans="1:17" x14ac:dyDescent="0.3">
      <c r="A2446" t="s">
        <v>17</v>
      </c>
      <c r="B2446" t="str">
        <f>"688533"</f>
        <v>688533</v>
      </c>
      <c r="C2446" t="s">
        <v>5210</v>
      </c>
      <c r="D2446" t="s">
        <v>442</v>
      </c>
      <c r="E2446">
        <v>350488432</v>
      </c>
      <c r="P2446">
        <v>39</v>
      </c>
      <c r="Q2446" t="s">
        <v>5211</v>
      </c>
    </row>
    <row r="2447" spans="1:17" x14ac:dyDescent="0.3">
      <c r="A2447" t="s">
        <v>73</v>
      </c>
      <c r="B2447" t="str">
        <f>"300844"</f>
        <v>300844</v>
      </c>
      <c r="C2447" t="s">
        <v>5212</v>
      </c>
      <c r="D2447" t="s">
        <v>661</v>
      </c>
      <c r="E2447">
        <v>350264913</v>
      </c>
      <c r="P2447">
        <v>16</v>
      </c>
      <c r="Q2447" t="s">
        <v>5213</v>
      </c>
    </row>
    <row r="2448" spans="1:17" x14ac:dyDescent="0.3">
      <c r="A2448" t="s">
        <v>17</v>
      </c>
      <c r="B2448" t="str">
        <f>"603345"</f>
        <v>603345</v>
      </c>
      <c r="C2448" t="s">
        <v>5214</v>
      </c>
      <c r="D2448" t="s">
        <v>4652</v>
      </c>
      <c r="E2448">
        <v>350150879</v>
      </c>
      <c r="F2448">
        <v>228799610</v>
      </c>
      <c r="G2448">
        <v>235510566</v>
      </c>
      <c r="H2448">
        <v>138128583</v>
      </c>
      <c r="I2448">
        <v>116336376</v>
      </c>
      <c r="J2448">
        <v>83997643</v>
      </c>
      <c r="P2448">
        <v>1174</v>
      </c>
      <c r="Q2448" t="s">
        <v>5215</v>
      </c>
    </row>
    <row r="2449" spans="1:17" x14ac:dyDescent="0.3">
      <c r="A2449" t="s">
        <v>73</v>
      </c>
      <c r="B2449" t="str">
        <f>"002031"</f>
        <v>002031</v>
      </c>
      <c r="C2449" t="s">
        <v>5216</v>
      </c>
      <c r="D2449" t="s">
        <v>1451</v>
      </c>
      <c r="E2449">
        <v>349965198</v>
      </c>
      <c r="F2449">
        <v>393177585</v>
      </c>
      <c r="G2449">
        <v>307338652</v>
      </c>
      <c r="H2449">
        <v>339336123</v>
      </c>
      <c r="I2449">
        <v>418470693</v>
      </c>
      <c r="J2449">
        <v>475648224</v>
      </c>
      <c r="K2449">
        <v>604123179</v>
      </c>
      <c r="L2449">
        <v>582728238</v>
      </c>
      <c r="M2449">
        <v>428143488</v>
      </c>
      <c r="N2449">
        <v>413960802</v>
      </c>
      <c r="O2449">
        <v>284645762</v>
      </c>
      <c r="P2449">
        <v>137</v>
      </c>
      <c r="Q2449" t="s">
        <v>5217</v>
      </c>
    </row>
    <row r="2450" spans="1:17" x14ac:dyDescent="0.3">
      <c r="A2450" t="s">
        <v>17</v>
      </c>
      <c r="B2450" t="str">
        <f>"603819"</f>
        <v>603819</v>
      </c>
      <c r="C2450" t="s">
        <v>5218</v>
      </c>
      <c r="D2450" t="s">
        <v>689</v>
      </c>
      <c r="E2450">
        <v>348844960</v>
      </c>
      <c r="F2450">
        <v>388023802</v>
      </c>
      <c r="G2450">
        <v>308814634</v>
      </c>
      <c r="H2450">
        <v>249990767</v>
      </c>
      <c r="I2450">
        <v>186282176</v>
      </c>
      <c r="J2450">
        <v>145200539</v>
      </c>
      <c r="P2450">
        <v>74</v>
      </c>
      <c r="Q2450" t="s">
        <v>5219</v>
      </c>
    </row>
    <row r="2451" spans="1:17" x14ac:dyDescent="0.3">
      <c r="A2451" t="s">
        <v>17</v>
      </c>
      <c r="B2451" t="str">
        <f>"603330"</f>
        <v>603330</v>
      </c>
      <c r="C2451" t="s">
        <v>5220</v>
      </c>
      <c r="D2451" t="s">
        <v>3079</v>
      </c>
      <c r="E2451">
        <v>348728625</v>
      </c>
      <c r="F2451">
        <v>219527002</v>
      </c>
      <c r="G2451">
        <v>168071115</v>
      </c>
      <c r="H2451">
        <v>166463485</v>
      </c>
      <c r="I2451">
        <v>171669963</v>
      </c>
      <c r="J2451">
        <v>128795501</v>
      </c>
      <c r="P2451">
        <v>136</v>
      </c>
      <c r="Q2451" t="s">
        <v>5221</v>
      </c>
    </row>
    <row r="2452" spans="1:17" x14ac:dyDescent="0.3">
      <c r="A2452" t="s">
        <v>73</v>
      </c>
      <c r="B2452" t="str">
        <f>"002469"</f>
        <v>002469</v>
      </c>
      <c r="C2452" t="s">
        <v>5222</v>
      </c>
      <c r="D2452" t="s">
        <v>141</v>
      </c>
      <c r="E2452">
        <v>348546775</v>
      </c>
      <c r="F2452">
        <v>252593578</v>
      </c>
      <c r="G2452">
        <v>352084132</v>
      </c>
      <c r="H2452">
        <v>439452280</v>
      </c>
      <c r="I2452">
        <v>474025078</v>
      </c>
      <c r="J2452">
        <v>402436216</v>
      </c>
      <c r="K2452">
        <v>377316295</v>
      </c>
      <c r="L2452">
        <v>449679588</v>
      </c>
      <c r="M2452">
        <v>266079732</v>
      </c>
      <c r="N2452">
        <v>237710340</v>
      </c>
      <c r="O2452">
        <v>170273913</v>
      </c>
      <c r="P2452">
        <v>126</v>
      </c>
      <c r="Q2452" t="s">
        <v>5223</v>
      </c>
    </row>
    <row r="2453" spans="1:17" x14ac:dyDescent="0.3">
      <c r="A2453" t="s">
        <v>73</v>
      </c>
      <c r="B2453" t="str">
        <f>"000151"</f>
        <v>000151</v>
      </c>
      <c r="C2453" t="s">
        <v>5224</v>
      </c>
      <c r="D2453" t="s">
        <v>299</v>
      </c>
      <c r="E2453">
        <v>348330515</v>
      </c>
      <c r="F2453">
        <v>16038115</v>
      </c>
      <c r="G2453">
        <v>40080506</v>
      </c>
      <c r="H2453">
        <v>72102042</v>
      </c>
      <c r="I2453">
        <v>97321145</v>
      </c>
      <c r="J2453">
        <v>54982997</v>
      </c>
      <c r="K2453">
        <v>55245189</v>
      </c>
      <c r="L2453">
        <v>110015544</v>
      </c>
      <c r="M2453">
        <v>16444400</v>
      </c>
      <c r="N2453">
        <v>875678</v>
      </c>
      <c r="O2453">
        <v>2271743</v>
      </c>
      <c r="P2453">
        <v>95</v>
      </c>
      <c r="Q2453" t="s">
        <v>5225</v>
      </c>
    </row>
    <row r="2454" spans="1:17" x14ac:dyDescent="0.3">
      <c r="A2454" t="s">
        <v>17</v>
      </c>
      <c r="B2454" t="str">
        <f>"600325"</f>
        <v>600325</v>
      </c>
      <c r="C2454" t="s">
        <v>5226</v>
      </c>
      <c r="D2454" t="s">
        <v>27</v>
      </c>
      <c r="E2454">
        <v>347432637</v>
      </c>
      <c r="F2454">
        <v>151108792</v>
      </c>
      <c r="G2454">
        <v>49843401</v>
      </c>
      <c r="H2454">
        <v>16133804</v>
      </c>
      <c r="I2454">
        <v>16374326</v>
      </c>
      <c r="J2454">
        <v>8485450</v>
      </c>
      <c r="K2454">
        <v>1556037</v>
      </c>
      <c r="L2454">
        <v>2414798</v>
      </c>
      <c r="M2454">
        <v>3453725</v>
      </c>
      <c r="N2454">
        <v>2827281</v>
      </c>
      <c r="O2454">
        <v>1177941</v>
      </c>
      <c r="P2454">
        <v>1184</v>
      </c>
      <c r="Q2454" t="s">
        <v>5227</v>
      </c>
    </row>
    <row r="2455" spans="1:17" x14ac:dyDescent="0.3">
      <c r="A2455" t="s">
        <v>73</v>
      </c>
      <c r="B2455" t="str">
        <f>"002251"</f>
        <v>002251</v>
      </c>
      <c r="C2455" t="s">
        <v>5228</v>
      </c>
      <c r="D2455" t="s">
        <v>3633</v>
      </c>
      <c r="E2455">
        <v>347300418</v>
      </c>
      <c r="F2455">
        <v>145811310</v>
      </c>
      <c r="G2455">
        <v>162240227</v>
      </c>
      <c r="H2455">
        <v>89682226</v>
      </c>
      <c r="I2455">
        <v>115039624</v>
      </c>
      <c r="J2455">
        <v>151634560</v>
      </c>
      <c r="K2455">
        <v>136462171</v>
      </c>
      <c r="L2455">
        <v>128037601</v>
      </c>
      <c r="M2455">
        <v>101437921</v>
      </c>
      <c r="N2455">
        <v>61987715</v>
      </c>
      <c r="O2455">
        <v>48906265</v>
      </c>
      <c r="P2455">
        <v>196</v>
      </c>
      <c r="Q2455" t="s">
        <v>5229</v>
      </c>
    </row>
    <row r="2456" spans="1:17" x14ac:dyDescent="0.3">
      <c r="A2456" t="s">
        <v>17</v>
      </c>
      <c r="B2456" t="str">
        <f>"603078"</f>
        <v>603078</v>
      </c>
      <c r="C2456" t="s">
        <v>5230</v>
      </c>
      <c r="D2456" t="s">
        <v>2178</v>
      </c>
      <c r="E2456">
        <v>345469542</v>
      </c>
      <c r="F2456">
        <v>221176836</v>
      </c>
      <c r="G2456">
        <v>178908419</v>
      </c>
      <c r="H2456">
        <v>157865972</v>
      </c>
      <c r="I2456">
        <v>141409206</v>
      </c>
      <c r="J2456">
        <v>125378649</v>
      </c>
      <c r="P2456">
        <v>226</v>
      </c>
      <c r="Q2456" t="s">
        <v>5231</v>
      </c>
    </row>
    <row r="2457" spans="1:17" x14ac:dyDescent="0.3">
      <c r="A2457" t="s">
        <v>73</v>
      </c>
      <c r="B2457" t="str">
        <f>"300917"</f>
        <v>300917</v>
      </c>
      <c r="C2457" t="s">
        <v>5232</v>
      </c>
      <c r="D2457" t="s">
        <v>1209</v>
      </c>
      <c r="E2457">
        <v>345397650</v>
      </c>
      <c r="F2457">
        <v>313496066</v>
      </c>
      <c r="P2457">
        <v>80</v>
      </c>
      <c r="Q2457" t="s">
        <v>5233</v>
      </c>
    </row>
    <row r="2458" spans="1:17" x14ac:dyDescent="0.3">
      <c r="A2458" t="s">
        <v>17</v>
      </c>
      <c r="B2458" t="str">
        <f>"603089"</f>
        <v>603089</v>
      </c>
      <c r="C2458" t="s">
        <v>5234</v>
      </c>
      <c r="D2458" t="s">
        <v>122</v>
      </c>
      <c r="E2458">
        <v>345379275</v>
      </c>
      <c r="F2458">
        <v>295049315</v>
      </c>
      <c r="G2458">
        <v>199332507</v>
      </c>
      <c r="H2458">
        <v>303997162</v>
      </c>
      <c r="I2458">
        <v>207516407</v>
      </c>
      <c r="J2458">
        <v>205942115</v>
      </c>
      <c r="P2458">
        <v>111</v>
      </c>
      <c r="Q2458" t="s">
        <v>5235</v>
      </c>
    </row>
    <row r="2459" spans="1:17" x14ac:dyDescent="0.3">
      <c r="A2459" t="s">
        <v>73</v>
      </c>
      <c r="B2459" t="str">
        <f>"002520"</f>
        <v>002520</v>
      </c>
      <c r="C2459" t="s">
        <v>5236</v>
      </c>
      <c r="D2459" t="s">
        <v>2332</v>
      </c>
      <c r="E2459">
        <v>345374645</v>
      </c>
      <c r="F2459">
        <v>445067006</v>
      </c>
      <c r="G2459">
        <v>528635677</v>
      </c>
      <c r="H2459">
        <v>471347446</v>
      </c>
      <c r="I2459">
        <v>389490183</v>
      </c>
      <c r="J2459">
        <v>380142840</v>
      </c>
      <c r="K2459">
        <v>356259861</v>
      </c>
      <c r="L2459">
        <v>210556289</v>
      </c>
      <c r="M2459">
        <v>123443429</v>
      </c>
      <c r="N2459">
        <v>136354005</v>
      </c>
      <c r="O2459">
        <v>91656468</v>
      </c>
      <c r="P2459">
        <v>99</v>
      </c>
      <c r="Q2459" t="s">
        <v>5237</v>
      </c>
    </row>
    <row r="2460" spans="1:17" x14ac:dyDescent="0.3">
      <c r="A2460" t="s">
        <v>73</v>
      </c>
      <c r="B2460" t="str">
        <f>"002811"</f>
        <v>002811</v>
      </c>
      <c r="C2460" t="s">
        <v>5238</v>
      </c>
      <c r="D2460" t="s">
        <v>258</v>
      </c>
      <c r="E2460">
        <v>345262409</v>
      </c>
      <c r="F2460">
        <v>326878397</v>
      </c>
      <c r="G2460">
        <v>1627044370</v>
      </c>
      <c r="H2460">
        <v>1506053253</v>
      </c>
      <c r="I2460">
        <v>1404329870</v>
      </c>
      <c r="J2460">
        <v>1440598346</v>
      </c>
      <c r="P2460">
        <v>95</v>
      </c>
      <c r="Q2460" t="s">
        <v>5239</v>
      </c>
    </row>
    <row r="2461" spans="1:17" x14ac:dyDescent="0.3">
      <c r="A2461" t="s">
        <v>73</v>
      </c>
      <c r="B2461" t="str">
        <f>"300928"</f>
        <v>300928</v>
      </c>
      <c r="C2461" t="s">
        <v>5240</v>
      </c>
      <c r="D2461" t="s">
        <v>442</v>
      </c>
      <c r="E2461">
        <v>344957662</v>
      </c>
      <c r="F2461">
        <v>505813441</v>
      </c>
      <c r="P2461">
        <v>27</v>
      </c>
      <c r="Q2461" t="s">
        <v>5241</v>
      </c>
    </row>
    <row r="2462" spans="1:17" x14ac:dyDescent="0.3">
      <c r="A2462" t="s">
        <v>73</v>
      </c>
      <c r="B2462" t="str">
        <f>"002992"</f>
        <v>002992</v>
      </c>
      <c r="C2462" t="s">
        <v>5242</v>
      </c>
      <c r="D2462" t="s">
        <v>97</v>
      </c>
      <c r="E2462">
        <v>344902373</v>
      </c>
      <c r="F2462">
        <v>315273680</v>
      </c>
      <c r="G2462">
        <v>343888144</v>
      </c>
      <c r="H2462">
        <v>0</v>
      </c>
      <c r="P2462">
        <v>51</v>
      </c>
      <c r="Q2462" t="s">
        <v>5243</v>
      </c>
    </row>
    <row r="2463" spans="1:17" x14ac:dyDescent="0.3">
      <c r="A2463" t="s">
        <v>73</v>
      </c>
      <c r="B2463" t="str">
        <f>"300673"</f>
        <v>300673</v>
      </c>
      <c r="C2463" t="s">
        <v>5244</v>
      </c>
      <c r="D2463" t="s">
        <v>4606</v>
      </c>
      <c r="E2463">
        <v>344422442</v>
      </c>
      <c r="F2463">
        <v>237057297</v>
      </c>
      <c r="G2463">
        <v>162940064</v>
      </c>
      <c r="H2463">
        <v>158583083</v>
      </c>
      <c r="I2463">
        <v>148357081</v>
      </c>
      <c r="J2463">
        <v>93516366</v>
      </c>
      <c r="K2463">
        <v>0</v>
      </c>
      <c r="P2463">
        <v>512</v>
      </c>
      <c r="Q2463" t="s">
        <v>5245</v>
      </c>
    </row>
    <row r="2464" spans="1:17" x14ac:dyDescent="0.3">
      <c r="A2464" t="s">
        <v>73</v>
      </c>
      <c r="B2464" t="str">
        <f>"300335"</f>
        <v>300335</v>
      </c>
      <c r="C2464" t="s">
        <v>5246</v>
      </c>
      <c r="D2464" t="s">
        <v>1106</v>
      </c>
      <c r="E2464">
        <v>344011102</v>
      </c>
      <c r="F2464">
        <v>376723804</v>
      </c>
      <c r="G2464">
        <v>332831654</v>
      </c>
      <c r="H2464">
        <v>308745807</v>
      </c>
      <c r="I2464">
        <v>438413191</v>
      </c>
      <c r="J2464">
        <v>296736169</v>
      </c>
      <c r="K2464">
        <v>117081291</v>
      </c>
      <c r="L2464">
        <v>115710757</v>
      </c>
      <c r="M2464">
        <v>71143100</v>
      </c>
      <c r="N2464">
        <v>76762138</v>
      </c>
      <c r="O2464">
        <v>67520733</v>
      </c>
      <c r="P2464">
        <v>231</v>
      </c>
      <c r="Q2464" t="s">
        <v>5247</v>
      </c>
    </row>
    <row r="2465" spans="1:17" x14ac:dyDescent="0.3">
      <c r="A2465" t="s">
        <v>73</v>
      </c>
      <c r="B2465" t="str">
        <f>"000004"</f>
        <v>000004</v>
      </c>
      <c r="C2465" t="s">
        <v>5248</v>
      </c>
      <c r="D2465" t="s">
        <v>404</v>
      </c>
      <c r="E2465">
        <v>343020080</v>
      </c>
      <c r="F2465">
        <v>367182795</v>
      </c>
      <c r="G2465">
        <v>255998603</v>
      </c>
      <c r="H2465">
        <v>27636086</v>
      </c>
      <c r="I2465">
        <v>16858072</v>
      </c>
      <c r="J2465">
        <v>1298571</v>
      </c>
      <c r="K2465">
        <v>1054013</v>
      </c>
      <c r="L2465">
        <v>2157034</v>
      </c>
      <c r="M2465">
        <v>3393173</v>
      </c>
      <c r="N2465">
        <v>5885786</v>
      </c>
      <c r="O2465">
        <v>5356230</v>
      </c>
      <c r="P2465">
        <v>187</v>
      </c>
      <c r="Q2465" t="s">
        <v>5249</v>
      </c>
    </row>
    <row r="2466" spans="1:17" x14ac:dyDescent="0.3">
      <c r="A2466" t="s">
        <v>73</v>
      </c>
      <c r="B2466" t="str">
        <f>"300680"</f>
        <v>300680</v>
      </c>
      <c r="C2466" t="s">
        <v>5250</v>
      </c>
      <c r="D2466" t="s">
        <v>122</v>
      </c>
      <c r="E2466">
        <v>342934664</v>
      </c>
      <c r="F2466">
        <v>248916966</v>
      </c>
      <c r="G2466">
        <v>133404376</v>
      </c>
      <c r="H2466">
        <v>119951130</v>
      </c>
      <c r="I2466">
        <v>61328974</v>
      </c>
      <c r="J2466">
        <v>60532762</v>
      </c>
      <c r="K2466">
        <v>0</v>
      </c>
      <c r="P2466">
        <v>114</v>
      </c>
      <c r="Q2466" t="s">
        <v>5251</v>
      </c>
    </row>
    <row r="2467" spans="1:17" x14ac:dyDescent="0.3">
      <c r="A2467" t="s">
        <v>73</v>
      </c>
      <c r="B2467" t="str">
        <f>"001218"</f>
        <v>001218</v>
      </c>
      <c r="C2467" t="s">
        <v>5252</v>
      </c>
      <c r="D2467" t="s">
        <v>588</v>
      </c>
      <c r="E2467">
        <v>342717909</v>
      </c>
      <c r="P2467">
        <v>15</v>
      </c>
      <c r="Q2467" t="s">
        <v>5253</v>
      </c>
    </row>
    <row r="2468" spans="1:17" x14ac:dyDescent="0.3">
      <c r="A2468" t="s">
        <v>17</v>
      </c>
      <c r="B2468" t="str">
        <f>"601969"</f>
        <v>601969</v>
      </c>
      <c r="C2468" t="s">
        <v>5254</v>
      </c>
      <c r="D2468" t="s">
        <v>2108</v>
      </c>
      <c r="E2468">
        <v>341901900</v>
      </c>
      <c r="F2468">
        <v>206160240</v>
      </c>
      <c r="G2468">
        <v>259097730</v>
      </c>
      <c r="H2468">
        <v>147030591</v>
      </c>
      <c r="I2468">
        <v>198154555</v>
      </c>
      <c r="J2468">
        <v>214091946</v>
      </c>
      <c r="K2468">
        <v>549023819</v>
      </c>
      <c r="L2468">
        <v>556837582</v>
      </c>
      <c r="M2468">
        <v>0</v>
      </c>
      <c r="P2468">
        <v>154</v>
      </c>
      <c r="Q2468" t="s">
        <v>5255</v>
      </c>
    </row>
    <row r="2469" spans="1:17" x14ac:dyDescent="0.3">
      <c r="A2469" t="s">
        <v>17</v>
      </c>
      <c r="B2469" t="str">
        <f>"605005"</f>
        <v>605005</v>
      </c>
      <c r="C2469" t="s">
        <v>5256</v>
      </c>
      <c r="D2469" t="s">
        <v>442</v>
      </c>
      <c r="E2469">
        <v>341448034</v>
      </c>
      <c r="F2469">
        <v>286269792</v>
      </c>
      <c r="P2469">
        <v>62</v>
      </c>
      <c r="Q2469" t="s">
        <v>5257</v>
      </c>
    </row>
    <row r="2470" spans="1:17" x14ac:dyDescent="0.3">
      <c r="A2470" t="s">
        <v>73</v>
      </c>
      <c r="B2470" t="str">
        <f>"002321"</f>
        <v>002321</v>
      </c>
      <c r="C2470" t="s">
        <v>5258</v>
      </c>
      <c r="D2470" t="s">
        <v>591</v>
      </c>
      <c r="E2470">
        <v>341406345</v>
      </c>
      <c r="F2470">
        <v>331930711</v>
      </c>
      <c r="G2470">
        <v>482183909</v>
      </c>
      <c r="H2470">
        <v>475217951</v>
      </c>
      <c r="I2470">
        <v>532837541</v>
      </c>
      <c r="J2470">
        <v>313605437</v>
      </c>
      <c r="K2470">
        <v>161832838</v>
      </c>
      <c r="L2470">
        <v>181361809</v>
      </c>
      <c r="M2470">
        <v>185936663</v>
      </c>
      <c r="N2470">
        <v>195529235</v>
      </c>
      <c r="O2470">
        <v>157778908</v>
      </c>
      <c r="P2470">
        <v>111</v>
      </c>
      <c r="Q2470" t="s">
        <v>5259</v>
      </c>
    </row>
    <row r="2471" spans="1:17" x14ac:dyDescent="0.3">
      <c r="A2471" t="s">
        <v>17</v>
      </c>
      <c r="B2471" t="str">
        <f>"688038"</f>
        <v>688038</v>
      </c>
      <c r="C2471" t="s">
        <v>5260</v>
      </c>
      <c r="D2471" t="s">
        <v>795</v>
      </c>
      <c r="E2471">
        <v>341385706</v>
      </c>
      <c r="F2471">
        <v>252864953</v>
      </c>
      <c r="G2471">
        <v>176316067</v>
      </c>
      <c r="P2471">
        <v>17</v>
      </c>
      <c r="Q2471" t="s">
        <v>5261</v>
      </c>
    </row>
    <row r="2472" spans="1:17" x14ac:dyDescent="0.3">
      <c r="A2472" t="s">
        <v>17</v>
      </c>
      <c r="B2472" t="str">
        <f>"603178"</f>
        <v>603178</v>
      </c>
      <c r="C2472" t="s">
        <v>5262</v>
      </c>
      <c r="D2472" t="s">
        <v>122</v>
      </c>
      <c r="E2472">
        <v>341226871</v>
      </c>
      <c r="F2472">
        <v>287606270</v>
      </c>
      <c r="G2472">
        <v>199023528</v>
      </c>
      <c r="H2472">
        <v>248242146</v>
      </c>
      <c r="I2472">
        <v>277225383</v>
      </c>
      <c r="J2472">
        <v>278074859</v>
      </c>
      <c r="P2472">
        <v>80</v>
      </c>
      <c r="Q2472" t="s">
        <v>5263</v>
      </c>
    </row>
    <row r="2473" spans="1:17" x14ac:dyDescent="0.3">
      <c r="A2473" t="s">
        <v>17</v>
      </c>
      <c r="B2473" t="str">
        <f>"603566"</f>
        <v>603566</v>
      </c>
      <c r="C2473" t="s">
        <v>5264</v>
      </c>
      <c r="D2473" t="s">
        <v>2849</v>
      </c>
      <c r="E2473">
        <v>341221138</v>
      </c>
      <c r="F2473">
        <v>292426521</v>
      </c>
      <c r="G2473">
        <v>168207371</v>
      </c>
      <c r="H2473">
        <v>162285863</v>
      </c>
      <c r="I2473">
        <v>152069345</v>
      </c>
      <c r="J2473">
        <v>124705395</v>
      </c>
      <c r="K2473">
        <v>130476900</v>
      </c>
      <c r="L2473">
        <v>0</v>
      </c>
      <c r="M2473">
        <v>0</v>
      </c>
      <c r="P2473">
        <v>233</v>
      </c>
      <c r="Q2473" t="s">
        <v>5265</v>
      </c>
    </row>
    <row r="2474" spans="1:17" x14ac:dyDescent="0.3">
      <c r="A2474" t="s">
        <v>17</v>
      </c>
      <c r="B2474" t="str">
        <f>"603790"</f>
        <v>603790</v>
      </c>
      <c r="C2474" t="s">
        <v>5266</v>
      </c>
      <c r="D2474" t="s">
        <v>1001</v>
      </c>
      <c r="E2474">
        <v>341124320</v>
      </c>
      <c r="F2474">
        <v>319066794</v>
      </c>
      <c r="G2474">
        <v>307040909</v>
      </c>
      <c r="H2474">
        <v>319132594</v>
      </c>
      <c r="P2474">
        <v>64</v>
      </c>
      <c r="Q2474" t="s">
        <v>5267</v>
      </c>
    </row>
    <row r="2475" spans="1:17" x14ac:dyDescent="0.3">
      <c r="A2475" t="s">
        <v>73</v>
      </c>
      <c r="B2475" t="str">
        <f>"002771"</f>
        <v>002771</v>
      </c>
      <c r="C2475" t="s">
        <v>5268</v>
      </c>
      <c r="D2475" t="s">
        <v>302</v>
      </c>
      <c r="E2475">
        <v>340784866</v>
      </c>
      <c r="F2475">
        <v>445665840</v>
      </c>
      <c r="G2475">
        <v>496486319</v>
      </c>
      <c r="H2475">
        <v>519922165</v>
      </c>
      <c r="I2475">
        <v>338323399</v>
      </c>
      <c r="J2475">
        <v>274280655</v>
      </c>
      <c r="K2475">
        <v>216130518</v>
      </c>
      <c r="L2475">
        <v>0</v>
      </c>
      <c r="M2475">
        <v>0</v>
      </c>
      <c r="P2475">
        <v>95</v>
      </c>
      <c r="Q2475" t="s">
        <v>5269</v>
      </c>
    </row>
    <row r="2476" spans="1:17" x14ac:dyDescent="0.3">
      <c r="A2476" t="s">
        <v>73</v>
      </c>
      <c r="B2476" t="str">
        <f>"000902"</f>
        <v>000902</v>
      </c>
      <c r="C2476" t="s">
        <v>5270</v>
      </c>
      <c r="D2476" t="s">
        <v>4079</v>
      </c>
      <c r="E2476">
        <v>340713449</v>
      </c>
      <c r="F2476">
        <v>449687795</v>
      </c>
      <c r="G2476">
        <v>538062410</v>
      </c>
      <c r="H2476">
        <v>646679873</v>
      </c>
      <c r="I2476">
        <v>505273166</v>
      </c>
      <c r="J2476">
        <v>562299539</v>
      </c>
      <c r="K2476">
        <v>349019046</v>
      </c>
      <c r="L2476">
        <v>248692108</v>
      </c>
      <c r="M2476">
        <v>315364647</v>
      </c>
      <c r="N2476">
        <v>109254401</v>
      </c>
      <c r="O2476">
        <v>151506571</v>
      </c>
      <c r="P2476">
        <v>406</v>
      </c>
      <c r="Q2476" t="s">
        <v>5271</v>
      </c>
    </row>
    <row r="2477" spans="1:17" x14ac:dyDescent="0.3">
      <c r="A2477" t="s">
        <v>17</v>
      </c>
      <c r="B2477" t="str">
        <f>"688299"</f>
        <v>688299</v>
      </c>
      <c r="C2477" t="s">
        <v>5272</v>
      </c>
      <c r="D2477" t="s">
        <v>97</v>
      </c>
      <c r="E2477">
        <v>340692048</v>
      </c>
      <c r="F2477">
        <v>326930565</v>
      </c>
      <c r="G2477">
        <v>298445973</v>
      </c>
      <c r="H2477">
        <v>0</v>
      </c>
      <c r="P2477">
        <v>239</v>
      </c>
      <c r="Q2477" t="s">
        <v>5273</v>
      </c>
    </row>
    <row r="2478" spans="1:17" x14ac:dyDescent="0.3">
      <c r="A2478" t="s">
        <v>17</v>
      </c>
      <c r="B2478" t="str">
        <f>"603613"</f>
        <v>603613</v>
      </c>
      <c r="C2478" t="s">
        <v>5274</v>
      </c>
      <c r="D2478" t="s">
        <v>537</v>
      </c>
      <c r="E2478">
        <v>339784938</v>
      </c>
      <c r="F2478">
        <v>181010330</v>
      </c>
      <c r="G2478">
        <v>92683772</v>
      </c>
      <c r="H2478">
        <v>0</v>
      </c>
      <c r="I2478">
        <v>0</v>
      </c>
      <c r="P2478">
        <v>827</v>
      </c>
      <c r="Q2478" t="s">
        <v>5275</v>
      </c>
    </row>
    <row r="2479" spans="1:17" x14ac:dyDescent="0.3">
      <c r="A2479" t="s">
        <v>17</v>
      </c>
      <c r="B2479" t="str">
        <f>"688039"</f>
        <v>688039</v>
      </c>
      <c r="C2479" t="s">
        <v>5276</v>
      </c>
      <c r="D2479" t="s">
        <v>302</v>
      </c>
      <c r="E2479">
        <v>339687675</v>
      </c>
      <c r="F2479">
        <v>272607902</v>
      </c>
      <c r="G2479">
        <v>111144251</v>
      </c>
      <c r="H2479">
        <v>0</v>
      </c>
      <c r="P2479">
        <v>155</v>
      </c>
      <c r="Q2479" t="s">
        <v>5277</v>
      </c>
    </row>
    <row r="2480" spans="1:17" x14ac:dyDescent="0.3">
      <c r="A2480" t="s">
        <v>73</v>
      </c>
      <c r="B2480" t="str">
        <f>"300412"</f>
        <v>300412</v>
      </c>
      <c r="C2480" t="s">
        <v>5278</v>
      </c>
      <c r="D2480" t="s">
        <v>1451</v>
      </c>
      <c r="E2480">
        <v>339626958</v>
      </c>
      <c r="F2480">
        <v>258313772</v>
      </c>
      <c r="G2480">
        <v>273774108</v>
      </c>
      <c r="H2480">
        <v>234794190</v>
      </c>
      <c r="I2480">
        <v>171234061</v>
      </c>
      <c r="J2480">
        <v>113888496</v>
      </c>
      <c r="K2480">
        <v>70287036</v>
      </c>
      <c r="L2480">
        <v>53664690</v>
      </c>
      <c r="M2480">
        <v>0</v>
      </c>
      <c r="P2480">
        <v>96</v>
      </c>
      <c r="Q2480" t="s">
        <v>5279</v>
      </c>
    </row>
    <row r="2481" spans="1:17" x14ac:dyDescent="0.3">
      <c r="A2481" t="s">
        <v>73</v>
      </c>
      <c r="B2481" t="str">
        <f>"300448"</f>
        <v>300448</v>
      </c>
      <c r="C2481" t="s">
        <v>5280</v>
      </c>
      <c r="D2481" t="s">
        <v>302</v>
      </c>
      <c r="E2481">
        <v>339542457</v>
      </c>
      <c r="F2481">
        <v>337558356</v>
      </c>
      <c r="G2481">
        <v>389365800</v>
      </c>
      <c r="H2481">
        <v>389255255</v>
      </c>
      <c r="I2481">
        <v>295857203</v>
      </c>
      <c r="J2481">
        <v>224923278</v>
      </c>
      <c r="K2481">
        <v>166957949</v>
      </c>
      <c r="L2481">
        <v>90301628</v>
      </c>
      <c r="M2481">
        <v>0</v>
      </c>
      <c r="P2481">
        <v>157</v>
      </c>
      <c r="Q2481" t="s">
        <v>5281</v>
      </c>
    </row>
    <row r="2482" spans="1:17" x14ac:dyDescent="0.3">
      <c r="A2482" t="s">
        <v>17</v>
      </c>
      <c r="B2482" t="str">
        <f>"688789"</f>
        <v>688789</v>
      </c>
      <c r="C2482" t="s">
        <v>5282</v>
      </c>
      <c r="D2482" t="s">
        <v>792</v>
      </c>
      <c r="E2482">
        <v>338806784</v>
      </c>
      <c r="F2482">
        <v>236329352</v>
      </c>
      <c r="P2482">
        <v>43</v>
      </c>
      <c r="Q2482" t="s">
        <v>5283</v>
      </c>
    </row>
    <row r="2483" spans="1:17" x14ac:dyDescent="0.3">
      <c r="A2483" t="s">
        <v>73</v>
      </c>
      <c r="B2483" t="str">
        <f>"300067"</f>
        <v>300067</v>
      </c>
      <c r="C2483" t="s">
        <v>5284</v>
      </c>
      <c r="D2483" t="s">
        <v>1001</v>
      </c>
      <c r="E2483">
        <v>338511982</v>
      </c>
      <c r="F2483">
        <v>360485669</v>
      </c>
      <c r="G2483">
        <v>330374770</v>
      </c>
      <c r="H2483">
        <v>278145477</v>
      </c>
      <c r="I2483">
        <v>261228716</v>
      </c>
      <c r="J2483">
        <v>275205110</v>
      </c>
      <c r="K2483">
        <v>319942054</v>
      </c>
      <c r="L2483">
        <v>255241852</v>
      </c>
      <c r="M2483">
        <v>175624790</v>
      </c>
      <c r="N2483">
        <v>103489790</v>
      </c>
      <c r="O2483">
        <v>71641703</v>
      </c>
      <c r="P2483">
        <v>100</v>
      </c>
      <c r="Q2483" t="s">
        <v>5285</v>
      </c>
    </row>
    <row r="2484" spans="1:17" x14ac:dyDescent="0.3">
      <c r="A2484" t="s">
        <v>17</v>
      </c>
      <c r="B2484" t="str">
        <f>"600259"</f>
        <v>600259</v>
      </c>
      <c r="C2484" t="s">
        <v>5286</v>
      </c>
      <c r="D2484" t="s">
        <v>815</v>
      </c>
      <c r="E2484">
        <v>338236136</v>
      </c>
      <c r="F2484">
        <v>405868123</v>
      </c>
      <c r="G2484">
        <v>285062808</v>
      </c>
      <c r="H2484">
        <v>178926385</v>
      </c>
      <c r="I2484">
        <v>158375833</v>
      </c>
      <c r="J2484">
        <v>812444200</v>
      </c>
      <c r="K2484">
        <v>110422348</v>
      </c>
      <c r="L2484">
        <v>771656135</v>
      </c>
      <c r="M2484">
        <v>184276072</v>
      </c>
      <c r="N2484">
        <v>129867827</v>
      </c>
      <c r="O2484">
        <v>74594521</v>
      </c>
      <c r="P2484">
        <v>221</v>
      </c>
      <c r="Q2484" t="s">
        <v>5287</v>
      </c>
    </row>
    <row r="2485" spans="1:17" x14ac:dyDescent="0.3">
      <c r="A2485" t="s">
        <v>73</v>
      </c>
      <c r="B2485" t="str">
        <f>"002687"</f>
        <v>002687</v>
      </c>
      <c r="C2485" t="s">
        <v>5288</v>
      </c>
      <c r="D2485" t="s">
        <v>991</v>
      </c>
      <c r="E2485">
        <v>338126339</v>
      </c>
      <c r="F2485">
        <v>286876137</v>
      </c>
      <c r="G2485">
        <v>265830086</v>
      </c>
      <c r="H2485">
        <v>244581151</v>
      </c>
      <c r="I2485">
        <v>235521143</v>
      </c>
      <c r="J2485">
        <v>187434527</v>
      </c>
      <c r="K2485">
        <v>191238519</v>
      </c>
      <c r="L2485">
        <v>184052794</v>
      </c>
      <c r="M2485">
        <v>147816350</v>
      </c>
      <c r="N2485">
        <v>145092375</v>
      </c>
      <c r="O2485">
        <v>107610530</v>
      </c>
      <c r="P2485">
        <v>127</v>
      </c>
      <c r="Q2485" t="s">
        <v>5289</v>
      </c>
    </row>
    <row r="2486" spans="1:17" x14ac:dyDescent="0.3">
      <c r="A2486" t="s">
        <v>73</v>
      </c>
      <c r="B2486" t="str">
        <f>"000536"</f>
        <v>000536</v>
      </c>
      <c r="C2486" t="s">
        <v>5290</v>
      </c>
      <c r="D2486" t="s">
        <v>97</v>
      </c>
      <c r="E2486">
        <v>337699081</v>
      </c>
      <c r="F2486">
        <v>240698427</v>
      </c>
      <c r="G2486">
        <v>194798578</v>
      </c>
      <c r="H2486">
        <v>185005269</v>
      </c>
      <c r="I2486">
        <v>1785175521</v>
      </c>
      <c r="J2486">
        <v>1991660602</v>
      </c>
      <c r="K2486">
        <v>1405529452</v>
      </c>
      <c r="L2486">
        <v>2156326523</v>
      </c>
      <c r="M2486">
        <v>3732897249</v>
      </c>
      <c r="N2486">
        <v>1017327390</v>
      </c>
      <c r="O2486">
        <v>613730732</v>
      </c>
      <c r="P2486">
        <v>142</v>
      </c>
      <c r="Q2486" t="s">
        <v>5291</v>
      </c>
    </row>
    <row r="2487" spans="1:17" x14ac:dyDescent="0.3">
      <c r="A2487" t="s">
        <v>73</v>
      </c>
      <c r="B2487" t="str">
        <f>"300742"</f>
        <v>300742</v>
      </c>
      <c r="C2487" t="s">
        <v>5292</v>
      </c>
      <c r="D2487" t="s">
        <v>122</v>
      </c>
      <c r="E2487">
        <v>337671063</v>
      </c>
      <c r="F2487">
        <v>336105689</v>
      </c>
      <c r="G2487">
        <v>674944589</v>
      </c>
      <c r="H2487">
        <v>1128628334</v>
      </c>
      <c r="I2487">
        <v>861143834</v>
      </c>
      <c r="J2487">
        <v>0</v>
      </c>
      <c r="P2487">
        <v>90</v>
      </c>
      <c r="Q2487" t="s">
        <v>5293</v>
      </c>
    </row>
    <row r="2488" spans="1:17" x14ac:dyDescent="0.3">
      <c r="A2488" t="s">
        <v>73</v>
      </c>
      <c r="B2488" t="str">
        <f>"002917"</f>
        <v>002917</v>
      </c>
      <c r="C2488" t="s">
        <v>5294</v>
      </c>
      <c r="D2488" t="s">
        <v>484</v>
      </c>
      <c r="E2488">
        <v>337568660</v>
      </c>
      <c r="F2488">
        <v>235765488</v>
      </c>
      <c r="G2488">
        <v>207782012</v>
      </c>
      <c r="H2488">
        <v>148009574</v>
      </c>
      <c r="I2488">
        <v>126316631</v>
      </c>
      <c r="P2488">
        <v>67</v>
      </c>
      <c r="Q2488" t="s">
        <v>5295</v>
      </c>
    </row>
    <row r="2489" spans="1:17" x14ac:dyDescent="0.3">
      <c r="A2489" t="s">
        <v>17</v>
      </c>
      <c r="B2489" t="str">
        <f>"600909"</f>
        <v>600909</v>
      </c>
      <c r="C2489" t="s">
        <v>5296</v>
      </c>
      <c r="D2489" t="s">
        <v>53</v>
      </c>
      <c r="E2489">
        <v>337362976</v>
      </c>
      <c r="F2489">
        <v>320157174</v>
      </c>
      <c r="G2489">
        <v>0</v>
      </c>
      <c r="H2489">
        <v>288334458</v>
      </c>
      <c r="I2489">
        <v>41999136</v>
      </c>
      <c r="J2489">
        <v>75475746</v>
      </c>
      <c r="K2489">
        <v>0</v>
      </c>
      <c r="P2489">
        <v>832</v>
      </c>
      <c r="Q2489" t="s">
        <v>5297</v>
      </c>
    </row>
    <row r="2490" spans="1:17" x14ac:dyDescent="0.3">
      <c r="A2490" t="s">
        <v>17</v>
      </c>
      <c r="B2490" t="str">
        <f>"603797"</f>
        <v>603797</v>
      </c>
      <c r="C2490" t="s">
        <v>5298</v>
      </c>
      <c r="D2490" t="s">
        <v>308</v>
      </c>
      <c r="E2490">
        <v>337007206</v>
      </c>
      <c r="F2490">
        <v>141836760</v>
      </c>
      <c r="G2490">
        <v>65178964</v>
      </c>
      <c r="H2490">
        <v>67642438</v>
      </c>
      <c r="I2490">
        <v>26755833</v>
      </c>
      <c r="J2490">
        <v>19807530</v>
      </c>
      <c r="K2490">
        <v>0</v>
      </c>
      <c r="P2490">
        <v>243</v>
      </c>
      <c r="Q2490" t="s">
        <v>5299</v>
      </c>
    </row>
    <row r="2491" spans="1:17" x14ac:dyDescent="0.3">
      <c r="A2491" t="s">
        <v>73</v>
      </c>
      <c r="B2491" t="str">
        <f>"300926"</f>
        <v>300926</v>
      </c>
      <c r="C2491" t="s">
        <v>5300</v>
      </c>
      <c r="D2491" t="s">
        <v>722</v>
      </c>
      <c r="E2491">
        <v>336271940</v>
      </c>
      <c r="F2491">
        <v>190826426</v>
      </c>
      <c r="P2491">
        <v>45</v>
      </c>
      <c r="Q2491" t="s">
        <v>5301</v>
      </c>
    </row>
    <row r="2492" spans="1:17" x14ac:dyDescent="0.3">
      <c r="A2492" t="s">
        <v>73</v>
      </c>
      <c r="B2492" t="str">
        <f>"002038"</f>
        <v>002038</v>
      </c>
      <c r="C2492" t="s">
        <v>5302</v>
      </c>
      <c r="D2492" t="s">
        <v>1505</v>
      </c>
      <c r="E2492">
        <v>335861539</v>
      </c>
      <c r="F2492">
        <v>415003500</v>
      </c>
      <c r="G2492">
        <v>534668536</v>
      </c>
      <c r="H2492">
        <v>0</v>
      </c>
      <c r="I2492">
        <v>606269467</v>
      </c>
      <c r="J2492">
        <v>623927162</v>
      </c>
      <c r="K2492">
        <v>721137768</v>
      </c>
      <c r="L2492">
        <v>627873770</v>
      </c>
      <c r="M2492">
        <v>466705418</v>
      </c>
      <c r="N2492">
        <v>331191961</v>
      </c>
      <c r="O2492">
        <v>220687101</v>
      </c>
      <c r="P2492">
        <v>5163</v>
      </c>
      <c r="Q2492" t="s">
        <v>5303</v>
      </c>
    </row>
    <row r="2493" spans="1:17" x14ac:dyDescent="0.3">
      <c r="A2493" t="s">
        <v>73</v>
      </c>
      <c r="B2493" t="str">
        <f>"002688"</f>
        <v>002688</v>
      </c>
      <c r="C2493" t="s">
        <v>5304</v>
      </c>
      <c r="D2493" t="s">
        <v>2849</v>
      </c>
      <c r="E2493">
        <v>335716922</v>
      </c>
      <c r="F2493">
        <v>338008104</v>
      </c>
      <c r="G2493">
        <v>330050488</v>
      </c>
      <c r="H2493">
        <v>291471313</v>
      </c>
      <c r="I2493">
        <v>263013807</v>
      </c>
      <c r="J2493">
        <v>217775306</v>
      </c>
      <c r="K2493">
        <v>234279156</v>
      </c>
      <c r="L2493">
        <v>129454985</v>
      </c>
      <c r="M2493">
        <v>124745093</v>
      </c>
      <c r="N2493">
        <v>98687980</v>
      </c>
      <c r="O2493">
        <v>0</v>
      </c>
      <c r="P2493">
        <v>167</v>
      </c>
      <c r="Q2493" t="s">
        <v>5305</v>
      </c>
    </row>
    <row r="2494" spans="1:17" x14ac:dyDescent="0.3">
      <c r="A2494" t="s">
        <v>73</v>
      </c>
      <c r="B2494" t="str">
        <f>"300740"</f>
        <v>300740</v>
      </c>
      <c r="C2494" t="s">
        <v>5306</v>
      </c>
      <c r="D2494" t="s">
        <v>2351</v>
      </c>
      <c r="E2494">
        <v>335268657</v>
      </c>
      <c r="F2494">
        <v>238941041</v>
      </c>
      <c r="G2494">
        <v>150138090</v>
      </c>
      <c r="H2494">
        <v>101983461</v>
      </c>
      <c r="I2494">
        <v>50128892</v>
      </c>
      <c r="P2494">
        <v>256</v>
      </c>
      <c r="Q2494" t="s">
        <v>5307</v>
      </c>
    </row>
    <row r="2495" spans="1:17" x14ac:dyDescent="0.3">
      <c r="A2495" t="s">
        <v>17</v>
      </c>
      <c r="B2495" t="str">
        <f>"605117"</f>
        <v>605117</v>
      </c>
      <c r="C2495" t="s">
        <v>5308</v>
      </c>
      <c r="D2495" t="s">
        <v>654</v>
      </c>
      <c r="E2495">
        <v>334793053</v>
      </c>
      <c r="F2495">
        <v>316432487</v>
      </c>
      <c r="P2495">
        <v>141</v>
      </c>
      <c r="Q2495" t="s">
        <v>5309</v>
      </c>
    </row>
    <row r="2496" spans="1:17" x14ac:dyDescent="0.3">
      <c r="A2496" t="s">
        <v>17</v>
      </c>
      <c r="B2496" t="str">
        <f>"688456"</f>
        <v>688456</v>
      </c>
      <c r="C2496" t="s">
        <v>5310</v>
      </c>
      <c r="D2496" t="s">
        <v>452</v>
      </c>
      <c r="E2496">
        <v>334701352</v>
      </c>
      <c r="F2496">
        <v>220274351</v>
      </c>
      <c r="P2496">
        <v>28</v>
      </c>
      <c r="Q2496" t="s">
        <v>5311</v>
      </c>
    </row>
    <row r="2497" spans="1:17" x14ac:dyDescent="0.3">
      <c r="A2497" t="s">
        <v>17</v>
      </c>
      <c r="B2497" t="str">
        <f>"603698"</f>
        <v>603698</v>
      </c>
      <c r="C2497" t="s">
        <v>5312</v>
      </c>
      <c r="D2497" t="s">
        <v>311</v>
      </c>
      <c r="E2497">
        <v>333685435</v>
      </c>
      <c r="F2497">
        <v>374003565</v>
      </c>
      <c r="G2497">
        <v>346733522</v>
      </c>
      <c r="H2497">
        <v>515252472</v>
      </c>
      <c r="I2497">
        <v>707072894</v>
      </c>
      <c r="J2497">
        <v>738510548</v>
      </c>
      <c r="K2497">
        <v>729520690</v>
      </c>
      <c r="L2497">
        <v>622240836</v>
      </c>
      <c r="M2497">
        <v>0</v>
      </c>
      <c r="P2497">
        <v>108</v>
      </c>
      <c r="Q2497" t="s">
        <v>5313</v>
      </c>
    </row>
    <row r="2498" spans="1:17" x14ac:dyDescent="0.3">
      <c r="A2498" t="s">
        <v>73</v>
      </c>
      <c r="B2498" t="str">
        <f>"300382"</f>
        <v>300382</v>
      </c>
      <c r="C2498" t="s">
        <v>5314</v>
      </c>
      <c r="D2498" t="s">
        <v>1451</v>
      </c>
      <c r="E2498">
        <v>333622424</v>
      </c>
      <c r="F2498">
        <v>391490338</v>
      </c>
      <c r="G2498">
        <v>409652626</v>
      </c>
      <c r="H2498">
        <v>336572476</v>
      </c>
      <c r="I2498">
        <v>321813448</v>
      </c>
      <c r="J2498">
        <v>191567268</v>
      </c>
      <c r="K2498">
        <v>132810316</v>
      </c>
      <c r="L2498">
        <v>89980137</v>
      </c>
      <c r="M2498">
        <v>48665240</v>
      </c>
      <c r="N2498">
        <v>0</v>
      </c>
      <c r="P2498">
        <v>182</v>
      </c>
      <c r="Q2498" t="s">
        <v>5315</v>
      </c>
    </row>
    <row r="2499" spans="1:17" x14ac:dyDescent="0.3">
      <c r="A2499" t="s">
        <v>73</v>
      </c>
      <c r="B2499" t="str">
        <f>"002397"</f>
        <v>002397</v>
      </c>
      <c r="C2499" t="s">
        <v>5316</v>
      </c>
      <c r="D2499" t="s">
        <v>4320</v>
      </c>
      <c r="E2499">
        <v>333488393</v>
      </c>
      <c r="F2499">
        <v>323349165</v>
      </c>
      <c r="G2499">
        <v>361810886</v>
      </c>
      <c r="H2499">
        <v>386151001</v>
      </c>
      <c r="I2499">
        <v>415634071</v>
      </c>
      <c r="J2499">
        <v>344383663</v>
      </c>
      <c r="K2499">
        <v>371457343</v>
      </c>
      <c r="L2499">
        <v>215947715</v>
      </c>
      <c r="M2499">
        <v>150424203</v>
      </c>
      <c r="N2499">
        <v>142408504</v>
      </c>
      <c r="O2499">
        <v>132526486</v>
      </c>
      <c r="P2499">
        <v>109</v>
      </c>
      <c r="Q2499" t="s">
        <v>5317</v>
      </c>
    </row>
    <row r="2500" spans="1:17" x14ac:dyDescent="0.3">
      <c r="A2500" t="s">
        <v>17</v>
      </c>
      <c r="B2500" t="str">
        <f>"600668"</f>
        <v>600668</v>
      </c>
      <c r="C2500" t="s">
        <v>5318</v>
      </c>
      <c r="D2500" t="s">
        <v>466</v>
      </c>
      <c r="E2500">
        <v>333369522</v>
      </c>
      <c r="F2500">
        <v>250969994</v>
      </c>
      <c r="G2500">
        <v>296616445</v>
      </c>
      <c r="H2500">
        <v>312486469</v>
      </c>
      <c r="I2500">
        <v>268630879</v>
      </c>
      <c r="J2500">
        <v>250563588</v>
      </c>
      <c r="K2500">
        <v>269579431</v>
      </c>
      <c r="L2500">
        <v>246330125</v>
      </c>
      <c r="M2500">
        <v>230498406</v>
      </c>
      <c r="N2500">
        <v>199871420</v>
      </c>
      <c r="O2500">
        <v>189731162</v>
      </c>
      <c r="P2500">
        <v>343</v>
      </c>
      <c r="Q2500" t="s">
        <v>5319</v>
      </c>
    </row>
    <row r="2501" spans="1:17" x14ac:dyDescent="0.3">
      <c r="A2501" t="s">
        <v>17</v>
      </c>
      <c r="B2501" t="str">
        <f>"603086"</f>
        <v>603086</v>
      </c>
      <c r="C2501" t="s">
        <v>5320</v>
      </c>
      <c r="D2501" t="s">
        <v>272</v>
      </c>
      <c r="E2501">
        <v>333094060</v>
      </c>
      <c r="F2501">
        <v>311467750</v>
      </c>
      <c r="G2501">
        <v>337815721</v>
      </c>
      <c r="H2501">
        <v>398869933</v>
      </c>
      <c r="I2501">
        <v>219327130</v>
      </c>
      <c r="J2501">
        <v>232524820</v>
      </c>
      <c r="P2501">
        <v>124</v>
      </c>
      <c r="Q2501" t="s">
        <v>5321</v>
      </c>
    </row>
    <row r="2502" spans="1:17" x14ac:dyDescent="0.3">
      <c r="A2502" t="s">
        <v>73</v>
      </c>
      <c r="B2502" t="str">
        <f>"000607"</f>
        <v>000607</v>
      </c>
      <c r="C2502" t="s">
        <v>5322</v>
      </c>
      <c r="D2502" t="s">
        <v>1175</v>
      </c>
      <c r="E2502">
        <v>332911522</v>
      </c>
      <c r="F2502">
        <v>334808266</v>
      </c>
      <c r="G2502">
        <v>334303901</v>
      </c>
      <c r="H2502">
        <v>362529261</v>
      </c>
      <c r="I2502">
        <v>400674467</v>
      </c>
      <c r="J2502">
        <v>526997827</v>
      </c>
      <c r="K2502">
        <v>451021268</v>
      </c>
      <c r="L2502">
        <v>439375088</v>
      </c>
      <c r="M2502">
        <v>671080532</v>
      </c>
      <c r="N2502">
        <v>562965585</v>
      </c>
      <c r="O2502">
        <v>516341794</v>
      </c>
      <c r="P2502">
        <v>109</v>
      </c>
      <c r="Q2502" t="s">
        <v>5323</v>
      </c>
    </row>
    <row r="2503" spans="1:17" x14ac:dyDescent="0.3">
      <c r="A2503" t="s">
        <v>17</v>
      </c>
      <c r="B2503" t="str">
        <f>"600979"</f>
        <v>600979</v>
      </c>
      <c r="C2503" t="s">
        <v>5324</v>
      </c>
      <c r="D2503" t="s">
        <v>314</v>
      </c>
      <c r="E2503">
        <v>332374762</v>
      </c>
      <c r="F2503">
        <v>272553402</v>
      </c>
      <c r="G2503">
        <v>259419885</v>
      </c>
      <c r="H2503">
        <v>234767070</v>
      </c>
      <c r="I2503">
        <v>219319573</v>
      </c>
      <c r="J2503">
        <v>147981622</v>
      </c>
      <c r="K2503">
        <v>137333485</v>
      </c>
      <c r="L2503">
        <v>99745210</v>
      </c>
      <c r="M2503">
        <v>86716151</v>
      </c>
      <c r="N2503">
        <v>53939611</v>
      </c>
      <c r="O2503">
        <v>36288839</v>
      </c>
      <c r="P2503">
        <v>117</v>
      </c>
      <c r="Q2503" t="s">
        <v>5325</v>
      </c>
    </row>
    <row r="2504" spans="1:17" x14ac:dyDescent="0.3">
      <c r="A2504" t="s">
        <v>73</v>
      </c>
      <c r="B2504" t="str">
        <f>"300155"</f>
        <v>300155</v>
      </c>
      <c r="C2504" t="s">
        <v>5326</v>
      </c>
      <c r="D2504" t="s">
        <v>119</v>
      </c>
      <c r="E2504">
        <v>332070014</v>
      </c>
      <c r="F2504">
        <v>420228063</v>
      </c>
      <c r="G2504">
        <v>366437895</v>
      </c>
      <c r="H2504">
        <v>322210233</v>
      </c>
      <c r="I2504">
        <v>255486665</v>
      </c>
      <c r="J2504">
        <v>197679549</v>
      </c>
      <c r="K2504">
        <v>193455215</v>
      </c>
      <c r="L2504">
        <v>177793970</v>
      </c>
      <c r="M2504">
        <v>125662895</v>
      </c>
      <c r="N2504">
        <v>61789758</v>
      </c>
      <c r="O2504">
        <v>49450261</v>
      </c>
      <c r="P2504">
        <v>68</v>
      </c>
      <c r="Q2504" t="s">
        <v>5327</v>
      </c>
    </row>
    <row r="2505" spans="1:17" x14ac:dyDescent="0.3">
      <c r="A2505" t="s">
        <v>73</v>
      </c>
      <c r="B2505" t="str">
        <f>"300236"</f>
        <v>300236</v>
      </c>
      <c r="C2505" t="s">
        <v>5328</v>
      </c>
      <c r="D2505" t="s">
        <v>2178</v>
      </c>
      <c r="E2505">
        <v>332012522</v>
      </c>
      <c r="F2505">
        <v>349723922</v>
      </c>
      <c r="G2505">
        <v>275764161</v>
      </c>
      <c r="H2505">
        <v>278510676</v>
      </c>
      <c r="I2505">
        <v>257989460</v>
      </c>
      <c r="J2505">
        <v>252046782</v>
      </c>
      <c r="K2505">
        <v>232922358</v>
      </c>
      <c r="L2505">
        <v>204242043</v>
      </c>
      <c r="M2505">
        <v>165238046</v>
      </c>
      <c r="N2505">
        <v>53322177</v>
      </c>
      <c r="O2505">
        <v>42444671</v>
      </c>
      <c r="P2505">
        <v>414</v>
      </c>
      <c r="Q2505" t="s">
        <v>5329</v>
      </c>
    </row>
    <row r="2506" spans="1:17" x14ac:dyDescent="0.3">
      <c r="A2506" t="s">
        <v>17</v>
      </c>
      <c r="B2506" t="str">
        <f>"600643"</f>
        <v>600643</v>
      </c>
      <c r="C2506" t="s">
        <v>5330</v>
      </c>
      <c r="D2506" t="s">
        <v>3243</v>
      </c>
      <c r="E2506">
        <v>331978928</v>
      </c>
      <c r="F2506">
        <v>843762913</v>
      </c>
      <c r="G2506">
        <v>837660760</v>
      </c>
      <c r="H2506">
        <v>1127836702</v>
      </c>
      <c r="I2506">
        <v>123049308</v>
      </c>
      <c r="J2506">
        <v>154416716</v>
      </c>
      <c r="K2506">
        <v>159041934</v>
      </c>
      <c r="L2506">
        <v>86137381</v>
      </c>
      <c r="M2506">
        <v>13448446</v>
      </c>
      <c r="N2506">
        <v>10004998</v>
      </c>
      <c r="O2506">
        <v>13368559</v>
      </c>
      <c r="P2506">
        <v>344</v>
      </c>
      <c r="Q2506" t="s">
        <v>5331</v>
      </c>
    </row>
    <row r="2507" spans="1:17" x14ac:dyDescent="0.3">
      <c r="A2507" t="s">
        <v>73</v>
      </c>
      <c r="B2507" t="str">
        <f>"002574"</f>
        <v>002574</v>
      </c>
      <c r="C2507" t="s">
        <v>5332</v>
      </c>
      <c r="D2507" t="s">
        <v>1260</v>
      </c>
      <c r="E2507">
        <v>331738153</v>
      </c>
      <c r="F2507">
        <v>348177768</v>
      </c>
      <c r="G2507">
        <v>318630063</v>
      </c>
      <c r="H2507">
        <v>335732534</v>
      </c>
      <c r="I2507">
        <v>435040836</v>
      </c>
      <c r="J2507">
        <v>392600844</v>
      </c>
      <c r="K2507">
        <v>593495325</v>
      </c>
      <c r="L2507">
        <v>900016240</v>
      </c>
      <c r="M2507">
        <v>734786173</v>
      </c>
      <c r="N2507">
        <v>754707576</v>
      </c>
      <c r="O2507">
        <v>521622663</v>
      </c>
      <c r="P2507">
        <v>105</v>
      </c>
      <c r="Q2507" t="s">
        <v>5333</v>
      </c>
    </row>
    <row r="2508" spans="1:17" x14ac:dyDescent="0.3">
      <c r="A2508" t="s">
        <v>73</v>
      </c>
      <c r="B2508" t="str">
        <f>"300801"</f>
        <v>300801</v>
      </c>
      <c r="C2508" t="s">
        <v>5334</v>
      </c>
      <c r="D2508" t="s">
        <v>588</v>
      </c>
      <c r="E2508">
        <v>331672924</v>
      </c>
      <c r="F2508">
        <v>150481903</v>
      </c>
      <c r="G2508">
        <v>176000463</v>
      </c>
      <c r="H2508">
        <v>0</v>
      </c>
      <c r="P2508">
        <v>112</v>
      </c>
      <c r="Q2508" t="s">
        <v>5335</v>
      </c>
    </row>
    <row r="2509" spans="1:17" x14ac:dyDescent="0.3">
      <c r="A2509" t="s">
        <v>73</v>
      </c>
      <c r="B2509" t="str">
        <f>"300890"</f>
        <v>300890</v>
      </c>
      <c r="C2509" t="s">
        <v>5336</v>
      </c>
      <c r="D2509" t="s">
        <v>561</v>
      </c>
      <c r="E2509">
        <v>331330523</v>
      </c>
      <c r="F2509">
        <v>347102930</v>
      </c>
      <c r="J2509">
        <v>115698713</v>
      </c>
      <c r="P2509">
        <v>62</v>
      </c>
      <c r="Q2509" t="s">
        <v>5337</v>
      </c>
    </row>
    <row r="2510" spans="1:17" x14ac:dyDescent="0.3">
      <c r="A2510" t="s">
        <v>17</v>
      </c>
      <c r="B2510" t="str">
        <f>"603985"</f>
        <v>603985</v>
      </c>
      <c r="C2510" t="s">
        <v>5338</v>
      </c>
      <c r="D2510" t="s">
        <v>146</v>
      </c>
      <c r="E2510">
        <v>331294402</v>
      </c>
      <c r="F2510">
        <v>349928958</v>
      </c>
      <c r="G2510">
        <v>320476458</v>
      </c>
      <c r="H2510">
        <v>333188736</v>
      </c>
      <c r="I2510">
        <v>219032117</v>
      </c>
      <c r="J2510">
        <v>135217671</v>
      </c>
      <c r="P2510">
        <v>218</v>
      </c>
      <c r="Q2510" t="s">
        <v>5339</v>
      </c>
    </row>
    <row r="2511" spans="1:17" x14ac:dyDescent="0.3">
      <c r="A2511" t="s">
        <v>17</v>
      </c>
      <c r="B2511" t="str">
        <f>"603533"</f>
        <v>603533</v>
      </c>
      <c r="C2511" t="s">
        <v>5340</v>
      </c>
      <c r="D2511" t="s">
        <v>5341</v>
      </c>
      <c r="E2511">
        <v>330659652</v>
      </c>
      <c r="F2511">
        <v>426168375</v>
      </c>
      <c r="G2511">
        <v>364637558</v>
      </c>
      <c r="H2511">
        <v>219681311</v>
      </c>
      <c r="I2511">
        <v>213782357</v>
      </c>
      <c r="J2511">
        <v>166653181</v>
      </c>
      <c r="P2511">
        <v>872</v>
      </c>
      <c r="Q2511" t="s">
        <v>5342</v>
      </c>
    </row>
    <row r="2512" spans="1:17" x14ac:dyDescent="0.3">
      <c r="A2512" t="s">
        <v>73</v>
      </c>
      <c r="B2512" t="str">
        <f>"002559"</f>
        <v>002559</v>
      </c>
      <c r="C2512" t="s">
        <v>5343</v>
      </c>
      <c r="D2512" t="s">
        <v>2332</v>
      </c>
      <c r="E2512">
        <v>330495572</v>
      </c>
      <c r="F2512">
        <v>304249514</v>
      </c>
      <c r="G2512">
        <v>316680166</v>
      </c>
      <c r="H2512">
        <v>365254907</v>
      </c>
      <c r="I2512">
        <v>356735971</v>
      </c>
      <c r="J2512">
        <v>261494292</v>
      </c>
      <c r="K2512">
        <v>200859397</v>
      </c>
      <c r="L2512">
        <v>117400054</v>
      </c>
      <c r="M2512">
        <v>89783097</v>
      </c>
      <c r="N2512">
        <v>90470689</v>
      </c>
      <c r="O2512">
        <v>84196807</v>
      </c>
      <c r="P2512">
        <v>149</v>
      </c>
      <c r="Q2512" t="s">
        <v>5344</v>
      </c>
    </row>
    <row r="2513" spans="1:17" x14ac:dyDescent="0.3">
      <c r="A2513" t="s">
        <v>73</v>
      </c>
      <c r="B2513" t="str">
        <f>"300940"</f>
        <v>300940</v>
      </c>
      <c r="C2513" t="s">
        <v>5345</v>
      </c>
      <c r="D2513" t="s">
        <v>737</v>
      </c>
      <c r="E2513">
        <v>330372727</v>
      </c>
      <c r="F2513">
        <v>503882467</v>
      </c>
      <c r="P2513">
        <v>39</v>
      </c>
      <c r="Q2513" t="s">
        <v>5346</v>
      </c>
    </row>
    <row r="2514" spans="1:17" x14ac:dyDescent="0.3">
      <c r="A2514" t="s">
        <v>17</v>
      </c>
      <c r="B2514" t="str">
        <f>"688379"</f>
        <v>688379</v>
      </c>
      <c r="C2514" t="s">
        <v>5347</v>
      </c>
      <c r="D2514" t="s">
        <v>146</v>
      </c>
      <c r="E2514">
        <v>330333800</v>
      </c>
      <c r="F2514">
        <v>303343411</v>
      </c>
      <c r="G2514">
        <v>192900716</v>
      </c>
      <c r="P2514">
        <v>36</v>
      </c>
      <c r="Q2514" t="s">
        <v>5348</v>
      </c>
    </row>
    <row r="2515" spans="1:17" x14ac:dyDescent="0.3">
      <c r="A2515" t="s">
        <v>73</v>
      </c>
      <c r="B2515" t="str">
        <f>"002333"</f>
        <v>002333</v>
      </c>
      <c r="C2515" t="s">
        <v>5349</v>
      </c>
      <c r="D2515" t="s">
        <v>808</v>
      </c>
      <c r="E2515">
        <v>330247997</v>
      </c>
      <c r="F2515">
        <v>210844853</v>
      </c>
      <c r="G2515">
        <v>26038416</v>
      </c>
      <c r="H2515">
        <v>48064838</v>
      </c>
      <c r="I2515">
        <v>73738501</v>
      </c>
      <c r="J2515">
        <v>91941287</v>
      </c>
      <c r="K2515">
        <v>77978766</v>
      </c>
      <c r="L2515">
        <v>21683290</v>
      </c>
      <c r="M2515">
        <v>20054561</v>
      </c>
      <c r="N2515">
        <v>17145956</v>
      </c>
      <c r="O2515">
        <v>6301943</v>
      </c>
      <c r="P2515">
        <v>59</v>
      </c>
      <c r="Q2515" t="s">
        <v>5350</v>
      </c>
    </row>
    <row r="2516" spans="1:17" x14ac:dyDescent="0.3">
      <c r="A2516" t="s">
        <v>17</v>
      </c>
      <c r="B2516" t="str">
        <f>"600337"</f>
        <v>600337</v>
      </c>
      <c r="C2516" t="s">
        <v>5351</v>
      </c>
      <c r="D2516" t="s">
        <v>1111</v>
      </c>
      <c r="E2516">
        <v>330067719</v>
      </c>
      <c r="F2516">
        <v>309724642</v>
      </c>
      <c r="G2516">
        <v>220136568</v>
      </c>
      <c r="H2516">
        <v>332360054</v>
      </c>
      <c r="I2516">
        <v>292202739</v>
      </c>
      <c r="J2516">
        <v>112879579</v>
      </c>
      <c r="K2516">
        <v>129949538</v>
      </c>
      <c r="L2516">
        <v>123776423</v>
      </c>
      <c r="M2516">
        <v>146330624</v>
      </c>
      <c r="N2516">
        <v>169679579</v>
      </c>
      <c r="O2516">
        <v>176452275</v>
      </c>
      <c r="P2516">
        <v>226</v>
      </c>
      <c r="Q2516" t="s">
        <v>5352</v>
      </c>
    </row>
    <row r="2517" spans="1:17" x14ac:dyDescent="0.3">
      <c r="A2517" t="s">
        <v>17</v>
      </c>
      <c r="B2517" t="str">
        <f>"603166"</f>
        <v>603166</v>
      </c>
      <c r="C2517" t="s">
        <v>5353</v>
      </c>
      <c r="D2517" t="s">
        <v>122</v>
      </c>
      <c r="E2517">
        <v>329628157</v>
      </c>
      <c r="F2517">
        <v>524951871</v>
      </c>
      <c r="G2517">
        <v>311224886</v>
      </c>
      <c r="H2517">
        <v>399783121</v>
      </c>
      <c r="I2517">
        <v>384551841</v>
      </c>
      <c r="J2517">
        <v>376322381</v>
      </c>
      <c r="K2517">
        <v>379968240</v>
      </c>
      <c r="L2517">
        <v>396953882</v>
      </c>
      <c r="M2517">
        <v>0</v>
      </c>
      <c r="P2517">
        <v>141</v>
      </c>
      <c r="Q2517" t="s">
        <v>5354</v>
      </c>
    </row>
    <row r="2518" spans="1:17" x14ac:dyDescent="0.3">
      <c r="A2518" t="s">
        <v>17</v>
      </c>
      <c r="B2518" t="str">
        <f>"600321"</f>
        <v>600321</v>
      </c>
      <c r="C2518" t="s">
        <v>5355</v>
      </c>
      <c r="D2518" t="s">
        <v>808</v>
      </c>
      <c r="E2518">
        <v>329435610</v>
      </c>
      <c r="F2518">
        <v>243603205</v>
      </c>
      <c r="G2518">
        <v>341041853</v>
      </c>
      <c r="H2518">
        <v>394829455</v>
      </c>
      <c r="I2518">
        <v>138934556</v>
      </c>
      <c r="J2518">
        <v>118107607</v>
      </c>
      <c r="K2518">
        <v>140614201</v>
      </c>
      <c r="L2518">
        <v>119062844</v>
      </c>
      <c r="M2518">
        <v>33820895</v>
      </c>
      <c r="N2518">
        <v>43447252</v>
      </c>
      <c r="O2518">
        <v>27314225</v>
      </c>
      <c r="P2518">
        <v>74</v>
      </c>
      <c r="Q2518" t="s">
        <v>5356</v>
      </c>
    </row>
    <row r="2519" spans="1:17" x14ac:dyDescent="0.3">
      <c r="A2519" t="s">
        <v>17</v>
      </c>
      <c r="B2519" t="str">
        <f>"603868"</f>
        <v>603868</v>
      </c>
      <c r="C2519" t="s">
        <v>5357</v>
      </c>
      <c r="D2519" t="s">
        <v>5358</v>
      </c>
      <c r="E2519">
        <v>328643476</v>
      </c>
      <c r="F2519">
        <v>497150787</v>
      </c>
      <c r="G2519">
        <v>333706837</v>
      </c>
      <c r="H2519">
        <v>289413403</v>
      </c>
      <c r="I2519">
        <v>209645692</v>
      </c>
      <c r="J2519">
        <v>142837634</v>
      </c>
      <c r="K2519">
        <v>69129708</v>
      </c>
      <c r="L2519">
        <v>0</v>
      </c>
      <c r="P2519">
        <v>4435</v>
      </c>
      <c r="Q2519" t="s">
        <v>5359</v>
      </c>
    </row>
    <row r="2520" spans="1:17" x14ac:dyDescent="0.3">
      <c r="A2520" t="s">
        <v>17</v>
      </c>
      <c r="B2520" t="str">
        <f>"600630"</f>
        <v>600630</v>
      </c>
      <c r="C2520" t="s">
        <v>5360</v>
      </c>
      <c r="D2520" t="s">
        <v>991</v>
      </c>
      <c r="E2520">
        <v>328615694</v>
      </c>
      <c r="F2520">
        <v>405773410</v>
      </c>
      <c r="G2520">
        <v>408314505</v>
      </c>
      <c r="H2520">
        <v>380834858</v>
      </c>
      <c r="I2520">
        <v>333106458</v>
      </c>
      <c r="J2520">
        <v>256696943</v>
      </c>
      <c r="K2520">
        <v>284268961</v>
      </c>
      <c r="L2520">
        <v>246623788</v>
      </c>
      <c r="M2520">
        <v>263228326</v>
      </c>
      <c r="N2520">
        <v>256261960</v>
      </c>
      <c r="O2520">
        <v>286122325</v>
      </c>
      <c r="P2520">
        <v>110</v>
      </c>
      <c r="Q2520" t="s">
        <v>5361</v>
      </c>
    </row>
    <row r="2521" spans="1:17" x14ac:dyDescent="0.3">
      <c r="A2521" t="s">
        <v>17</v>
      </c>
      <c r="B2521" t="str">
        <f>"603995"</f>
        <v>603995</v>
      </c>
      <c r="C2521" t="s">
        <v>5362</v>
      </c>
      <c r="D2521" t="s">
        <v>928</v>
      </c>
      <c r="E2521">
        <v>328478341</v>
      </c>
      <c r="F2521">
        <v>186564576</v>
      </c>
      <c r="G2521">
        <v>179807829</v>
      </c>
      <c r="P2521">
        <v>128</v>
      </c>
      <c r="Q2521" t="s">
        <v>5363</v>
      </c>
    </row>
    <row r="2522" spans="1:17" x14ac:dyDescent="0.3">
      <c r="A2522" t="s">
        <v>17</v>
      </c>
      <c r="B2522" t="str">
        <f>"688025"</f>
        <v>688025</v>
      </c>
      <c r="C2522" t="s">
        <v>5364</v>
      </c>
      <c r="D2522" t="s">
        <v>499</v>
      </c>
      <c r="E2522">
        <v>327996269</v>
      </c>
      <c r="F2522">
        <v>275916359</v>
      </c>
      <c r="G2522">
        <v>234777146</v>
      </c>
      <c r="H2522">
        <v>0</v>
      </c>
      <c r="P2522">
        <v>158</v>
      </c>
      <c r="Q2522" t="s">
        <v>5365</v>
      </c>
    </row>
    <row r="2523" spans="1:17" x14ac:dyDescent="0.3">
      <c r="A2523" t="s">
        <v>17</v>
      </c>
      <c r="B2523" t="str">
        <f>"600750"</f>
        <v>600750</v>
      </c>
      <c r="C2523" t="s">
        <v>5366</v>
      </c>
      <c r="D2523" t="s">
        <v>215</v>
      </c>
      <c r="E2523">
        <v>327282814</v>
      </c>
      <c r="F2523">
        <v>200855590</v>
      </c>
      <c r="G2523">
        <v>211433999</v>
      </c>
      <c r="H2523">
        <v>222977566</v>
      </c>
      <c r="I2523">
        <v>21530233</v>
      </c>
      <c r="J2523">
        <v>16810683</v>
      </c>
      <c r="K2523">
        <v>13471372</v>
      </c>
      <c r="L2523">
        <v>175165101</v>
      </c>
      <c r="M2523">
        <v>164716921</v>
      </c>
      <c r="N2523">
        <v>99772153</v>
      </c>
      <c r="O2523">
        <v>66844615</v>
      </c>
      <c r="P2523">
        <v>817</v>
      </c>
      <c r="Q2523" t="s">
        <v>5367</v>
      </c>
    </row>
    <row r="2524" spans="1:17" x14ac:dyDescent="0.3">
      <c r="A2524" t="s">
        <v>73</v>
      </c>
      <c r="B2524" t="str">
        <f>"301135"</f>
        <v>301135</v>
      </c>
      <c r="C2524" t="s">
        <v>5368</v>
      </c>
      <c r="E2524">
        <v>327271896</v>
      </c>
      <c r="P2524">
        <v>1</v>
      </c>
      <c r="Q2524" t="s">
        <v>5369</v>
      </c>
    </row>
    <row r="2525" spans="1:17" x14ac:dyDescent="0.3">
      <c r="A2525" t="s">
        <v>73</v>
      </c>
      <c r="B2525" t="str">
        <f>"000850"</f>
        <v>000850</v>
      </c>
      <c r="C2525" t="s">
        <v>5370</v>
      </c>
      <c r="D2525" t="s">
        <v>2052</v>
      </c>
      <c r="E2525">
        <v>327251943</v>
      </c>
      <c r="F2525">
        <v>335814782</v>
      </c>
      <c r="G2525">
        <v>338593444</v>
      </c>
      <c r="H2525">
        <v>157468030</v>
      </c>
      <c r="I2525">
        <v>227882612</v>
      </c>
      <c r="J2525">
        <v>172074097</v>
      </c>
      <c r="K2525">
        <v>161005913</v>
      </c>
      <c r="L2525">
        <v>168630574</v>
      </c>
      <c r="M2525">
        <v>186999130</v>
      </c>
      <c r="N2525">
        <v>121783711</v>
      </c>
      <c r="O2525">
        <v>155541036</v>
      </c>
      <c r="P2525">
        <v>121</v>
      </c>
      <c r="Q2525" t="s">
        <v>5371</v>
      </c>
    </row>
    <row r="2526" spans="1:17" x14ac:dyDescent="0.3">
      <c r="A2526" t="s">
        <v>17</v>
      </c>
      <c r="B2526" t="str">
        <f>"603538"</f>
        <v>603538</v>
      </c>
      <c r="C2526" t="s">
        <v>5372</v>
      </c>
      <c r="D2526" t="s">
        <v>908</v>
      </c>
      <c r="E2526">
        <v>327073055</v>
      </c>
      <c r="F2526">
        <v>237621269</v>
      </c>
      <c r="G2526">
        <v>163795710</v>
      </c>
      <c r="H2526">
        <v>131154654</v>
      </c>
      <c r="I2526">
        <v>76226617</v>
      </c>
      <c r="J2526">
        <v>49365457</v>
      </c>
      <c r="P2526">
        <v>265</v>
      </c>
      <c r="Q2526" t="s">
        <v>5373</v>
      </c>
    </row>
    <row r="2527" spans="1:17" x14ac:dyDescent="0.3">
      <c r="A2527" t="s">
        <v>17</v>
      </c>
      <c r="B2527" t="str">
        <f>"600190"</f>
        <v>600190</v>
      </c>
      <c r="C2527" t="s">
        <v>5374</v>
      </c>
      <c r="D2527" t="s">
        <v>706</v>
      </c>
      <c r="E2527">
        <v>327049025</v>
      </c>
      <c r="F2527">
        <v>299754505</v>
      </c>
      <c r="G2527">
        <v>329751505</v>
      </c>
      <c r="H2527">
        <v>217605533</v>
      </c>
      <c r="I2527">
        <v>242175482</v>
      </c>
      <c r="J2527">
        <v>702792899</v>
      </c>
      <c r="K2527">
        <v>104386594</v>
      </c>
      <c r="L2527">
        <v>141055112</v>
      </c>
      <c r="M2527">
        <v>227701959</v>
      </c>
      <c r="N2527">
        <v>179751113</v>
      </c>
      <c r="O2527">
        <v>120805383</v>
      </c>
      <c r="P2527">
        <v>90</v>
      </c>
      <c r="Q2527" t="s">
        <v>5375</v>
      </c>
    </row>
    <row r="2528" spans="1:17" x14ac:dyDescent="0.3">
      <c r="A2528" t="s">
        <v>17</v>
      </c>
      <c r="B2528" t="str">
        <f>"603810"</f>
        <v>603810</v>
      </c>
      <c r="C2528" t="s">
        <v>5376</v>
      </c>
      <c r="D2528" t="s">
        <v>272</v>
      </c>
      <c r="E2528">
        <v>326602475</v>
      </c>
      <c r="F2528">
        <v>270778492</v>
      </c>
      <c r="G2528">
        <v>223336866</v>
      </c>
      <c r="H2528">
        <v>189960164</v>
      </c>
      <c r="P2528">
        <v>79</v>
      </c>
      <c r="Q2528" t="s">
        <v>5377</v>
      </c>
    </row>
    <row r="2529" spans="1:17" x14ac:dyDescent="0.3">
      <c r="A2529" t="s">
        <v>73</v>
      </c>
      <c r="B2529" t="str">
        <f>"300909"</f>
        <v>300909</v>
      </c>
      <c r="C2529" t="s">
        <v>5378</v>
      </c>
      <c r="D2529" t="s">
        <v>97</v>
      </c>
      <c r="E2529">
        <v>326373433</v>
      </c>
      <c r="F2529">
        <v>244033145</v>
      </c>
      <c r="P2529">
        <v>65</v>
      </c>
      <c r="Q2529" t="s">
        <v>5379</v>
      </c>
    </row>
    <row r="2530" spans="1:17" x14ac:dyDescent="0.3">
      <c r="A2530" t="s">
        <v>17</v>
      </c>
      <c r="B2530" t="str">
        <f>"601158"</f>
        <v>601158</v>
      </c>
      <c r="C2530" t="s">
        <v>5380</v>
      </c>
      <c r="D2530" t="s">
        <v>308</v>
      </c>
      <c r="E2530">
        <v>326048086</v>
      </c>
      <c r="F2530">
        <v>689109422</v>
      </c>
      <c r="G2530">
        <v>225601506</v>
      </c>
      <c r="H2530">
        <v>839939149</v>
      </c>
      <c r="I2530">
        <v>690653806</v>
      </c>
      <c r="J2530">
        <v>850081832</v>
      </c>
      <c r="K2530">
        <v>1046591925</v>
      </c>
      <c r="L2530">
        <v>675661744</v>
      </c>
      <c r="M2530">
        <v>549510886</v>
      </c>
      <c r="N2530">
        <v>468778919</v>
      </c>
      <c r="O2530">
        <v>546347126</v>
      </c>
      <c r="P2530">
        <v>587</v>
      </c>
      <c r="Q2530" t="s">
        <v>5381</v>
      </c>
    </row>
    <row r="2531" spans="1:17" x14ac:dyDescent="0.3">
      <c r="A2531" t="s">
        <v>17</v>
      </c>
      <c r="B2531" t="str">
        <f>"688268"</f>
        <v>688268</v>
      </c>
      <c r="C2531" t="s">
        <v>5382</v>
      </c>
      <c r="D2531" t="s">
        <v>2178</v>
      </c>
      <c r="E2531">
        <v>325867762</v>
      </c>
      <c r="F2531">
        <v>226313466</v>
      </c>
      <c r="G2531">
        <v>198748035</v>
      </c>
      <c r="H2531">
        <v>0</v>
      </c>
      <c r="P2531">
        <v>184</v>
      </c>
      <c r="Q2531" t="s">
        <v>5383</v>
      </c>
    </row>
    <row r="2532" spans="1:17" x14ac:dyDescent="0.3">
      <c r="A2532" t="s">
        <v>17</v>
      </c>
      <c r="B2532" t="str">
        <f>"603232"</f>
        <v>603232</v>
      </c>
      <c r="C2532" t="s">
        <v>5384</v>
      </c>
      <c r="D2532" t="s">
        <v>795</v>
      </c>
      <c r="E2532">
        <v>325845649</v>
      </c>
      <c r="F2532">
        <v>229928231</v>
      </c>
      <c r="G2532">
        <v>232833065</v>
      </c>
      <c r="H2532">
        <v>204033578</v>
      </c>
      <c r="I2532">
        <v>168733321</v>
      </c>
      <c r="J2532">
        <v>79696292</v>
      </c>
      <c r="P2532">
        <v>159</v>
      </c>
      <c r="Q2532" t="s">
        <v>5385</v>
      </c>
    </row>
    <row r="2533" spans="1:17" x14ac:dyDescent="0.3">
      <c r="A2533" t="s">
        <v>73</v>
      </c>
      <c r="B2533" t="str">
        <f>"300193"</f>
        <v>300193</v>
      </c>
      <c r="C2533" t="s">
        <v>5386</v>
      </c>
      <c r="D2533" t="s">
        <v>873</v>
      </c>
      <c r="E2533">
        <v>325076423</v>
      </c>
      <c r="F2533">
        <v>171950548</v>
      </c>
      <c r="G2533">
        <v>140956788</v>
      </c>
      <c r="H2533">
        <v>136802271</v>
      </c>
      <c r="I2533">
        <v>105759319</v>
      </c>
      <c r="J2533">
        <v>128776737</v>
      </c>
      <c r="K2533">
        <v>130905112</v>
      </c>
      <c r="L2533">
        <v>130071489</v>
      </c>
      <c r="M2533">
        <v>146710106</v>
      </c>
      <c r="N2533">
        <v>171924573</v>
      </c>
      <c r="O2533">
        <v>152783288</v>
      </c>
      <c r="P2533">
        <v>154</v>
      </c>
      <c r="Q2533" t="s">
        <v>5387</v>
      </c>
    </row>
    <row r="2534" spans="1:17" x14ac:dyDescent="0.3">
      <c r="A2534" t="s">
        <v>73</v>
      </c>
      <c r="B2534" t="str">
        <f>"000892"</f>
        <v>000892</v>
      </c>
      <c r="C2534" t="s">
        <v>5388</v>
      </c>
      <c r="D2534" t="s">
        <v>1306</v>
      </c>
      <c r="E2534">
        <v>324716074</v>
      </c>
      <c r="F2534">
        <v>174812773</v>
      </c>
      <c r="G2534">
        <v>1256131638</v>
      </c>
      <c r="H2534">
        <v>2139077143</v>
      </c>
      <c r="I2534">
        <v>1619688798</v>
      </c>
      <c r="J2534">
        <v>630566219</v>
      </c>
      <c r="K2534">
        <v>156250</v>
      </c>
      <c r="L2534">
        <v>0</v>
      </c>
      <c r="M2534">
        <v>0</v>
      </c>
      <c r="N2534">
        <v>0</v>
      </c>
      <c r="O2534">
        <v>364770</v>
      </c>
      <c r="P2534">
        <v>109</v>
      </c>
      <c r="Q2534" t="s">
        <v>5389</v>
      </c>
    </row>
    <row r="2535" spans="1:17" x14ac:dyDescent="0.3">
      <c r="A2535" t="s">
        <v>17</v>
      </c>
      <c r="B2535" t="str">
        <f>"603181"</f>
        <v>603181</v>
      </c>
      <c r="C2535" t="s">
        <v>5390</v>
      </c>
      <c r="D2535" t="s">
        <v>3079</v>
      </c>
      <c r="E2535">
        <v>324666312</v>
      </c>
      <c r="F2535">
        <v>238399151</v>
      </c>
      <c r="G2535">
        <v>171618305</v>
      </c>
      <c r="H2535">
        <v>193699842</v>
      </c>
      <c r="I2535">
        <v>273373785</v>
      </c>
      <c r="J2535">
        <v>0</v>
      </c>
      <c r="P2535">
        <v>160</v>
      </c>
      <c r="Q2535" t="s">
        <v>5391</v>
      </c>
    </row>
    <row r="2536" spans="1:17" x14ac:dyDescent="0.3">
      <c r="A2536" t="s">
        <v>73</v>
      </c>
      <c r="B2536" t="str">
        <f>"300665"</f>
        <v>300665</v>
      </c>
      <c r="C2536" t="s">
        <v>5392</v>
      </c>
      <c r="D2536" t="s">
        <v>3072</v>
      </c>
      <c r="E2536">
        <v>324659670</v>
      </c>
      <c r="F2536">
        <v>340755637</v>
      </c>
      <c r="G2536">
        <v>271947854</v>
      </c>
      <c r="H2536">
        <v>253916537</v>
      </c>
      <c r="I2536">
        <v>203862051</v>
      </c>
      <c r="J2536">
        <v>193385438</v>
      </c>
      <c r="P2536">
        <v>109</v>
      </c>
      <c r="Q2536" t="s">
        <v>5393</v>
      </c>
    </row>
    <row r="2537" spans="1:17" x14ac:dyDescent="0.3">
      <c r="A2537" t="s">
        <v>73</v>
      </c>
      <c r="B2537" t="str">
        <f>"300164"</f>
        <v>300164</v>
      </c>
      <c r="C2537" t="s">
        <v>5394</v>
      </c>
      <c r="D2537" t="s">
        <v>275</v>
      </c>
      <c r="E2537">
        <v>324577820</v>
      </c>
      <c r="F2537">
        <v>343233434</v>
      </c>
      <c r="G2537">
        <v>484395456</v>
      </c>
      <c r="H2537">
        <v>540294212</v>
      </c>
      <c r="I2537">
        <v>545876543</v>
      </c>
      <c r="J2537">
        <v>443103781</v>
      </c>
      <c r="K2537">
        <v>368683289</v>
      </c>
      <c r="L2537">
        <v>483074740</v>
      </c>
      <c r="M2537">
        <v>296110744</v>
      </c>
      <c r="N2537">
        <v>237797890</v>
      </c>
      <c r="O2537">
        <v>267990193</v>
      </c>
      <c r="P2537">
        <v>82</v>
      </c>
      <c r="Q2537" t="s">
        <v>5395</v>
      </c>
    </row>
    <row r="2538" spans="1:17" x14ac:dyDescent="0.3">
      <c r="A2538" t="s">
        <v>73</v>
      </c>
      <c r="B2538" t="str">
        <f>"300494"</f>
        <v>300494</v>
      </c>
      <c r="C2538" t="s">
        <v>5396</v>
      </c>
      <c r="D2538" t="s">
        <v>899</v>
      </c>
      <c r="E2538">
        <v>324418536</v>
      </c>
      <c r="F2538">
        <v>321152076</v>
      </c>
      <c r="G2538">
        <v>266069082</v>
      </c>
      <c r="H2538">
        <v>0</v>
      </c>
      <c r="I2538">
        <v>102343054</v>
      </c>
      <c r="J2538">
        <v>71191566</v>
      </c>
      <c r="K2538">
        <v>45908325</v>
      </c>
      <c r="L2538">
        <v>36467265</v>
      </c>
      <c r="M2538">
        <v>0</v>
      </c>
      <c r="P2538">
        <v>134</v>
      </c>
      <c r="Q2538" t="s">
        <v>5397</v>
      </c>
    </row>
    <row r="2539" spans="1:17" x14ac:dyDescent="0.3">
      <c r="A2539" t="s">
        <v>73</v>
      </c>
      <c r="B2539" t="str">
        <f>"002192"</f>
        <v>002192</v>
      </c>
      <c r="C2539" t="s">
        <v>5398</v>
      </c>
      <c r="D2539" t="s">
        <v>672</v>
      </c>
      <c r="E2539">
        <v>324235623</v>
      </c>
      <c r="F2539">
        <v>139685963</v>
      </c>
      <c r="G2539">
        <v>102818030</v>
      </c>
      <c r="H2539">
        <v>165091589</v>
      </c>
      <c r="I2539">
        <v>115391589</v>
      </c>
      <c r="J2539">
        <v>97532423</v>
      </c>
      <c r="K2539">
        <v>96636403</v>
      </c>
      <c r="L2539">
        <v>81783177</v>
      </c>
      <c r="M2539">
        <v>261775602</v>
      </c>
      <c r="N2539">
        <v>171729531</v>
      </c>
      <c r="O2539">
        <v>167921382</v>
      </c>
      <c r="P2539">
        <v>230</v>
      </c>
      <c r="Q2539" t="s">
        <v>5399</v>
      </c>
    </row>
    <row r="2540" spans="1:17" x14ac:dyDescent="0.3">
      <c r="A2540" t="s">
        <v>17</v>
      </c>
      <c r="B2540" t="str">
        <f>"603444"</f>
        <v>603444</v>
      </c>
      <c r="C2540" t="s">
        <v>5400</v>
      </c>
      <c r="D2540" t="s">
        <v>899</v>
      </c>
      <c r="E2540">
        <v>324218888</v>
      </c>
      <c r="F2540">
        <v>530125876</v>
      </c>
      <c r="G2540">
        <v>343678538</v>
      </c>
      <c r="H2540">
        <v>283228755</v>
      </c>
      <c r="I2540">
        <v>217646406</v>
      </c>
      <c r="J2540">
        <v>207948817</v>
      </c>
      <c r="P2540">
        <v>4237</v>
      </c>
      <c r="Q2540" t="s">
        <v>5401</v>
      </c>
    </row>
    <row r="2541" spans="1:17" x14ac:dyDescent="0.3">
      <c r="A2541" t="s">
        <v>17</v>
      </c>
      <c r="B2541" t="str">
        <f>"603893"</f>
        <v>603893</v>
      </c>
      <c r="C2541" t="s">
        <v>5402</v>
      </c>
      <c r="D2541" t="s">
        <v>890</v>
      </c>
      <c r="E2541">
        <v>323785713</v>
      </c>
      <c r="F2541">
        <v>208559350</v>
      </c>
      <c r="G2541">
        <v>96198946</v>
      </c>
      <c r="H2541">
        <v>0</v>
      </c>
      <c r="P2541">
        <v>444</v>
      </c>
      <c r="Q2541" t="s">
        <v>5403</v>
      </c>
    </row>
    <row r="2542" spans="1:17" x14ac:dyDescent="0.3">
      <c r="A2542" t="s">
        <v>73</v>
      </c>
      <c r="B2542" t="str">
        <f>"002201"</f>
        <v>002201</v>
      </c>
      <c r="C2542" t="s">
        <v>5404</v>
      </c>
      <c r="D2542" t="s">
        <v>598</v>
      </c>
      <c r="E2542">
        <v>323334443</v>
      </c>
      <c r="F2542">
        <v>245758683</v>
      </c>
      <c r="G2542">
        <v>241638193</v>
      </c>
      <c r="H2542">
        <v>259087747</v>
      </c>
      <c r="I2542">
        <v>294113623</v>
      </c>
      <c r="J2542">
        <v>256552108</v>
      </c>
      <c r="K2542">
        <v>163079428</v>
      </c>
      <c r="L2542">
        <v>214651989</v>
      </c>
      <c r="M2542">
        <v>162638891</v>
      </c>
      <c r="N2542">
        <v>179402378</v>
      </c>
      <c r="O2542">
        <v>145698229</v>
      </c>
      <c r="P2542">
        <v>132</v>
      </c>
      <c r="Q2542" t="s">
        <v>5405</v>
      </c>
    </row>
    <row r="2543" spans="1:17" x14ac:dyDescent="0.3">
      <c r="A2543" t="s">
        <v>17</v>
      </c>
      <c r="B2543" t="str">
        <f>"688319"</f>
        <v>688319</v>
      </c>
      <c r="C2543" t="s">
        <v>5406</v>
      </c>
      <c r="D2543" t="s">
        <v>182</v>
      </c>
      <c r="E2543">
        <v>323286223</v>
      </c>
      <c r="F2543">
        <v>192776350</v>
      </c>
      <c r="P2543">
        <v>46</v>
      </c>
      <c r="Q2543" t="s">
        <v>5407</v>
      </c>
    </row>
    <row r="2544" spans="1:17" x14ac:dyDescent="0.3">
      <c r="A2544" t="s">
        <v>73</v>
      </c>
      <c r="B2544" t="str">
        <f>"002012"</f>
        <v>002012</v>
      </c>
      <c r="C2544" t="s">
        <v>5408</v>
      </c>
      <c r="D2544" t="s">
        <v>2185</v>
      </c>
      <c r="E2544">
        <v>322825064</v>
      </c>
      <c r="F2544">
        <v>362953205</v>
      </c>
      <c r="G2544">
        <v>231672740</v>
      </c>
      <c r="H2544">
        <v>239549726</v>
      </c>
      <c r="I2544">
        <v>247113468</v>
      </c>
      <c r="J2544">
        <v>226081695</v>
      </c>
      <c r="K2544">
        <v>246389464</v>
      </c>
      <c r="L2544">
        <v>220872899</v>
      </c>
      <c r="M2544">
        <v>219926477</v>
      </c>
      <c r="N2544">
        <v>198177521</v>
      </c>
      <c r="O2544">
        <v>173232008</v>
      </c>
      <c r="P2544">
        <v>131</v>
      </c>
      <c r="Q2544" t="s">
        <v>5409</v>
      </c>
    </row>
    <row r="2545" spans="1:17" x14ac:dyDescent="0.3">
      <c r="A2545" t="s">
        <v>17</v>
      </c>
      <c r="B2545" t="str">
        <f>"688225"</f>
        <v>688225</v>
      </c>
      <c r="C2545" t="s">
        <v>5410</v>
      </c>
      <c r="E2545">
        <v>322769595</v>
      </c>
      <c r="P2545">
        <v>9</v>
      </c>
      <c r="Q2545" t="s">
        <v>5411</v>
      </c>
    </row>
    <row r="2546" spans="1:17" x14ac:dyDescent="0.3">
      <c r="A2546" t="s">
        <v>73</v>
      </c>
      <c r="B2546" t="str">
        <f>"300738"</f>
        <v>300738</v>
      </c>
      <c r="C2546" t="s">
        <v>5412</v>
      </c>
      <c r="D2546" t="s">
        <v>302</v>
      </c>
      <c r="E2546">
        <v>322721375</v>
      </c>
      <c r="F2546">
        <v>331334055</v>
      </c>
      <c r="G2546">
        <v>182361817</v>
      </c>
      <c r="H2546">
        <v>274079887</v>
      </c>
      <c r="I2546">
        <v>100398526</v>
      </c>
      <c r="J2546">
        <v>0</v>
      </c>
      <c r="P2546">
        <v>300</v>
      </c>
      <c r="Q2546" t="s">
        <v>5413</v>
      </c>
    </row>
    <row r="2547" spans="1:17" x14ac:dyDescent="0.3">
      <c r="A2547" t="s">
        <v>73</v>
      </c>
      <c r="B2547" t="str">
        <f>"300699"</f>
        <v>300699</v>
      </c>
      <c r="C2547" t="s">
        <v>5414</v>
      </c>
      <c r="D2547" t="s">
        <v>130</v>
      </c>
      <c r="E2547">
        <v>321967521</v>
      </c>
      <c r="F2547">
        <v>268160595</v>
      </c>
      <c r="G2547">
        <v>230668854</v>
      </c>
      <c r="H2547">
        <v>1112170331</v>
      </c>
      <c r="I2547">
        <v>798655528</v>
      </c>
      <c r="J2547">
        <v>0</v>
      </c>
      <c r="P2547">
        <v>914</v>
      </c>
      <c r="Q2547" t="s">
        <v>5415</v>
      </c>
    </row>
    <row r="2548" spans="1:17" x14ac:dyDescent="0.3">
      <c r="A2548" t="s">
        <v>73</v>
      </c>
      <c r="B2548" t="str">
        <f>"300591"</f>
        <v>300591</v>
      </c>
      <c r="C2548" t="s">
        <v>5416</v>
      </c>
      <c r="D2548" t="s">
        <v>2601</v>
      </c>
      <c r="E2548">
        <v>321200839</v>
      </c>
      <c r="F2548">
        <v>328002571</v>
      </c>
      <c r="G2548">
        <v>416060429</v>
      </c>
      <c r="H2548">
        <v>450823396</v>
      </c>
      <c r="I2548">
        <v>224974142</v>
      </c>
      <c r="J2548">
        <v>102630914</v>
      </c>
      <c r="K2548">
        <v>0</v>
      </c>
      <c r="P2548">
        <v>88</v>
      </c>
      <c r="Q2548" t="s">
        <v>5417</v>
      </c>
    </row>
    <row r="2549" spans="1:17" x14ac:dyDescent="0.3">
      <c r="A2549" t="s">
        <v>17</v>
      </c>
      <c r="B2549" t="str">
        <f>"600987"</f>
        <v>600987</v>
      </c>
      <c r="C2549" t="s">
        <v>5418</v>
      </c>
      <c r="D2549" t="s">
        <v>1099</v>
      </c>
      <c r="E2549">
        <v>321200436</v>
      </c>
      <c r="F2549">
        <v>239734810</v>
      </c>
      <c r="G2549">
        <v>243092312</v>
      </c>
      <c r="H2549">
        <v>314462293</v>
      </c>
      <c r="I2549">
        <v>243147593</v>
      </c>
      <c r="J2549">
        <v>224169787</v>
      </c>
      <c r="K2549">
        <v>221532060</v>
      </c>
      <c r="L2549">
        <v>198782670</v>
      </c>
      <c r="M2549">
        <v>196992455</v>
      </c>
      <c r="N2549">
        <v>188426780</v>
      </c>
      <c r="O2549">
        <v>165259916</v>
      </c>
      <c r="P2549">
        <v>4846</v>
      </c>
      <c r="Q2549" t="s">
        <v>5419</v>
      </c>
    </row>
    <row r="2550" spans="1:17" x14ac:dyDescent="0.3">
      <c r="A2550" t="s">
        <v>73</v>
      </c>
      <c r="B2550" t="str">
        <f>"000793"</f>
        <v>000793</v>
      </c>
      <c r="C2550" t="s">
        <v>5420</v>
      </c>
      <c r="D2550" t="s">
        <v>1921</v>
      </c>
      <c r="E2550">
        <v>320900108</v>
      </c>
      <c r="F2550">
        <v>664832125</v>
      </c>
      <c r="G2550">
        <v>1055241447</v>
      </c>
      <c r="H2550">
        <v>1468292428</v>
      </c>
      <c r="I2550">
        <v>835006073</v>
      </c>
      <c r="J2550">
        <v>1034352154</v>
      </c>
      <c r="K2550">
        <v>876267600</v>
      </c>
      <c r="L2550">
        <v>743258966</v>
      </c>
      <c r="M2550">
        <v>388807421</v>
      </c>
      <c r="N2550">
        <v>278558007</v>
      </c>
      <c r="O2550">
        <v>232509376</v>
      </c>
      <c r="P2550">
        <v>141</v>
      </c>
      <c r="Q2550" t="s">
        <v>5421</v>
      </c>
    </row>
    <row r="2551" spans="1:17" x14ac:dyDescent="0.3">
      <c r="A2551" t="s">
        <v>17</v>
      </c>
      <c r="B2551" t="str">
        <f>"688248"</f>
        <v>688248</v>
      </c>
      <c r="C2551" t="s">
        <v>5422</v>
      </c>
      <c r="D2551" t="s">
        <v>161</v>
      </c>
      <c r="E2551">
        <v>320845184</v>
      </c>
      <c r="P2551">
        <v>14</v>
      </c>
      <c r="Q2551" t="s">
        <v>5423</v>
      </c>
    </row>
    <row r="2552" spans="1:17" x14ac:dyDescent="0.3">
      <c r="A2552" t="s">
        <v>73</v>
      </c>
      <c r="B2552" t="str">
        <f>"300675"</f>
        <v>300675</v>
      </c>
      <c r="C2552" t="s">
        <v>5424</v>
      </c>
      <c r="D2552" t="s">
        <v>661</v>
      </c>
      <c r="E2552">
        <v>320667880</v>
      </c>
      <c r="F2552">
        <v>331323604</v>
      </c>
      <c r="G2552">
        <v>295456986</v>
      </c>
      <c r="H2552">
        <v>199523539</v>
      </c>
      <c r="I2552">
        <v>179137537</v>
      </c>
      <c r="J2552">
        <v>174864147</v>
      </c>
      <c r="K2552">
        <v>0</v>
      </c>
      <c r="P2552">
        <v>85</v>
      </c>
      <c r="Q2552" t="s">
        <v>5425</v>
      </c>
    </row>
    <row r="2553" spans="1:17" x14ac:dyDescent="0.3">
      <c r="A2553" t="s">
        <v>73</v>
      </c>
      <c r="B2553" t="str">
        <f>"300503"</f>
        <v>300503</v>
      </c>
      <c r="C2553" t="s">
        <v>5426</v>
      </c>
      <c r="D2553" t="s">
        <v>873</v>
      </c>
      <c r="E2553">
        <v>320458688</v>
      </c>
      <c r="F2553">
        <v>337449671</v>
      </c>
      <c r="G2553">
        <v>283833295</v>
      </c>
      <c r="H2553">
        <v>313194233</v>
      </c>
      <c r="I2553">
        <v>268704273</v>
      </c>
      <c r="J2553">
        <v>223863441</v>
      </c>
      <c r="K2553">
        <v>190329016</v>
      </c>
      <c r="L2553">
        <v>0</v>
      </c>
      <c r="P2553">
        <v>136</v>
      </c>
      <c r="Q2553" t="s">
        <v>5427</v>
      </c>
    </row>
    <row r="2554" spans="1:17" x14ac:dyDescent="0.3">
      <c r="A2554" t="s">
        <v>17</v>
      </c>
      <c r="B2554" t="str">
        <f>"600386"</f>
        <v>600386</v>
      </c>
      <c r="C2554" t="s">
        <v>5428</v>
      </c>
      <c r="D2554" t="s">
        <v>415</v>
      </c>
      <c r="E2554">
        <v>320414377</v>
      </c>
      <c r="F2554">
        <v>318626561</v>
      </c>
      <c r="G2554">
        <v>329643733</v>
      </c>
      <c r="H2554">
        <v>290654898</v>
      </c>
      <c r="I2554">
        <v>281020906</v>
      </c>
      <c r="J2554">
        <v>193501933</v>
      </c>
      <c r="K2554">
        <v>246493478</v>
      </c>
      <c r="L2554">
        <v>215490296</v>
      </c>
      <c r="M2554">
        <v>214137491</v>
      </c>
      <c r="N2554">
        <v>246826116</v>
      </c>
      <c r="O2554">
        <v>147854979</v>
      </c>
      <c r="P2554">
        <v>96</v>
      </c>
      <c r="Q2554" t="s">
        <v>5429</v>
      </c>
    </row>
    <row r="2555" spans="1:17" x14ac:dyDescent="0.3">
      <c r="A2555" t="s">
        <v>73</v>
      </c>
      <c r="B2555" t="str">
        <f>"300421"</f>
        <v>300421</v>
      </c>
      <c r="C2555" t="s">
        <v>5430</v>
      </c>
      <c r="D2555" t="s">
        <v>146</v>
      </c>
      <c r="E2555">
        <v>320228885</v>
      </c>
      <c r="F2555">
        <v>291848144</v>
      </c>
      <c r="G2555">
        <v>169367098</v>
      </c>
      <c r="H2555">
        <v>245923978</v>
      </c>
      <c r="I2555">
        <v>243442854</v>
      </c>
      <c r="J2555">
        <v>254120059</v>
      </c>
      <c r="K2555">
        <v>191534929</v>
      </c>
      <c r="L2555">
        <v>164524888</v>
      </c>
      <c r="M2555">
        <v>0</v>
      </c>
      <c r="P2555">
        <v>108</v>
      </c>
      <c r="Q2555" t="s">
        <v>5431</v>
      </c>
    </row>
    <row r="2556" spans="1:17" x14ac:dyDescent="0.3">
      <c r="A2556" t="s">
        <v>73</v>
      </c>
      <c r="B2556" t="str">
        <f>"000410"</f>
        <v>000410</v>
      </c>
      <c r="C2556" t="s">
        <v>5432</v>
      </c>
      <c r="D2556" t="s">
        <v>2332</v>
      </c>
      <c r="E2556">
        <v>320117524</v>
      </c>
      <c r="F2556">
        <v>603432791</v>
      </c>
      <c r="G2556">
        <v>727398317</v>
      </c>
      <c r="H2556">
        <v>4501459810</v>
      </c>
      <c r="I2556">
        <v>5313628463</v>
      </c>
      <c r="J2556">
        <v>7625649422</v>
      </c>
      <c r="K2556">
        <v>8420599745</v>
      </c>
      <c r="L2556">
        <v>7969640684</v>
      </c>
      <c r="M2556">
        <v>6190794720</v>
      </c>
      <c r="N2556">
        <v>4606875502</v>
      </c>
      <c r="O2556">
        <v>3018558106</v>
      </c>
      <c r="P2556">
        <v>101</v>
      </c>
      <c r="Q2556" t="s">
        <v>5433</v>
      </c>
    </row>
    <row r="2557" spans="1:17" x14ac:dyDescent="0.3">
      <c r="A2557" t="s">
        <v>73</v>
      </c>
      <c r="B2557" t="str">
        <f>"300582"</f>
        <v>300582</v>
      </c>
      <c r="C2557" t="s">
        <v>5434</v>
      </c>
      <c r="D2557" t="s">
        <v>737</v>
      </c>
      <c r="E2557">
        <v>319945910</v>
      </c>
      <c r="F2557">
        <v>270937323</v>
      </c>
      <c r="G2557">
        <v>223311280</v>
      </c>
      <c r="H2557">
        <v>180520819</v>
      </c>
      <c r="I2557">
        <v>162379504</v>
      </c>
      <c r="J2557">
        <v>127343979</v>
      </c>
      <c r="K2557">
        <v>0</v>
      </c>
      <c r="P2557">
        <v>152</v>
      </c>
      <c r="Q2557" t="s">
        <v>5435</v>
      </c>
    </row>
    <row r="2558" spans="1:17" x14ac:dyDescent="0.3">
      <c r="A2558" t="s">
        <v>73</v>
      </c>
      <c r="B2558" t="str">
        <f>"300631"</f>
        <v>300631</v>
      </c>
      <c r="C2558" t="s">
        <v>5436</v>
      </c>
      <c r="D2558" t="s">
        <v>540</v>
      </c>
      <c r="E2558">
        <v>319466646</v>
      </c>
      <c r="F2558">
        <v>219374482</v>
      </c>
      <c r="G2558">
        <v>186225485</v>
      </c>
      <c r="H2558">
        <v>230591963</v>
      </c>
      <c r="I2558">
        <v>215055693</v>
      </c>
      <c r="J2558">
        <v>174260537</v>
      </c>
      <c r="K2558">
        <v>0</v>
      </c>
      <c r="P2558">
        <v>135</v>
      </c>
      <c r="Q2558" t="s">
        <v>5437</v>
      </c>
    </row>
    <row r="2559" spans="1:17" x14ac:dyDescent="0.3">
      <c r="A2559" t="s">
        <v>73</v>
      </c>
      <c r="B2559" t="str">
        <f>"300270"</f>
        <v>300270</v>
      </c>
      <c r="C2559" t="s">
        <v>5438</v>
      </c>
      <c r="D2559" t="s">
        <v>119</v>
      </c>
      <c r="E2559">
        <v>318953585</v>
      </c>
      <c r="F2559">
        <v>347061444</v>
      </c>
      <c r="G2559">
        <v>387004248</v>
      </c>
      <c r="H2559">
        <v>437009138</v>
      </c>
      <c r="I2559">
        <v>322001528</v>
      </c>
      <c r="J2559">
        <v>278783569</v>
      </c>
      <c r="K2559">
        <v>349266759</v>
      </c>
      <c r="L2559">
        <v>209028214</v>
      </c>
      <c r="M2559">
        <v>144307293</v>
      </c>
      <c r="N2559">
        <v>131045240</v>
      </c>
      <c r="O2559">
        <v>80176673</v>
      </c>
      <c r="P2559">
        <v>136</v>
      </c>
      <c r="Q2559" t="s">
        <v>5439</v>
      </c>
    </row>
    <row r="2560" spans="1:17" x14ac:dyDescent="0.3">
      <c r="A2560" t="s">
        <v>73</v>
      </c>
      <c r="B2560" t="str">
        <f>"300128"</f>
        <v>300128</v>
      </c>
      <c r="C2560" t="s">
        <v>5440</v>
      </c>
      <c r="D2560" t="s">
        <v>97</v>
      </c>
      <c r="E2560">
        <v>318911183</v>
      </c>
      <c r="F2560">
        <v>341470208</v>
      </c>
      <c r="G2560">
        <v>363515893</v>
      </c>
      <c r="H2560">
        <v>493441810</v>
      </c>
      <c r="I2560">
        <v>772723204</v>
      </c>
      <c r="J2560">
        <v>757353017</v>
      </c>
      <c r="K2560">
        <v>544663961</v>
      </c>
      <c r="L2560">
        <v>726592302</v>
      </c>
      <c r="M2560">
        <v>449647462</v>
      </c>
      <c r="N2560">
        <v>589376445</v>
      </c>
      <c r="O2560">
        <v>358840426</v>
      </c>
      <c r="P2560">
        <v>145</v>
      </c>
      <c r="Q2560" t="s">
        <v>5441</v>
      </c>
    </row>
    <row r="2561" spans="1:17" x14ac:dyDescent="0.3">
      <c r="A2561" t="s">
        <v>73</v>
      </c>
      <c r="B2561" t="str">
        <f>"300959"</f>
        <v>300959</v>
      </c>
      <c r="C2561" t="s">
        <v>5442</v>
      </c>
      <c r="D2561" t="s">
        <v>1004</v>
      </c>
      <c r="E2561">
        <v>318756627</v>
      </c>
      <c r="F2561">
        <v>228988187</v>
      </c>
      <c r="P2561">
        <v>31</v>
      </c>
      <c r="Q2561" t="s">
        <v>5443</v>
      </c>
    </row>
    <row r="2562" spans="1:17" x14ac:dyDescent="0.3">
      <c r="A2562" t="s">
        <v>73</v>
      </c>
      <c r="B2562" t="str">
        <f>"300588"</f>
        <v>300588</v>
      </c>
      <c r="C2562" t="s">
        <v>5444</v>
      </c>
      <c r="D2562" t="s">
        <v>119</v>
      </c>
      <c r="E2562">
        <v>318455409</v>
      </c>
      <c r="F2562">
        <v>453178038</v>
      </c>
      <c r="G2562">
        <v>450050785</v>
      </c>
      <c r="H2562">
        <v>419239495</v>
      </c>
      <c r="I2562">
        <v>417074610</v>
      </c>
      <c r="J2562">
        <v>237602674</v>
      </c>
      <c r="K2562">
        <v>0</v>
      </c>
      <c r="P2562">
        <v>144</v>
      </c>
      <c r="Q2562" t="s">
        <v>5445</v>
      </c>
    </row>
    <row r="2563" spans="1:17" x14ac:dyDescent="0.3">
      <c r="A2563" t="s">
        <v>17</v>
      </c>
      <c r="B2563" t="str">
        <f>"688565"</f>
        <v>688565</v>
      </c>
      <c r="C2563" t="s">
        <v>5446</v>
      </c>
      <c r="D2563" t="s">
        <v>308</v>
      </c>
      <c r="E2563">
        <v>318438288</v>
      </c>
      <c r="F2563">
        <v>308229999</v>
      </c>
      <c r="P2563">
        <v>38</v>
      </c>
      <c r="Q2563" t="s">
        <v>5447</v>
      </c>
    </row>
    <row r="2564" spans="1:17" x14ac:dyDescent="0.3">
      <c r="A2564" t="s">
        <v>73</v>
      </c>
      <c r="B2564" t="str">
        <f>"002799"</f>
        <v>002799</v>
      </c>
      <c r="C2564" t="s">
        <v>5448</v>
      </c>
      <c r="D2564" t="s">
        <v>577</v>
      </c>
      <c r="E2564">
        <v>318234107</v>
      </c>
      <c r="F2564">
        <v>302241083</v>
      </c>
      <c r="G2564">
        <v>303129343</v>
      </c>
      <c r="H2564">
        <v>178919891</v>
      </c>
      <c r="I2564">
        <v>143022552</v>
      </c>
      <c r="J2564">
        <v>137282239</v>
      </c>
      <c r="K2564">
        <v>0</v>
      </c>
      <c r="P2564">
        <v>109</v>
      </c>
      <c r="Q2564" t="s">
        <v>5449</v>
      </c>
    </row>
    <row r="2565" spans="1:17" x14ac:dyDescent="0.3">
      <c r="A2565" t="s">
        <v>73</v>
      </c>
      <c r="B2565" t="str">
        <f>"000729"</f>
        <v>000729</v>
      </c>
      <c r="C2565" t="s">
        <v>5450</v>
      </c>
      <c r="D2565" t="s">
        <v>5451</v>
      </c>
      <c r="E2565">
        <v>318037730</v>
      </c>
      <c r="F2565">
        <v>413444893</v>
      </c>
      <c r="G2565">
        <v>328159867</v>
      </c>
      <c r="H2565">
        <v>247235694</v>
      </c>
      <c r="I2565">
        <v>217099681</v>
      </c>
      <c r="J2565">
        <v>257149137</v>
      </c>
      <c r="K2565">
        <v>156719939</v>
      </c>
      <c r="L2565">
        <v>168688736</v>
      </c>
      <c r="M2565">
        <v>129591734</v>
      </c>
      <c r="N2565">
        <v>137052289</v>
      </c>
      <c r="O2565">
        <v>117261111</v>
      </c>
      <c r="P2565">
        <v>607</v>
      </c>
      <c r="Q2565" t="s">
        <v>5452</v>
      </c>
    </row>
    <row r="2566" spans="1:17" x14ac:dyDescent="0.3">
      <c r="A2566" t="s">
        <v>17</v>
      </c>
      <c r="B2566" t="str">
        <f>"603331"</f>
        <v>603331</v>
      </c>
      <c r="C2566" t="s">
        <v>5453</v>
      </c>
      <c r="D2566" t="s">
        <v>873</v>
      </c>
      <c r="E2566">
        <v>317847633</v>
      </c>
      <c r="F2566">
        <v>333855389</v>
      </c>
      <c r="G2566">
        <v>201145304</v>
      </c>
      <c r="H2566">
        <v>207836205</v>
      </c>
      <c r="I2566">
        <v>203980919</v>
      </c>
      <c r="J2566">
        <v>153187053</v>
      </c>
      <c r="P2566">
        <v>83</v>
      </c>
      <c r="Q2566" t="s">
        <v>5454</v>
      </c>
    </row>
    <row r="2567" spans="1:17" x14ac:dyDescent="0.3">
      <c r="A2567" t="s">
        <v>73</v>
      </c>
      <c r="B2567" t="str">
        <f>"300469"</f>
        <v>300469</v>
      </c>
      <c r="C2567" t="s">
        <v>5455</v>
      </c>
      <c r="D2567" t="s">
        <v>795</v>
      </c>
      <c r="E2567">
        <v>317814734</v>
      </c>
      <c r="F2567">
        <v>415795022</v>
      </c>
      <c r="G2567">
        <v>319875015</v>
      </c>
      <c r="H2567">
        <v>341362975</v>
      </c>
      <c r="I2567">
        <v>305058225</v>
      </c>
      <c r="J2567">
        <v>270067848</v>
      </c>
      <c r="K2567">
        <v>196005544</v>
      </c>
      <c r="L2567">
        <v>117135757</v>
      </c>
      <c r="P2567">
        <v>96</v>
      </c>
      <c r="Q2567" t="s">
        <v>5456</v>
      </c>
    </row>
    <row r="2568" spans="1:17" x14ac:dyDescent="0.3">
      <c r="A2568" t="s">
        <v>17</v>
      </c>
      <c r="B2568" t="str">
        <f>"600506"</f>
        <v>600506</v>
      </c>
      <c r="C2568" t="s">
        <v>5457</v>
      </c>
      <c r="D2568" t="s">
        <v>2090</v>
      </c>
      <c r="E2568">
        <v>317665270</v>
      </c>
      <c r="F2568">
        <v>5224954</v>
      </c>
      <c r="G2568">
        <v>0</v>
      </c>
      <c r="H2568">
        <v>0</v>
      </c>
      <c r="I2568">
        <v>26848973</v>
      </c>
      <c r="J2568">
        <v>6464025</v>
      </c>
      <c r="K2568">
        <v>33079</v>
      </c>
      <c r="L2568">
        <v>888272</v>
      </c>
      <c r="M2568">
        <v>6883489</v>
      </c>
      <c r="N2568">
        <v>12143542</v>
      </c>
      <c r="O2568">
        <v>11626078</v>
      </c>
      <c r="P2568">
        <v>67</v>
      </c>
      <c r="Q2568" t="s">
        <v>5458</v>
      </c>
    </row>
    <row r="2569" spans="1:17" x14ac:dyDescent="0.3">
      <c r="A2569" t="s">
        <v>17</v>
      </c>
      <c r="B2569" t="str">
        <f>"600007"</f>
        <v>600007</v>
      </c>
      <c r="C2569" t="s">
        <v>5459</v>
      </c>
      <c r="D2569" t="s">
        <v>697</v>
      </c>
      <c r="E2569">
        <v>317517879</v>
      </c>
      <c r="F2569">
        <v>417032114</v>
      </c>
      <c r="G2569">
        <v>464904817</v>
      </c>
      <c r="H2569">
        <v>0</v>
      </c>
      <c r="I2569">
        <v>306438310</v>
      </c>
      <c r="J2569">
        <v>166838695</v>
      </c>
      <c r="K2569">
        <v>131356947</v>
      </c>
      <c r="L2569">
        <v>149083550</v>
      </c>
      <c r="M2569">
        <v>159805115</v>
      </c>
      <c r="N2569">
        <v>190612824</v>
      </c>
      <c r="O2569">
        <v>167361779</v>
      </c>
      <c r="P2569">
        <v>328</v>
      </c>
      <c r="Q2569" t="s">
        <v>5460</v>
      </c>
    </row>
    <row r="2570" spans="1:17" x14ac:dyDescent="0.3">
      <c r="A2570" t="s">
        <v>17</v>
      </c>
      <c r="B2570" t="str">
        <f>"600731"</f>
        <v>600731</v>
      </c>
      <c r="C2570" t="s">
        <v>5461</v>
      </c>
      <c r="D2570" t="s">
        <v>272</v>
      </c>
      <c r="E2570">
        <v>317470894</v>
      </c>
      <c r="F2570">
        <v>193698072</v>
      </c>
      <c r="G2570">
        <v>135356706</v>
      </c>
      <c r="H2570">
        <v>189463143</v>
      </c>
      <c r="I2570">
        <v>125504182</v>
      </c>
      <c r="J2570">
        <v>151753855</v>
      </c>
      <c r="K2570">
        <v>107873463</v>
      </c>
      <c r="L2570">
        <v>142082064</v>
      </c>
      <c r="M2570">
        <v>136916519</v>
      </c>
      <c r="N2570">
        <v>162383811</v>
      </c>
      <c r="O2570">
        <v>129435043</v>
      </c>
      <c r="P2570">
        <v>244</v>
      </c>
      <c r="Q2570" t="s">
        <v>5462</v>
      </c>
    </row>
    <row r="2571" spans="1:17" x14ac:dyDescent="0.3">
      <c r="A2571" t="s">
        <v>73</v>
      </c>
      <c r="B2571" t="str">
        <f>"300765"</f>
        <v>300765</v>
      </c>
      <c r="C2571" t="s">
        <v>5463</v>
      </c>
      <c r="D2571" t="s">
        <v>908</v>
      </c>
      <c r="E2571">
        <v>317442413</v>
      </c>
      <c r="F2571">
        <v>186522120</v>
      </c>
      <c r="G2571">
        <v>200168643</v>
      </c>
      <c r="H2571">
        <v>194418833</v>
      </c>
      <c r="I2571">
        <v>0</v>
      </c>
      <c r="P2571">
        <v>173</v>
      </c>
      <c r="Q2571" t="s">
        <v>5464</v>
      </c>
    </row>
    <row r="2572" spans="1:17" x14ac:dyDescent="0.3">
      <c r="A2572" t="s">
        <v>73</v>
      </c>
      <c r="B2572" t="str">
        <f>"300695"</f>
        <v>300695</v>
      </c>
      <c r="C2572" t="s">
        <v>5465</v>
      </c>
      <c r="D2572" t="s">
        <v>781</v>
      </c>
      <c r="E2572">
        <v>316573131</v>
      </c>
      <c r="F2572">
        <v>248302770</v>
      </c>
      <c r="G2572">
        <v>287522592</v>
      </c>
      <c r="H2572">
        <v>185002348</v>
      </c>
      <c r="I2572">
        <v>185889978</v>
      </c>
      <c r="J2572">
        <v>164796936</v>
      </c>
      <c r="P2572">
        <v>125</v>
      </c>
      <c r="Q2572" t="s">
        <v>5466</v>
      </c>
    </row>
    <row r="2573" spans="1:17" x14ac:dyDescent="0.3">
      <c r="A2573" t="s">
        <v>73</v>
      </c>
      <c r="B2573" t="str">
        <f>"300684"</f>
        <v>300684</v>
      </c>
      <c r="C2573" t="s">
        <v>5467</v>
      </c>
      <c r="D2573" t="s">
        <v>42</v>
      </c>
      <c r="E2573">
        <v>316199914</v>
      </c>
      <c r="F2573">
        <v>307401140</v>
      </c>
      <c r="G2573">
        <v>187930331</v>
      </c>
      <c r="H2573">
        <v>100162736</v>
      </c>
      <c r="I2573">
        <v>107374932</v>
      </c>
      <c r="J2573">
        <v>0</v>
      </c>
      <c r="P2573">
        <v>348</v>
      </c>
      <c r="Q2573" t="s">
        <v>5468</v>
      </c>
    </row>
    <row r="2574" spans="1:17" x14ac:dyDescent="0.3">
      <c r="A2574" t="s">
        <v>73</v>
      </c>
      <c r="B2574" t="str">
        <f>"200761"</f>
        <v>200761</v>
      </c>
      <c r="C2574" t="s">
        <v>5469</v>
      </c>
      <c r="E2574">
        <v>315754430.56199998</v>
      </c>
      <c r="F2574">
        <v>273023799.55150002</v>
      </c>
      <c r="G2574">
        <v>254224123.6611</v>
      </c>
      <c r="H2574">
        <v>699753802.59990001</v>
      </c>
      <c r="I2574">
        <v>949335591.15349996</v>
      </c>
      <c r="J2574">
        <v>723493427.27600002</v>
      </c>
      <c r="K2574">
        <v>509154594.04070002</v>
      </c>
      <c r="L2574">
        <v>525971112.5</v>
      </c>
      <c r="M2574">
        <v>492268895.7464</v>
      </c>
      <c r="N2574">
        <v>342183111.94080001</v>
      </c>
      <c r="O2574">
        <v>591124953.70799994</v>
      </c>
      <c r="P2574">
        <v>41</v>
      </c>
      <c r="Q2574" t="s">
        <v>5470</v>
      </c>
    </row>
    <row r="2575" spans="1:17" x14ac:dyDescent="0.3">
      <c r="A2575" t="s">
        <v>73</v>
      </c>
      <c r="B2575" t="str">
        <f>"000880"</f>
        <v>000880</v>
      </c>
      <c r="C2575" t="s">
        <v>5471</v>
      </c>
      <c r="D2575" t="s">
        <v>122</v>
      </c>
      <c r="E2575">
        <v>315710119</v>
      </c>
      <c r="F2575">
        <v>178176762</v>
      </c>
      <c r="G2575">
        <v>97008355</v>
      </c>
      <c r="H2575">
        <v>219421315</v>
      </c>
      <c r="I2575">
        <v>118622010</v>
      </c>
      <c r="J2575">
        <v>146027854</v>
      </c>
      <c r="K2575">
        <v>191354125</v>
      </c>
      <c r="L2575">
        <v>191873021</v>
      </c>
      <c r="M2575">
        <v>83946174</v>
      </c>
      <c r="N2575">
        <v>43552691</v>
      </c>
      <c r="O2575">
        <v>22484587</v>
      </c>
      <c r="P2575">
        <v>102</v>
      </c>
      <c r="Q2575" t="s">
        <v>5472</v>
      </c>
    </row>
    <row r="2576" spans="1:17" x14ac:dyDescent="0.3">
      <c r="A2576" t="s">
        <v>17</v>
      </c>
      <c r="B2576" t="str">
        <f>"603685"</f>
        <v>603685</v>
      </c>
      <c r="C2576" t="s">
        <v>5473</v>
      </c>
      <c r="D2576" t="s">
        <v>737</v>
      </c>
      <c r="E2576">
        <v>315447043</v>
      </c>
      <c r="F2576">
        <v>310860258</v>
      </c>
      <c r="G2576">
        <v>228509454</v>
      </c>
      <c r="H2576">
        <v>237237852</v>
      </c>
      <c r="I2576">
        <v>159288524</v>
      </c>
      <c r="P2576">
        <v>102</v>
      </c>
      <c r="Q2576" t="s">
        <v>5474</v>
      </c>
    </row>
    <row r="2577" spans="1:17" x14ac:dyDescent="0.3">
      <c r="A2577" t="s">
        <v>73</v>
      </c>
      <c r="B2577" t="str">
        <f>"002886"</f>
        <v>002886</v>
      </c>
      <c r="C2577" t="s">
        <v>5475</v>
      </c>
      <c r="D2577" t="s">
        <v>570</v>
      </c>
      <c r="E2577">
        <v>315191937</v>
      </c>
      <c r="F2577">
        <v>286124844</v>
      </c>
      <c r="G2577">
        <v>224329526</v>
      </c>
      <c r="H2577">
        <v>273861714</v>
      </c>
      <c r="I2577">
        <v>248116045</v>
      </c>
      <c r="J2577">
        <v>0</v>
      </c>
      <c r="P2577">
        <v>190</v>
      </c>
      <c r="Q2577" t="s">
        <v>5476</v>
      </c>
    </row>
    <row r="2578" spans="1:17" x14ac:dyDescent="0.3">
      <c r="A2578" t="s">
        <v>73</v>
      </c>
      <c r="B2578" t="str">
        <f>"000909"</f>
        <v>000909</v>
      </c>
      <c r="C2578" t="s">
        <v>5477</v>
      </c>
      <c r="D2578" t="s">
        <v>27</v>
      </c>
      <c r="E2578">
        <v>315086161</v>
      </c>
      <c r="F2578">
        <v>314998113</v>
      </c>
      <c r="G2578">
        <v>243205868</v>
      </c>
      <c r="H2578">
        <v>332179596</v>
      </c>
      <c r="I2578">
        <v>212604296</v>
      </c>
      <c r="J2578">
        <v>322487167</v>
      </c>
      <c r="K2578">
        <v>244112590</v>
      </c>
      <c r="L2578">
        <v>72110731</v>
      </c>
      <c r="M2578">
        <v>66648429</v>
      </c>
      <c r="N2578">
        <v>135913223</v>
      </c>
      <c r="O2578">
        <v>126702742</v>
      </c>
      <c r="P2578">
        <v>206</v>
      </c>
      <c r="Q2578" t="s">
        <v>5478</v>
      </c>
    </row>
    <row r="2579" spans="1:17" x14ac:dyDescent="0.3">
      <c r="A2579" t="s">
        <v>17</v>
      </c>
      <c r="B2579" t="str">
        <f>"688257"</f>
        <v>688257</v>
      </c>
      <c r="C2579" t="s">
        <v>5479</v>
      </c>
      <c r="D2579" t="s">
        <v>146</v>
      </c>
      <c r="E2579">
        <v>314806776</v>
      </c>
      <c r="P2579">
        <v>17</v>
      </c>
      <c r="Q2579" t="s">
        <v>5480</v>
      </c>
    </row>
    <row r="2580" spans="1:17" x14ac:dyDescent="0.3">
      <c r="A2580" t="s">
        <v>73</v>
      </c>
      <c r="B2580" t="str">
        <f>"300400"</f>
        <v>300400</v>
      </c>
      <c r="C2580" t="s">
        <v>5481</v>
      </c>
      <c r="D2580" t="s">
        <v>1967</v>
      </c>
      <c r="E2580">
        <v>314101765</v>
      </c>
      <c r="F2580">
        <v>293676144</v>
      </c>
      <c r="G2580">
        <v>267435880</v>
      </c>
      <c r="H2580">
        <v>159970559</v>
      </c>
      <c r="I2580">
        <v>193744498</v>
      </c>
      <c r="J2580">
        <v>140870620</v>
      </c>
      <c r="K2580">
        <v>94294867</v>
      </c>
      <c r="L2580">
        <v>96641309</v>
      </c>
      <c r="M2580">
        <v>0</v>
      </c>
      <c r="P2580">
        <v>273</v>
      </c>
      <c r="Q2580" t="s">
        <v>5482</v>
      </c>
    </row>
    <row r="2581" spans="1:17" x14ac:dyDescent="0.3">
      <c r="A2581" t="s">
        <v>73</v>
      </c>
      <c r="B2581" t="str">
        <f>"002877"</f>
        <v>002877</v>
      </c>
      <c r="C2581" t="s">
        <v>5483</v>
      </c>
      <c r="D2581" t="s">
        <v>146</v>
      </c>
      <c r="E2581">
        <v>313752925</v>
      </c>
      <c r="F2581">
        <v>211960162</v>
      </c>
      <c r="G2581">
        <v>239059923</v>
      </c>
      <c r="H2581">
        <v>206790780</v>
      </c>
      <c r="I2581">
        <v>226816845</v>
      </c>
      <c r="J2581">
        <v>0</v>
      </c>
      <c r="P2581">
        <v>100</v>
      </c>
      <c r="Q2581" t="s">
        <v>5484</v>
      </c>
    </row>
    <row r="2582" spans="1:17" x14ac:dyDescent="0.3">
      <c r="A2582" t="s">
        <v>73</v>
      </c>
      <c r="B2582" t="str">
        <f>"000058"</f>
        <v>000058</v>
      </c>
      <c r="C2582" t="s">
        <v>5485</v>
      </c>
      <c r="D2582" t="s">
        <v>1463</v>
      </c>
      <c r="E2582">
        <v>313587374</v>
      </c>
      <c r="F2582">
        <v>197625468</v>
      </c>
      <c r="G2582">
        <v>90166616</v>
      </c>
      <c r="H2582">
        <v>74163821</v>
      </c>
      <c r="I2582">
        <v>95441618</v>
      </c>
      <c r="J2582">
        <v>74641654</v>
      </c>
      <c r="K2582">
        <v>97946550</v>
      </c>
      <c r="L2582">
        <v>148239499</v>
      </c>
      <c r="M2582">
        <v>115866760</v>
      </c>
      <c r="N2582">
        <v>14976506</v>
      </c>
      <c r="O2582">
        <v>8561796</v>
      </c>
      <c r="P2582">
        <v>142</v>
      </c>
      <c r="Q2582" t="s">
        <v>5486</v>
      </c>
    </row>
    <row r="2583" spans="1:17" x14ac:dyDescent="0.3">
      <c r="A2583" t="s">
        <v>73</v>
      </c>
      <c r="B2583" t="str">
        <f>"002286"</f>
        <v>002286</v>
      </c>
      <c r="C2583" t="s">
        <v>5487</v>
      </c>
      <c r="D2583" t="s">
        <v>2469</v>
      </c>
      <c r="E2583">
        <v>313411938</v>
      </c>
      <c r="F2583">
        <v>241559255</v>
      </c>
      <c r="G2583">
        <v>196620014</v>
      </c>
      <c r="H2583">
        <v>203295764</v>
      </c>
      <c r="I2583">
        <v>156759665</v>
      </c>
      <c r="J2583">
        <v>153646448</v>
      </c>
      <c r="K2583">
        <v>114487938</v>
      </c>
      <c r="L2583">
        <v>116757439</v>
      </c>
      <c r="M2583">
        <v>92580457</v>
      </c>
      <c r="N2583">
        <v>127041288</v>
      </c>
      <c r="O2583">
        <v>107414564</v>
      </c>
      <c r="P2583">
        <v>179</v>
      </c>
      <c r="Q2583" t="s">
        <v>5488</v>
      </c>
    </row>
    <row r="2584" spans="1:17" x14ac:dyDescent="0.3">
      <c r="A2584" t="s">
        <v>17</v>
      </c>
      <c r="B2584" t="str">
        <f>"605488"</f>
        <v>605488</v>
      </c>
      <c r="C2584" t="s">
        <v>5489</v>
      </c>
      <c r="D2584" t="s">
        <v>3079</v>
      </c>
      <c r="E2584">
        <v>313153553</v>
      </c>
      <c r="F2584">
        <v>259311470</v>
      </c>
      <c r="P2584">
        <v>28</v>
      </c>
      <c r="Q2584" t="s">
        <v>5490</v>
      </c>
    </row>
    <row r="2585" spans="1:17" x14ac:dyDescent="0.3">
      <c r="A2585" t="s">
        <v>73</v>
      </c>
      <c r="B2585" t="str">
        <f>"300965"</f>
        <v>300965</v>
      </c>
      <c r="C2585" t="s">
        <v>5491</v>
      </c>
      <c r="D2585" t="s">
        <v>130</v>
      </c>
      <c r="E2585">
        <v>313113912</v>
      </c>
      <c r="F2585">
        <v>270600267</v>
      </c>
      <c r="P2585">
        <v>31</v>
      </c>
      <c r="Q2585" t="s">
        <v>5492</v>
      </c>
    </row>
    <row r="2586" spans="1:17" x14ac:dyDescent="0.3">
      <c r="A2586" t="s">
        <v>17</v>
      </c>
      <c r="B2586" t="str">
        <f>"603679"</f>
        <v>603679</v>
      </c>
      <c r="C2586" t="s">
        <v>5493</v>
      </c>
      <c r="D2586" t="s">
        <v>737</v>
      </c>
      <c r="E2586">
        <v>312379244</v>
      </c>
      <c r="F2586">
        <v>380134935</v>
      </c>
      <c r="G2586">
        <v>464211360</v>
      </c>
      <c r="H2586">
        <v>273468944</v>
      </c>
      <c r="I2586">
        <v>267621436</v>
      </c>
      <c r="P2586">
        <v>164</v>
      </c>
      <c r="Q2586" t="s">
        <v>5494</v>
      </c>
    </row>
    <row r="2587" spans="1:17" x14ac:dyDescent="0.3">
      <c r="A2587" t="s">
        <v>73</v>
      </c>
      <c r="B2587" t="str">
        <f>"000813"</f>
        <v>000813</v>
      </c>
      <c r="C2587" t="s">
        <v>5495</v>
      </c>
      <c r="D2587" t="s">
        <v>348</v>
      </c>
      <c r="E2587">
        <v>312328042</v>
      </c>
      <c r="F2587">
        <v>273841561</v>
      </c>
      <c r="G2587">
        <v>346702939</v>
      </c>
      <c r="H2587">
        <v>1002462437</v>
      </c>
      <c r="I2587">
        <v>1564719539</v>
      </c>
      <c r="J2587">
        <v>857614493</v>
      </c>
      <c r="K2587">
        <v>20729262</v>
      </c>
      <c r="L2587">
        <v>25710299</v>
      </c>
      <c r="M2587">
        <v>17378957</v>
      </c>
      <c r="N2587">
        <v>33658550</v>
      </c>
      <c r="O2587">
        <v>49525644</v>
      </c>
      <c r="P2587">
        <v>281</v>
      </c>
      <c r="Q2587" t="s">
        <v>5496</v>
      </c>
    </row>
    <row r="2588" spans="1:17" x14ac:dyDescent="0.3">
      <c r="A2588" t="s">
        <v>73</v>
      </c>
      <c r="B2588" t="str">
        <f>"301002"</f>
        <v>301002</v>
      </c>
      <c r="C2588" t="s">
        <v>5497</v>
      </c>
      <c r="D2588" t="s">
        <v>224</v>
      </c>
      <c r="E2588">
        <v>312194963</v>
      </c>
      <c r="F2588">
        <v>302060162</v>
      </c>
      <c r="G2588">
        <v>0</v>
      </c>
      <c r="P2588">
        <v>43</v>
      </c>
      <c r="Q2588" t="s">
        <v>5498</v>
      </c>
    </row>
    <row r="2589" spans="1:17" x14ac:dyDescent="0.3">
      <c r="A2589" t="s">
        <v>73</v>
      </c>
      <c r="B2589" t="str">
        <f>"000899"</f>
        <v>000899</v>
      </c>
      <c r="C2589" t="s">
        <v>5499</v>
      </c>
      <c r="D2589" t="s">
        <v>71</v>
      </c>
      <c r="E2589">
        <v>311906482</v>
      </c>
      <c r="F2589">
        <v>208968608</v>
      </c>
      <c r="G2589">
        <v>245469094</v>
      </c>
      <c r="H2589">
        <v>233475308</v>
      </c>
      <c r="I2589">
        <v>156871513</v>
      </c>
      <c r="J2589">
        <v>284865160</v>
      </c>
      <c r="K2589">
        <v>231661523</v>
      </c>
      <c r="L2589">
        <v>272501234</v>
      </c>
      <c r="M2589">
        <v>275877292</v>
      </c>
      <c r="N2589">
        <v>301688142</v>
      </c>
      <c r="O2589">
        <v>272675823</v>
      </c>
      <c r="P2589">
        <v>174</v>
      </c>
      <c r="Q2589" t="s">
        <v>5500</v>
      </c>
    </row>
    <row r="2590" spans="1:17" x14ac:dyDescent="0.3">
      <c r="A2590" t="s">
        <v>73</v>
      </c>
      <c r="B2590" t="str">
        <f>"300194"</f>
        <v>300194</v>
      </c>
      <c r="C2590" t="s">
        <v>5501</v>
      </c>
      <c r="D2590" t="s">
        <v>348</v>
      </c>
      <c r="E2590">
        <v>311758033</v>
      </c>
      <c r="F2590">
        <v>301618059</v>
      </c>
      <c r="G2590">
        <v>317738067</v>
      </c>
      <c r="H2590">
        <v>298373682</v>
      </c>
      <c r="I2590">
        <v>283227423</v>
      </c>
      <c r="J2590">
        <v>180543541</v>
      </c>
      <c r="K2590">
        <v>170481653</v>
      </c>
      <c r="L2590">
        <v>77137959</v>
      </c>
      <c r="M2590">
        <v>57295436</v>
      </c>
      <c r="N2590">
        <v>64383689</v>
      </c>
      <c r="O2590">
        <v>52829480</v>
      </c>
      <c r="P2590">
        <v>149</v>
      </c>
      <c r="Q2590" t="s">
        <v>5502</v>
      </c>
    </row>
    <row r="2591" spans="1:17" x14ac:dyDescent="0.3">
      <c r="A2591" t="s">
        <v>73</v>
      </c>
      <c r="B2591" t="str">
        <f>"301148"</f>
        <v>301148</v>
      </c>
      <c r="C2591" t="s">
        <v>5503</v>
      </c>
      <c r="E2591">
        <v>311527978</v>
      </c>
      <c r="G2591">
        <v>158103010</v>
      </c>
      <c r="P2591">
        <v>1</v>
      </c>
      <c r="Q2591" t="s">
        <v>5504</v>
      </c>
    </row>
    <row r="2592" spans="1:17" x14ac:dyDescent="0.3">
      <c r="A2592" t="s">
        <v>17</v>
      </c>
      <c r="B2592" t="str">
        <f>"688191"</f>
        <v>688191</v>
      </c>
      <c r="C2592" t="s">
        <v>5505</v>
      </c>
      <c r="D2592" t="s">
        <v>161</v>
      </c>
      <c r="E2592">
        <v>311461201</v>
      </c>
      <c r="F2592">
        <v>170298155</v>
      </c>
      <c r="P2592">
        <v>56</v>
      </c>
      <c r="Q2592" t="s">
        <v>5506</v>
      </c>
    </row>
    <row r="2593" spans="1:17" x14ac:dyDescent="0.3">
      <c r="A2593" t="s">
        <v>17</v>
      </c>
      <c r="B2593" t="str">
        <f>"603360"</f>
        <v>603360</v>
      </c>
      <c r="C2593" t="s">
        <v>5507</v>
      </c>
      <c r="D2593" t="s">
        <v>272</v>
      </c>
      <c r="E2593">
        <v>311331373</v>
      </c>
      <c r="F2593">
        <v>152761358</v>
      </c>
      <c r="G2593">
        <v>151313023</v>
      </c>
      <c r="H2593">
        <v>104212372</v>
      </c>
      <c r="I2593">
        <v>96209322</v>
      </c>
      <c r="J2593">
        <v>78527056</v>
      </c>
      <c r="P2593">
        <v>402</v>
      </c>
      <c r="Q2593" t="s">
        <v>5508</v>
      </c>
    </row>
    <row r="2594" spans="1:17" x14ac:dyDescent="0.3">
      <c r="A2594" t="s">
        <v>73</v>
      </c>
      <c r="B2594" t="str">
        <f>"300671"</f>
        <v>300671</v>
      </c>
      <c r="C2594" t="s">
        <v>5509</v>
      </c>
      <c r="D2594" t="s">
        <v>3360</v>
      </c>
      <c r="E2594">
        <v>311136140</v>
      </c>
      <c r="F2594">
        <v>421592777</v>
      </c>
      <c r="G2594">
        <v>284823035</v>
      </c>
      <c r="H2594">
        <v>250870802</v>
      </c>
      <c r="I2594">
        <v>201968505</v>
      </c>
      <c r="J2594">
        <v>145073161</v>
      </c>
      <c r="K2594">
        <v>0</v>
      </c>
      <c r="P2594">
        <v>301</v>
      </c>
      <c r="Q2594" t="s">
        <v>5510</v>
      </c>
    </row>
    <row r="2595" spans="1:17" x14ac:dyDescent="0.3">
      <c r="A2595" t="s">
        <v>73</v>
      </c>
      <c r="B2595" t="str">
        <f>"002435"</f>
        <v>002435</v>
      </c>
      <c r="C2595" t="s">
        <v>5511</v>
      </c>
      <c r="D2595" t="s">
        <v>348</v>
      </c>
      <c r="E2595">
        <v>311110496</v>
      </c>
      <c r="F2595">
        <v>493031535</v>
      </c>
      <c r="G2595">
        <v>460854947</v>
      </c>
      <c r="H2595">
        <v>663989382</v>
      </c>
      <c r="I2595">
        <v>415323960</v>
      </c>
      <c r="J2595">
        <v>193548507</v>
      </c>
      <c r="K2595">
        <v>109080393</v>
      </c>
      <c r="L2595">
        <v>110994978</v>
      </c>
      <c r="M2595">
        <v>81029945</v>
      </c>
      <c r="N2595">
        <v>90147697</v>
      </c>
      <c r="O2595">
        <v>85893035</v>
      </c>
      <c r="P2595">
        <v>139</v>
      </c>
      <c r="Q2595" t="s">
        <v>5512</v>
      </c>
    </row>
    <row r="2596" spans="1:17" x14ac:dyDescent="0.3">
      <c r="A2596" t="s">
        <v>73</v>
      </c>
      <c r="B2596" t="str">
        <f>"300049"</f>
        <v>300049</v>
      </c>
      <c r="C2596" t="s">
        <v>5513</v>
      </c>
      <c r="D2596" t="s">
        <v>692</v>
      </c>
      <c r="E2596">
        <v>310996166</v>
      </c>
      <c r="F2596">
        <v>265188322</v>
      </c>
      <c r="G2596">
        <v>274498024</v>
      </c>
      <c r="H2596">
        <v>0</v>
      </c>
      <c r="I2596">
        <v>279658066</v>
      </c>
      <c r="J2596">
        <v>218308544</v>
      </c>
      <c r="K2596">
        <v>134050356</v>
      </c>
      <c r="L2596">
        <v>151855378</v>
      </c>
      <c r="M2596">
        <v>135271857</v>
      </c>
      <c r="N2596">
        <v>120746976</v>
      </c>
      <c r="O2596">
        <v>93041520</v>
      </c>
      <c r="P2596">
        <v>144</v>
      </c>
      <c r="Q2596" t="s">
        <v>5514</v>
      </c>
    </row>
    <row r="2597" spans="1:17" x14ac:dyDescent="0.3">
      <c r="A2597" t="s">
        <v>17</v>
      </c>
      <c r="B2597" t="str">
        <f>"605058"</f>
        <v>605058</v>
      </c>
      <c r="C2597" t="s">
        <v>5515</v>
      </c>
      <c r="D2597" t="s">
        <v>418</v>
      </c>
      <c r="E2597">
        <v>310806511</v>
      </c>
      <c r="F2597">
        <v>306539349</v>
      </c>
      <c r="P2597">
        <v>48</v>
      </c>
      <c r="Q2597" t="s">
        <v>5516</v>
      </c>
    </row>
    <row r="2598" spans="1:17" x14ac:dyDescent="0.3">
      <c r="A2598" t="s">
        <v>73</v>
      </c>
      <c r="B2598" t="str">
        <f>"300581"</f>
        <v>300581</v>
      </c>
      <c r="C2598" t="s">
        <v>5517</v>
      </c>
      <c r="D2598" t="s">
        <v>130</v>
      </c>
      <c r="E2598">
        <v>310724880</v>
      </c>
      <c r="F2598">
        <v>254392826</v>
      </c>
      <c r="G2598">
        <v>221674247</v>
      </c>
      <c r="H2598">
        <v>159814685</v>
      </c>
      <c r="I2598">
        <v>133722244</v>
      </c>
      <c r="J2598">
        <v>141197238</v>
      </c>
      <c r="K2598">
        <v>0</v>
      </c>
      <c r="P2598">
        <v>151</v>
      </c>
      <c r="Q2598" t="s">
        <v>5518</v>
      </c>
    </row>
    <row r="2599" spans="1:17" x14ac:dyDescent="0.3">
      <c r="A2599" t="s">
        <v>17</v>
      </c>
      <c r="B2599" t="str">
        <f>"600724"</f>
        <v>600724</v>
      </c>
      <c r="C2599" t="s">
        <v>5519</v>
      </c>
      <c r="D2599" t="s">
        <v>90</v>
      </c>
      <c r="E2599">
        <v>310406074</v>
      </c>
      <c r="F2599">
        <v>91619480</v>
      </c>
      <c r="G2599">
        <v>92892170</v>
      </c>
      <c r="H2599">
        <v>195796751</v>
      </c>
      <c r="I2599">
        <v>241937592</v>
      </c>
      <c r="J2599">
        <v>229452049</v>
      </c>
      <c r="K2599">
        <v>202146755</v>
      </c>
      <c r="L2599">
        <v>161613511</v>
      </c>
      <c r="M2599">
        <v>177811609</v>
      </c>
      <c r="N2599">
        <v>170539843</v>
      </c>
      <c r="O2599">
        <v>119233869</v>
      </c>
      <c r="P2599">
        <v>169</v>
      </c>
      <c r="Q2599" t="s">
        <v>5520</v>
      </c>
    </row>
    <row r="2600" spans="1:17" x14ac:dyDescent="0.3">
      <c r="A2600" t="s">
        <v>73</v>
      </c>
      <c r="B2600" t="str">
        <f>"002869"</f>
        <v>002869</v>
      </c>
      <c r="C2600" t="s">
        <v>5521</v>
      </c>
      <c r="D2600" t="s">
        <v>651</v>
      </c>
      <c r="E2600">
        <v>310297646</v>
      </c>
      <c r="F2600">
        <v>427306107</v>
      </c>
      <c r="G2600">
        <v>791710138</v>
      </c>
      <c r="H2600">
        <v>341178173</v>
      </c>
      <c r="I2600">
        <v>295260760</v>
      </c>
      <c r="J2600">
        <v>268488445</v>
      </c>
      <c r="P2600">
        <v>600</v>
      </c>
      <c r="Q2600" t="s">
        <v>5522</v>
      </c>
    </row>
    <row r="2601" spans="1:17" x14ac:dyDescent="0.3">
      <c r="A2601" t="s">
        <v>73</v>
      </c>
      <c r="B2601" t="str">
        <f>"300167"</f>
        <v>300167</v>
      </c>
      <c r="C2601" t="s">
        <v>5523</v>
      </c>
      <c r="D2601" t="s">
        <v>302</v>
      </c>
      <c r="E2601">
        <v>310173975</v>
      </c>
      <c r="F2601">
        <v>257344108</v>
      </c>
      <c r="G2601">
        <v>323194948</v>
      </c>
      <c r="H2601">
        <v>0</v>
      </c>
      <c r="I2601">
        <v>239679414</v>
      </c>
      <c r="J2601">
        <v>194107414</v>
      </c>
      <c r="K2601">
        <v>226128947</v>
      </c>
      <c r="L2601">
        <v>226791657</v>
      </c>
      <c r="M2601">
        <v>174174242</v>
      </c>
      <c r="N2601">
        <v>170260490</v>
      </c>
      <c r="O2601">
        <v>175052677</v>
      </c>
      <c r="P2601">
        <v>131</v>
      </c>
      <c r="Q2601" t="s">
        <v>5524</v>
      </c>
    </row>
    <row r="2602" spans="1:17" x14ac:dyDescent="0.3">
      <c r="A2602" t="s">
        <v>17</v>
      </c>
      <c r="B2602" t="str">
        <f>"603051"</f>
        <v>603051</v>
      </c>
      <c r="C2602" t="s">
        <v>5525</v>
      </c>
      <c r="E2602">
        <v>310145307</v>
      </c>
      <c r="P2602">
        <v>3</v>
      </c>
      <c r="Q2602" t="s">
        <v>5526</v>
      </c>
    </row>
    <row r="2603" spans="1:17" x14ac:dyDescent="0.3">
      <c r="A2603" t="s">
        <v>17</v>
      </c>
      <c r="B2603" t="str">
        <f>"600961"</f>
        <v>600961</v>
      </c>
      <c r="C2603" t="s">
        <v>5527</v>
      </c>
      <c r="D2603" t="s">
        <v>3053</v>
      </c>
      <c r="E2603">
        <v>310136762</v>
      </c>
      <c r="F2603">
        <v>304991551</v>
      </c>
      <c r="G2603">
        <v>312380842</v>
      </c>
      <c r="H2603">
        <v>217183117</v>
      </c>
      <c r="I2603">
        <v>174495578</v>
      </c>
      <c r="J2603">
        <v>190341546</v>
      </c>
      <c r="K2603">
        <v>129403287</v>
      </c>
      <c r="L2603">
        <v>267509528</v>
      </c>
      <c r="M2603">
        <v>262079459</v>
      </c>
      <c r="N2603">
        <v>249270928</v>
      </c>
      <c r="O2603">
        <v>252892966</v>
      </c>
      <c r="P2603">
        <v>127</v>
      </c>
      <c r="Q2603" t="s">
        <v>5528</v>
      </c>
    </row>
    <row r="2604" spans="1:17" x14ac:dyDescent="0.3">
      <c r="A2604" t="s">
        <v>73</v>
      </c>
      <c r="B2604" t="str">
        <f>"002800"</f>
        <v>002800</v>
      </c>
      <c r="C2604" t="s">
        <v>5529</v>
      </c>
      <c r="D2604" t="s">
        <v>1341</v>
      </c>
      <c r="E2604">
        <v>310130752</v>
      </c>
      <c r="F2604">
        <v>316057195</v>
      </c>
      <c r="G2604">
        <v>345472387</v>
      </c>
      <c r="H2604">
        <v>191912745</v>
      </c>
      <c r="I2604">
        <v>193132928</v>
      </c>
      <c r="J2604">
        <v>227519723</v>
      </c>
      <c r="K2604">
        <v>186804616</v>
      </c>
      <c r="L2604">
        <v>0</v>
      </c>
      <c r="P2604">
        <v>86</v>
      </c>
      <c r="Q2604" t="s">
        <v>5530</v>
      </c>
    </row>
    <row r="2605" spans="1:17" x14ac:dyDescent="0.3">
      <c r="A2605" t="s">
        <v>17</v>
      </c>
      <c r="B2605" t="str">
        <f>"688227"</f>
        <v>688227</v>
      </c>
      <c r="C2605" t="s">
        <v>5531</v>
      </c>
      <c r="D2605" t="s">
        <v>302</v>
      </c>
      <c r="E2605">
        <v>309968134</v>
      </c>
      <c r="P2605">
        <v>13</v>
      </c>
      <c r="Q2605" t="s">
        <v>5532</v>
      </c>
    </row>
    <row r="2606" spans="1:17" x14ac:dyDescent="0.3">
      <c r="A2606" t="s">
        <v>73</v>
      </c>
      <c r="B2606" t="str">
        <f>"300949"</f>
        <v>300949</v>
      </c>
      <c r="C2606" t="s">
        <v>5533</v>
      </c>
      <c r="D2606" t="s">
        <v>445</v>
      </c>
      <c r="E2606">
        <v>309715384</v>
      </c>
      <c r="F2606">
        <v>217454315</v>
      </c>
      <c r="P2606">
        <v>39</v>
      </c>
      <c r="Q2606" t="s">
        <v>5534</v>
      </c>
    </row>
    <row r="2607" spans="1:17" x14ac:dyDescent="0.3">
      <c r="A2607" t="s">
        <v>17</v>
      </c>
      <c r="B2607" t="str">
        <f>"600187"</f>
        <v>600187</v>
      </c>
      <c r="C2607" t="s">
        <v>5535</v>
      </c>
      <c r="D2607" t="s">
        <v>308</v>
      </c>
      <c r="E2607">
        <v>309623804</v>
      </c>
      <c r="F2607">
        <v>250065773</v>
      </c>
      <c r="G2607">
        <v>231053084</v>
      </c>
      <c r="H2607">
        <v>321446011</v>
      </c>
      <c r="I2607">
        <v>320969800</v>
      </c>
      <c r="J2607">
        <v>250196661</v>
      </c>
      <c r="K2607">
        <v>173445584</v>
      </c>
      <c r="L2607">
        <v>456554725</v>
      </c>
      <c r="M2607">
        <v>392099026</v>
      </c>
      <c r="N2607">
        <v>161856943</v>
      </c>
      <c r="O2607">
        <v>105427373</v>
      </c>
      <c r="P2607">
        <v>116</v>
      </c>
      <c r="Q2607" t="s">
        <v>5536</v>
      </c>
    </row>
    <row r="2608" spans="1:17" x14ac:dyDescent="0.3">
      <c r="A2608" t="s">
        <v>73</v>
      </c>
      <c r="B2608" t="str">
        <f>"002963"</f>
        <v>002963</v>
      </c>
      <c r="C2608" t="s">
        <v>5537</v>
      </c>
      <c r="D2608" t="s">
        <v>258</v>
      </c>
      <c r="E2608">
        <v>309455038</v>
      </c>
      <c r="F2608">
        <v>489785920</v>
      </c>
      <c r="G2608">
        <v>385901062</v>
      </c>
      <c r="P2608">
        <v>75</v>
      </c>
      <c r="Q2608" t="s">
        <v>5538</v>
      </c>
    </row>
    <row r="2609" spans="1:17" x14ac:dyDescent="0.3">
      <c r="A2609" t="s">
        <v>73</v>
      </c>
      <c r="B2609" t="str">
        <f>"300792"</f>
        <v>300792</v>
      </c>
      <c r="C2609" t="s">
        <v>5539</v>
      </c>
      <c r="D2609" t="s">
        <v>1960</v>
      </c>
      <c r="E2609">
        <v>309388516</v>
      </c>
      <c r="F2609">
        <v>190373915</v>
      </c>
      <c r="G2609">
        <v>118697625</v>
      </c>
      <c r="H2609">
        <v>0</v>
      </c>
      <c r="P2609">
        <v>369</v>
      </c>
      <c r="Q2609" t="s">
        <v>5540</v>
      </c>
    </row>
    <row r="2610" spans="1:17" x14ac:dyDescent="0.3">
      <c r="A2610" t="s">
        <v>73</v>
      </c>
      <c r="B2610" t="str">
        <f>"002292"</f>
        <v>002292</v>
      </c>
      <c r="C2610" t="s">
        <v>5541</v>
      </c>
      <c r="D2610" t="s">
        <v>1306</v>
      </c>
      <c r="E2610">
        <v>309183680</v>
      </c>
      <c r="F2610">
        <v>393506379</v>
      </c>
      <c r="G2610">
        <v>456655364</v>
      </c>
      <c r="H2610">
        <v>469448784</v>
      </c>
      <c r="I2610">
        <v>720956370</v>
      </c>
      <c r="J2610">
        <v>619982068</v>
      </c>
      <c r="K2610">
        <v>823573640</v>
      </c>
      <c r="L2610">
        <v>476583518</v>
      </c>
      <c r="M2610">
        <v>271851514</v>
      </c>
      <c r="N2610">
        <v>192011876</v>
      </c>
      <c r="O2610">
        <v>234137271</v>
      </c>
      <c r="P2610">
        <v>291</v>
      </c>
      <c r="Q2610" t="s">
        <v>5542</v>
      </c>
    </row>
    <row r="2611" spans="1:17" x14ac:dyDescent="0.3">
      <c r="A2611" t="s">
        <v>73</v>
      </c>
      <c r="B2611" t="str">
        <f>"001296"</f>
        <v>001296</v>
      </c>
      <c r="C2611" t="s">
        <v>5543</v>
      </c>
      <c r="D2611" t="s">
        <v>1674</v>
      </c>
      <c r="E2611">
        <v>309062966</v>
      </c>
      <c r="P2611">
        <v>15</v>
      </c>
      <c r="Q2611" t="s">
        <v>5544</v>
      </c>
    </row>
    <row r="2612" spans="1:17" x14ac:dyDescent="0.3">
      <c r="A2612" t="s">
        <v>73</v>
      </c>
      <c r="B2612" t="str">
        <f>"000890"</f>
        <v>000890</v>
      </c>
      <c r="C2612" t="s">
        <v>5545</v>
      </c>
      <c r="D2612" t="s">
        <v>146</v>
      </c>
      <c r="E2612">
        <v>308751991</v>
      </c>
      <c r="F2612">
        <v>158475985</v>
      </c>
      <c r="G2612">
        <v>114749160</v>
      </c>
      <c r="H2612">
        <v>239881491</v>
      </c>
      <c r="I2612">
        <v>275055479</v>
      </c>
      <c r="J2612">
        <v>684173603</v>
      </c>
      <c r="K2612">
        <v>680567603</v>
      </c>
      <c r="L2612">
        <v>605000521</v>
      </c>
      <c r="M2612">
        <v>674482300</v>
      </c>
      <c r="N2612">
        <v>608528733</v>
      </c>
      <c r="O2612">
        <v>664101292</v>
      </c>
      <c r="P2612">
        <v>133</v>
      </c>
      <c r="Q2612" t="s">
        <v>5546</v>
      </c>
    </row>
    <row r="2613" spans="1:17" x14ac:dyDescent="0.3">
      <c r="A2613" t="s">
        <v>73</v>
      </c>
      <c r="B2613" t="str">
        <f>"002853"</f>
        <v>002853</v>
      </c>
      <c r="C2613" t="s">
        <v>5547</v>
      </c>
      <c r="D2613" t="s">
        <v>2533</v>
      </c>
      <c r="E2613">
        <v>308094638</v>
      </c>
      <c r="F2613">
        <v>183606459</v>
      </c>
      <c r="G2613">
        <v>215778549</v>
      </c>
      <c r="H2613">
        <v>139390606</v>
      </c>
      <c r="I2613">
        <v>156783168</v>
      </c>
      <c r="J2613">
        <v>48475676</v>
      </c>
      <c r="P2613">
        <v>379</v>
      </c>
      <c r="Q2613" t="s">
        <v>5548</v>
      </c>
    </row>
    <row r="2614" spans="1:17" x14ac:dyDescent="0.3">
      <c r="A2614" t="s">
        <v>73</v>
      </c>
      <c r="B2614" t="str">
        <f>"300608"</f>
        <v>300608</v>
      </c>
      <c r="C2614" t="s">
        <v>5549</v>
      </c>
      <c r="D2614" t="s">
        <v>795</v>
      </c>
      <c r="E2614">
        <v>307326197</v>
      </c>
      <c r="F2614">
        <v>310483665</v>
      </c>
      <c r="G2614">
        <v>498013825</v>
      </c>
      <c r="H2614">
        <v>322168988</v>
      </c>
      <c r="I2614">
        <v>331559915</v>
      </c>
      <c r="J2614">
        <v>282492709</v>
      </c>
      <c r="K2614">
        <v>0</v>
      </c>
      <c r="P2614">
        <v>217</v>
      </c>
      <c r="Q2614" t="s">
        <v>5550</v>
      </c>
    </row>
    <row r="2615" spans="1:17" x14ac:dyDescent="0.3">
      <c r="A2615" t="s">
        <v>17</v>
      </c>
      <c r="B2615" t="str">
        <f>"600020"</f>
        <v>600020</v>
      </c>
      <c r="C2615" t="s">
        <v>5551</v>
      </c>
      <c r="D2615" t="s">
        <v>1592</v>
      </c>
      <c r="E2615">
        <v>307261751</v>
      </c>
      <c r="F2615">
        <v>410307788</v>
      </c>
      <c r="G2615">
        <v>65547524</v>
      </c>
      <c r="H2615">
        <v>365530352</v>
      </c>
      <c r="I2615">
        <v>213248562</v>
      </c>
      <c r="J2615">
        <v>140994874</v>
      </c>
      <c r="K2615">
        <v>131423715</v>
      </c>
      <c r="L2615">
        <v>143655973</v>
      </c>
      <c r="M2615">
        <v>178654434</v>
      </c>
      <c r="N2615">
        <v>92177402</v>
      </c>
      <c r="O2615">
        <v>72692235</v>
      </c>
      <c r="P2615">
        <v>386</v>
      </c>
      <c r="Q2615" t="s">
        <v>5552</v>
      </c>
    </row>
    <row r="2616" spans="1:17" x14ac:dyDescent="0.3">
      <c r="A2616" t="s">
        <v>73</v>
      </c>
      <c r="B2616" t="str">
        <f>"000523"</f>
        <v>000523</v>
      </c>
      <c r="C2616" t="s">
        <v>5553</v>
      </c>
      <c r="D2616" t="s">
        <v>5554</v>
      </c>
      <c r="E2616">
        <v>307176041</v>
      </c>
      <c r="F2616">
        <v>444145521</v>
      </c>
      <c r="G2616">
        <v>3017240832</v>
      </c>
      <c r="H2616">
        <v>2985043758</v>
      </c>
      <c r="I2616">
        <v>2575396425</v>
      </c>
      <c r="J2616">
        <v>1744990841</v>
      </c>
      <c r="K2616">
        <v>1199631914</v>
      </c>
      <c r="L2616">
        <v>792299011</v>
      </c>
      <c r="M2616">
        <v>542384237</v>
      </c>
      <c r="N2616">
        <v>292560151</v>
      </c>
      <c r="O2616">
        <v>208557599</v>
      </c>
      <c r="P2616">
        <v>97</v>
      </c>
      <c r="Q2616" t="s">
        <v>5555</v>
      </c>
    </row>
    <row r="2617" spans="1:17" x14ac:dyDescent="0.3">
      <c r="A2617" t="s">
        <v>73</v>
      </c>
      <c r="B2617" t="str">
        <f>"300576"</f>
        <v>300576</v>
      </c>
      <c r="C2617" t="s">
        <v>5556</v>
      </c>
      <c r="D2617" t="s">
        <v>2178</v>
      </c>
      <c r="E2617">
        <v>307036659</v>
      </c>
      <c r="F2617">
        <v>286870020</v>
      </c>
      <c r="G2617">
        <v>186290722</v>
      </c>
      <c r="H2617">
        <v>171507209</v>
      </c>
      <c r="I2617">
        <v>168815210</v>
      </c>
      <c r="J2617">
        <v>141333667</v>
      </c>
      <c r="K2617">
        <v>0</v>
      </c>
      <c r="P2617">
        <v>189</v>
      </c>
      <c r="Q2617" t="s">
        <v>5557</v>
      </c>
    </row>
    <row r="2618" spans="1:17" x14ac:dyDescent="0.3">
      <c r="A2618" t="s">
        <v>17</v>
      </c>
      <c r="B2618" t="str">
        <f>"600594"</f>
        <v>600594</v>
      </c>
      <c r="C2618" t="s">
        <v>5558</v>
      </c>
      <c r="D2618" t="s">
        <v>215</v>
      </c>
      <c r="E2618">
        <v>306774859</v>
      </c>
      <c r="F2618">
        <v>268456482</v>
      </c>
      <c r="G2618">
        <v>344807411</v>
      </c>
      <c r="H2618">
        <v>429240971</v>
      </c>
      <c r="I2618">
        <v>656119606</v>
      </c>
      <c r="J2618">
        <v>434435707</v>
      </c>
      <c r="K2618">
        <v>304194587</v>
      </c>
      <c r="L2618">
        <v>371437956</v>
      </c>
      <c r="M2618">
        <v>229500515</v>
      </c>
      <c r="N2618">
        <v>286745820</v>
      </c>
      <c r="O2618">
        <v>170697336</v>
      </c>
      <c r="P2618">
        <v>312</v>
      </c>
      <c r="Q2618" t="s">
        <v>5559</v>
      </c>
    </row>
    <row r="2619" spans="1:17" x14ac:dyDescent="0.3">
      <c r="A2619" t="s">
        <v>17</v>
      </c>
      <c r="B2619" t="str">
        <f>"688333"</f>
        <v>688333</v>
      </c>
      <c r="C2619" t="s">
        <v>5560</v>
      </c>
      <c r="D2619" t="s">
        <v>2332</v>
      </c>
      <c r="E2619">
        <v>306607731</v>
      </c>
      <c r="F2619">
        <v>245047966</v>
      </c>
      <c r="G2619">
        <v>120771638</v>
      </c>
      <c r="H2619">
        <v>0</v>
      </c>
      <c r="P2619">
        <v>117</v>
      </c>
      <c r="Q2619" t="s">
        <v>5561</v>
      </c>
    </row>
    <row r="2620" spans="1:17" x14ac:dyDescent="0.3">
      <c r="A2620" t="s">
        <v>73</v>
      </c>
      <c r="B2620" t="str">
        <f>"300825"</f>
        <v>300825</v>
      </c>
      <c r="C2620" t="s">
        <v>5562</v>
      </c>
      <c r="D2620" t="s">
        <v>3310</v>
      </c>
      <c r="E2620">
        <v>306501944</v>
      </c>
      <c r="F2620">
        <v>228370984</v>
      </c>
      <c r="G2620">
        <v>181290633</v>
      </c>
      <c r="H2620">
        <v>0</v>
      </c>
      <c r="P2620">
        <v>92</v>
      </c>
      <c r="Q2620" t="s">
        <v>5563</v>
      </c>
    </row>
    <row r="2621" spans="1:17" x14ac:dyDescent="0.3">
      <c r="A2621" t="s">
        <v>73</v>
      </c>
      <c r="B2621" t="str">
        <f>"300881"</f>
        <v>300881</v>
      </c>
      <c r="C2621" t="s">
        <v>5564</v>
      </c>
      <c r="D2621" t="s">
        <v>928</v>
      </c>
      <c r="E2621">
        <v>306301626</v>
      </c>
      <c r="F2621">
        <v>264164998</v>
      </c>
      <c r="G2621">
        <v>0</v>
      </c>
      <c r="P2621">
        <v>31</v>
      </c>
      <c r="Q2621" t="s">
        <v>5565</v>
      </c>
    </row>
    <row r="2622" spans="1:17" x14ac:dyDescent="0.3">
      <c r="A2622" t="s">
        <v>73</v>
      </c>
      <c r="B2622" t="str">
        <f>"301248"</f>
        <v>301248</v>
      </c>
      <c r="C2622" t="s">
        <v>5566</v>
      </c>
      <c r="E2622">
        <v>305996321</v>
      </c>
      <c r="P2622">
        <v>2</v>
      </c>
      <c r="Q2622" t="s">
        <v>5567</v>
      </c>
    </row>
    <row r="2623" spans="1:17" x14ac:dyDescent="0.3">
      <c r="A2623" t="s">
        <v>73</v>
      </c>
      <c r="B2623" t="str">
        <f>"300678"</f>
        <v>300678</v>
      </c>
      <c r="C2623" t="s">
        <v>5568</v>
      </c>
      <c r="D2623" t="s">
        <v>302</v>
      </c>
      <c r="E2623">
        <v>305930353</v>
      </c>
      <c r="F2623">
        <v>274378656</v>
      </c>
      <c r="G2623">
        <v>243917048</v>
      </c>
      <c r="H2623">
        <v>193989973</v>
      </c>
      <c r="I2623">
        <v>148232551</v>
      </c>
      <c r="J2623">
        <v>111332019</v>
      </c>
      <c r="K2623">
        <v>0</v>
      </c>
      <c r="P2623">
        <v>105</v>
      </c>
      <c r="Q2623" t="s">
        <v>5569</v>
      </c>
    </row>
    <row r="2624" spans="1:17" x14ac:dyDescent="0.3">
      <c r="A2624" t="s">
        <v>73</v>
      </c>
      <c r="B2624" t="str">
        <f>"300558"</f>
        <v>300558</v>
      </c>
      <c r="C2624" t="s">
        <v>5570</v>
      </c>
      <c r="D2624" t="s">
        <v>348</v>
      </c>
      <c r="E2624">
        <v>305694457</v>
      </c>
      <c r="F2624">
        <v>100306771</v>
      </c>
      <c r="G2624">
        <v>169012733</v>
      </c>
      <c r="H2624">
        <v>65170300</v>
      </c>
      <c r="I2624">
        <v>74405988</v>
      </c>
      <c r="J2624">
        <v>39218753</v>
      </c>
      <c r="P2624">
        <v>756</v>
      </c>
      <c r="Q2624" t="s">
        <v>5571</v>
      </c>
    </row>
    <row r="2625" spans="1:17" x14ac:dyDescent="0.3">
      <c r="A2625" t="s">
        <v>73</v>
      </c>
      <c r="B2625" t="str">
        <f>"300977"</f>
        <v>300977</v>
      </c>
      <c r="C2625" t="s">
        <v>5572</v>
      </c>
      <c r="D2625" t="s">
        <v>661</v>
      </c>
      <c r="E2625">
        <v>305631770</v>
      </c>
      <c r="F2625">
        <v>231341035</v>
      </c>
      <c r="P2625">
        <v>46</v>
      </c>
      <c r="Q2625" t="s">
        <v>5573</v>
      </c>
    </row>
    <row r="2626" spans="1:17" x14ac:dyDescent="0.3">
      <c r="A2626" t="s">
        <v>73</v>
      </c>
      <c r="B2626" t="str">
        <f>"002632"</f>
        <v>002632</v>
      </c>
      <c r="C2626" t="s">
        <v>5574</v>
      </c>
      <c r="D2626" t="s">
        <v>2271</v>
      </c>
      <c r="E2626">
        <v>305347709</v>
      </c>
      <c r="F2626">
        <v>246609804</v>
      </c>
      <c r="G2626">
        <v>270840035</v>
      </c>
      <c r="H2626">
        <v>286886363</v>
      </c>
      <c r="I2626">
        <v>237503741</v>
      </c>
      <c r="J2626">
        <v>109828850</v>
      </c>
      <c r="K2626">
        <v>80075787</v>
      </c>
      <c r="L2626">
        <v>81538376</v>
      </c>
      <c r="M2626">
        <v>64905688</v>
      </c>
      <c r="N2626">
        <v>69673853</v>
      </c>
      <c r="O2626">
        <v>58842820</v>
      </c>
      <c r="P2626">
        <v>144</v>
      </c>
      <c r="Q2626" t="s">
        <v>5575</v>
      </c>
    </row>
    <row r="2627" spans="1:17" x14ac:dyDescent="0.3">
      <c r="A2627" t="s">
        <v>17</v>
      </c>
      <c r="B2627" t="str">
        <f>"603888"</f>
        <v>603888</v>
      </c>
      <c r="C2627" t="s">
        <v>5576</v>
      </c>
      <c r="D2627" t="s">
        <v>4641</v>
      </c>
      <c r="E2627">
        <v>305346407</v>
      </c>
      <c r="F2627">
        <v>467062354</v>
      </c>
      <c r="G2627">
        <v>643968117</v>
      </c>
      <c r="H2627">
        <v>610816978</v>
      </c>
      <c r="I2627">
        <v>503277500</v>
      </c>
      <c r="J2627">
        <v>492916915</v>
      </c>
      <c r="P2627">
        <v>227</v>
      </c>
      <c r="Q2627" t="s">
        <v>5577</v>
      </c>
    </row>
    <row r="2628" spans="1:17" x14ac:dyDescent="0.3">
      <c r="A2628" t="s">
        <v>73</v>
      </c>
      <c r="B2628" t="str">
        <f>"300497"</f>
        <v>300497</v>
      </c>
      <c r="C2628" t="s">
        <v>5578</v>
      </c>
      <c r="D2628" t="s">
        <v>908</v>
      </c>
      <c r="E2628">
        <v>304932487</v>
      </c>
      <c r="F2628">
        <v>271837800</v>
      </c>
      <c r="G2628">
        <v>177515934</v>
      </c>
      <c r="H2628">
        <v>268850076</v>
      </c>
      <c r="I2628">
        <v>182173195</v>
      </c>
      <c r="J2628">
        <v>146237633</v>
      </c>
      <c r="K2628">
        <v>104993180</v>
      </c>
      <c r="L2628">
        <v>91182244</v>
      </c>
      <c r="M2628">
        <v>0</v>
      </c>
      <c r="P2628">
        <v>4722</v>
      </c>
      <c r="Q2628" t="s">
        <v>5579</v>
      </c>
    </row>
    <row r="2629" spans="1:17" x14ac:dyDescent="0.3">
      <c r="A2629" t="s">
        <v>73</v>
      </c>
      <c r="B2629" t="str">
        <f>"002578"</f>
        <v>002578</v>
      </c>
      <c r="C2629" t="s">
        <v>5580</v>
      </c>
      <c r="D2629" t="s">
        <v>616</v>
      </c>
      <c r="E2629">
        <v>304796546</v>
      </c>
      <c r="F2629">
        <v>185807224</v>
      </c>
      <c r="G2629">
        <v>147622971</v>
      </c>
      <c r="H2629">
        <v>151122092</v>
      </c>
      <c r="I2629">
        <v>119461466</v>
      </c>
      <c r="J2629">
        <v>111595327</v>
      </c>
      <c r="K2629">
        <v>81359395</v>
      </c>
      <c r="L2629">
        <v>102883142</v>
      </c>
      <c r="M2629">
        <v>74506169</v>
      </c>
      <c r="N2629">
        <v>85858183</v>
      </c>
      <c r="O2629">
        <v>43949079</v>
      </c>
      <c r="P2629">
        <v>91</v>
      </c>
      <c r="Q2629" t="s">
        <v>5581</v>
      </c>
    </row>
    <row r="2630" spans="1:17" x14ac:dyDescent="0.3">
      <c r="A2630" t="s">
        <v>17</v>
      </c>
      <c r="B2630" t="str">
        <f>"688136"</f>
        <v>688136</v>
      </c>
      <c r="C2630" t="s">
        <v>5582</v>
      </c>
      <c r="D2630" t="s">
        <v>1505</v>
      </c>
      <c r="E2630">
        <v>304594221</v>
      </c>
      <c r="F2630">
        <v>327990147</v>
      </c>
      <c r="P2630">
        <v>66</v>
      </c>
      <c r="Q2630" t="s">
        <v>5583</v>
      </c>
    </row>
    <row r="2631" spans="1:17" x14ac:dyDescent="0.3">
      <c r="A2631" t="s">
        <v>17</v>
      </c>
      <c r="B2631" t="str">
        <f>"603289"</f>
        <v>603289</v>
      </c>
      <c r="C2631" t="s">
        <v>5584</v>
      </c>
      <c r="D2631" t="s">
        <v>1451</v>
      </c>
      <c r="E2631">
        <v>304278930</v>
      </c>
      <c r="F2631">
        <v>264863684</v>
      </c>
      <c r="G2631">
        <v>305812666</v>
      </c>
      <c r="H2631">
        <v>223395925</v>
      </c>
      <c r="I2631">
        <v>231567675</v>
      </c>
      <c r="P2631">
        <v>115</v>
      </c>
      <c r="Q2631" t="s">
        <v>5585</v>
      </c>
    </row>
    <row r="2632" spans="1:17" x14ac:dyDescent="0.3">
      <c r="A2632" t="s">
        <v>73</v>
      </c>
      <c r="B2632" t="str">
        <f>"300157"</f>
        <v>300157</v>
      </c>
      <c r="C2632" t="s">
        <v>5586</v>
      </c>
      <c r="D2632" t="s">
        <v>275</v>
      </c>
      <c r="E2632">
        <v>304143669</v>
      </c>
      <c r="F2632">
        <v>441557545</v>
      </c>
      <c r="G2632">
        <v>463435649</v>
      </c>
      <c r="H2632">
        <v>1203326169</v>
      </c>
      <c r="I2632">
        <v>1381568321</v>
      </c>
      <c r="J2632">
        <v>1235777542</v>
      </c>
      <c r="K2632">
        <v>1076959231</v>
      </c>
      <c r="L2632">
        <v>762901529</v>
      </c>
      <c r="M2632">
        <v>674104078</v>
      </c>
      <c r="N2632">
        <v>448607068</v>
      </c>
      <c r="O2632">
        <v>229996531</v>
      </c>
      <c r="P2632">
        <v>76</v>
      </c>
      <c r="Q2632" t="s">
        <v>5587</v>
      </c>
    </row>
    <row r="2633" spans="1:17" x14ac:dyDescent="0.3">
      <c r="A2633" t="s">
        <v>73</v>
      </c>
      <c r="B2633" t="str">
        <f>"300650"</f>
        <v>300650</v>
      </c>
      <c r="C2633" t="s">
        <v>5588</v>
      </c>
      <c r="D2633" t="s">
        <v>737</v>
      </c>
      <c r="E2633">
        <v>304083340</v>
      </c>
      <c r="F2633">
        <v>198558430</v>
      </c>
      <c r="G2633">
        <v>123832616</v>
      </c>
      <c r="H2633">
        <v>121998748</v>
      </c>
      <c r="I2633">
        <v>99748651</v>
      </c>
      <c r="J2633">
        <v>69208099</v>
      </c>
      <c r="K2633">
        <v>0</v>
      </c>
      <c r="P2633">
        <v>125</v>
      </c>
      <c r="Q2633" t="s">
        <v>5589</v>
      </c>
    </row>
    <row r="2634" spans="1:17" x14ac:dyDescent="0.3">
      <c r="A2634" t="s">
        <v>73</v>
      </c>
      <c r="B2634" t="str">
        <f>"002157"</f>
        <v>002157</v>
      </c>
      <c r="C2634" t="s">
        <v>5590</v>
      </c>
      <c r="D2634" t="s">
        <v>1626</v>
      </c>
      <c r="E2634">
        <v>303974665</v>
      </c>
      <c r="F2634">
        <v>442528383</v>
      </c>
      <c r="G2634">
        <v>260701893</v>
      </c>
      <c r="H2634">
        <v>594158211</v>
      </c>
      <c r="I2634">
        <v>386766078</v>
      </c>
      <c r="J2634">
        <v>536493880</v>
      </c>
      <c r="K2634">
        <v>509629004</v>
      </c>
      <c r="L2634">
        <v>216258237</v>
      </c>
      <c r="M2634">
        <v>272610819</v>
      </c>
      <c r="N2634">
        <v>125801891</v>
      </c>
      <c r="O2634">
        <v>72777894</v>
      </c>
      <c r="P2634">
        <v>1128</v>
      </c>
      <c r="Q2634" t="s">
        <v>5591</v>
      </c>
    </row>
    <row r="2635" spans="1:17" x14ac:dyDescent="0.3">
      <c r="A2635" t="s">
        <v>73</v>
      </c>
      <c r="B2635" t="str">
        <f>"300599"</f>
        <v>300599</v>
      </c>
      <c r="C2635" t="s">
        <v>5592</v>
      </c>
      <c r="D2635" t="s">
        <v>1836</v>
      </c>
      <c r="E2635">
        <v>303877861</v>
      </c>
      <c r="F2635">
        <v>219426287</v>
      </c>
      <c r="G2635">
        <v>186833805</v>
      </c>
      <c r="H2635">
        <v>211820243</v>
      </c>
      <c r="I2635">
        <v>147988055</v>
      </c>
      <c r="J2635">
        <v>177009244</v>
      </c>
      <c r="K2635">
        <v>0</v>
      </c>
      <c r="P2635">
        <v>102</v>
      </c>
      <c r="Q2635" t="s">
        <v>5593</v>
      </c>
    </row>
    <row r="2636" spans="1:17" x14ac:dyDescent="0.3">
      <c r="A2636" t="s">
        <v>73</v>
      </c>
      <c r="B2636" t="str">
        <f>"300165"</f>
        <v>300165</v>
      </c>
      <c r="C2636" t="s">
        <v>5594</v>
      </c>
      <c r="D2636" t="s">
        <v>2280</v>
      </c>
      <c r="E2636">
        <v>303756079</v>
      </c>
      <c r="F2636">
        <v>343797076</v>
      </c>
      <c r="G2636">
        <v>333643665</v>
      </c>
      <c r="H2636">
        <v>294324729</v>
      </c>
      <c r="I2636">
        <v>226603883</v>
      </c>
      <c r="J2636">
        <v>146489458</v>
      </c>
      <c r="K2636">
        <v>90748226</v>
      </c>
      <c r="L2636">
        <v>45645069</v>
      </c>
      <c r="M2636">
        <v>50280589</v>
      </c>
      <c r="N2636">
        <v>50785380</v>
      </c>
      <c r="O2636">
        <v>39372024</v>
      </c>
      <c r="P2636">
        <v>103</v>
      </c>
      <c r="Q2636" t="s">
        <v>5595</v>
      </c>
    </row>
    <row r="2637" spans="1:17" x14ac:dyDescent="0.3">
      <c r="A2637" t="s">
        <v>73</v>
      </c>
      <c r="B2637" t="str">
        <f>"003011"</f>
        <v>003011</v>
      </c>
      <c r="C2637" t="s">
        <v>5596</v>
      </c>
      <c r="D2637" t="s">
        <v>972</v>
      </c>
      <c r="E2637">
        <v>303738636</v>
      </c>
      <c r="F2637">
        <v>235571372</v>
      </c>
      <c r="P2637">
        <v>89</v>
      </c>
      <c r="Q2637" t="s">
        <v>5597</v>
      </c>
    </row>
    <row r="2638" spans="1:17" x14ac:dyDescent="0.3">
      <c r="A2638" t="s">
        <v>73</v>
      </c>
      <c r="B2638" t="str">
        <f>"300283"</f>
        <v>300283</v>
      </c>
      <c r="C2638" t="s">
        <v>5598</v>
      </c>
      <c r="D2638" t="s">
        <v>230</v>
      </c>
      <c r="E2638">
        <v>303440091</v>
      </c>
      <c r="F2638">
        <v>359251902</v>
      </c>
      <c r="G2638">
        <v>183965910</v>
      </c>
      <c r="H2638">
        <v>195678372</v>
      </c>
      <c r="I2638">
        <v>200743930</v>
      </c>
      <c r="J2638">
        <v>194700022</v>
      </c>
      <c r="K2638">
        <v>139442353</v>
      </c>
      <c r="L2638">
        <v>135674014</v>
      </c>
      <c r="M2638">
        <v>137086261</v>
      </c>
      <c r="N2638">
        <v>143049314</v>
      </c>
      <c r="O2638">
        <v>119363257</v>
      </c>
      <c r="P2638">
        <v>58</v>
      </c>
      <c r="Q2638" t="s">
        <v>5599</v>
      </c>
    </row>
    <row r="2639" spans="1:17" x14ac:dyDescent="0.3">
      <c r="A2639" t="s">
        <v>17</v>
      </c>
      <c r="B2639" t="str">
        <f>"600478"</f>
        <v>600478</v>
      </c>
      <c r="C2639" t="s">
        <v>5600</v>
      </c>
      <c r="D2639" t="s">
        <v>125</v>
      </c>
      <c r="E2639">
        <v>302597862</v>
      </c>
      <c r="F2639">
        <v>377989228</v>
      </c>
      <c r="G2639">
        <v>316282756</v>
      </c>
      <c r="H2639">
        <v>440260817</v>
      </c>
      <c r="I2639">
        <v>314911683</v>
      </c>
      <c r="J2639">
        <v>223575467</v>
      </c>
      <c r="K2639">
        <v>211357807</v>
      </c>
      <c r="L2639">
        <v>139276658</v>
      </c>
      <c r="M2639">
        <v>156658589</v>
      </c>
      <c r="N2639">
        <v>190027052</v>
      </c>
      <c r="O2639">
        <v>236449011</v>
      </c>
      <c r="P2639">
        <v>160</v>
      </c>
      <c r="Q2639" t="s">
        <v>5601</v>
      </c>
    </row>
    <row r="2640" spans="1:17" x14ac:dyDescent="0.3">
      <c r="A2640" t="s">
        <v>17</v>
      </c>
      <c r="B2640" t="str">
        <f>"600231"</f>
        <v>600231</v>
      </c>
      <c r="C2640" t="s">
        <v>5602</v>
      </c>
      <c r="D2640" t="s">
        <v>5603</v>
      </c>
      <c r="E2640">
        <v>302597273</v>
      </c>
      <c r="F2640">
        <v>28801119</v>
      </c>
      <c r="G2640">
        <v>66904163</v>
      </c>
      <c r="H2640">
        <v>76601937</v>
      </c>
      <c r="I2640">
        <v>43896259</v>
      </c>
      <c r="J2640">
        <v>89980562</v>
      </c>
      <c r="K2640">
        <v>102035255</v>
      </c>
      <c r="L2640">
        <v>347439121</v>
      </c>
      <c r="M2640">
        <v>141564917</v>
      </c>
      <c r="N2640">
        <v>138727869</v>
      </c>
      <c r="O2640">
        <v>26387072</v>
      </c>
      <c r="P2640">
        <v>187</v>
      </c>
      <c r="Q2640" t="s">
        <v>5604</v>
      </c>
    </row>
    <row r="2641" spans="1:17" x14ac:dyDescent="0.3">
      <c r="A2641" t="s">
        <v>73</v>
      </c>
      <c r="B2641" t="str">
        <f>"300846"</f>
        <v>300846</v>
      </c>
      <c r="C2641" t="s">
        <v>5605</v>
      </c>
      <c r="D2641" t="s">
        <v>302</v>
      </c>
      <c r="E2641">
        <v>302525546</v>
      </c>
      <c r="F2641">
        <v>232492181</v>
      </c>
      <c r="G2641">
        <v>201382544</v>
      </c>
      <c r="H2641">
        <v>0</v>
      </c>
      <c r="I2641">
        <v>86117246</v>
      </c>
      <c r="P2641">
        <v>78</v>
      </c>
      <c r="Q2641" t="s">
        <v>5606</v>
      </c>
    </row>
    <row r="2642" spans="1:17" x14ac:dyDescent="0.3">
      <c r="A2642" t="s">
        <v>73</v>
      </c>
      <c r="B2642" t="str">
        <f>"300690"</f>
        <v>300690</v>
      </c>
      <c r="C2642" t="s">
        <v>5607</v>
      </c>
      <c r="D2642" t="s">
        <v>778</v>
      </c>
      <c r="E2642">
        <v>302422521</v>
      </c>
      <c r="F2642">
        <v>361491708</v>
      </c>
      <c r="G2642">
        <v>7834147</v>
      </c>
      <c r="H2642">
        <v>229012598</v>
      </c>
      <c r="I2642">
        <v>229171803</v>
      </c>
      <c r="J2642">
        <v>0</v>
      </c>
      <c r="P2642">
        <v>214</v>
      </c>
      <c r="Q2642" t="s">
        <v>5608</v>
      </c>
    </row>
    <row r="2643" spans="1:17" x14ac:dyDescent="0.3">
      <c r="A2643" t="s">
        <v>17</v>
      </c>
      <c r="B2643" t="str">
        <f>"688550"</f>
        <v>688550</v>
      </c>
      <c r="C2643" t="s">
        <v>5609</v>
      </c>
      <c r="D2643" t="s">
        <v>2178</v>
      </c>
      <c r="E2643">
        <v>302303638</v>
      </c>
      <c r="F2643">
        <v>276554955</v>
      </c>
      <c r="G2643">
        <v>0</v>
      </c>
      <c r="H2643">
        <v>0</v>
      </c>
      <c r="P2643">
        <v>54</v>
      </c>
      <c r="Q2643" t="s">
        <v>5610</v>
      </c>
    </row>
    <row r="2644" spans="1:17" x14ac:dyDescent="0.3">
      <c r="A2644" t="s">
        <v>17</v>
      </c>
      <c r="B2644" t="str">
        <f>"603583"</f>
        <v>603583</v>
      </c>
      <c r="C2644" t="s">
        <v>5611</v>
      </c>
      <c r="D2644" t="s">
        <v>626</v>
      </c>
      <c r="E2644">
        <v>302051810</v>
      </c>
      <c r="F2644">
        <v>136972835</v>
      </c>
      <c r="G2644">
        <v>131148333</v>
      </c>
      <c r="H2644">
        <v>88300585</v>
      </c>
      <c r="I2644">
        <v>0</v>
      </c>
      <c r="P2644">
        <v>704</v>
      </c>
      <c r="Q2644" t="s">
        <v>5612</v>
      </c>
    </row>
    <row r="2645" spans="1:17" x14ac:dyDescent="0.3">
      <c r="A2645" t="s">
        <v>73</v>
      </c>
      <c r="B2645" t="str">
        <f>"002290"</f>
        <v>002290</v>
      </c>
      <c r="C2645" t="s">
        <v>5613</v>
      </c>
      <c r="D2645" t="s">
        <v>654</v>
      </c>
      <c r="E2645">
        <v>301824414</v>
      </c>
      <c r="F2645">
        <v>329214329</v>
      </c>
      <c r="G2645">
        <v>218012111</v>
      </c>
      <c r="H2645">
        <v>1580416882</v>
      </c>
      <c r="I2645">
        <v>1511038434</v>
      </c>
      <c r="J2645">
        <v>647137190</v>
      </c>
      <c r="K2645">
        <v>410618081</v>
      </c>
      <c r="L2645">
        <v>258964416</v>
      </c>
      <c r="M2645">
        <v>233848041</v>
      </c>
      <c r="N2645">
        <v>173734697</v>
      </c>
      <c r="O2645">
        <v>185195988</v>
      </c>
      <c r="P2645">
        <v>80</v>
      </c>
      <c r="Q2645" t="s">
        <v>5614</v>
      </c>
    </row>
    <row r="2646" spans="1:17" x14ac:dyDescent="0.3">
      <c r="A2646" t="s">
        <v>73</v>
      </c>
      <c r="B2646" t="str">
        <f>"002867"</f>
        <v>002867</v>
      </c>
      <c r="C2646" t="s">
        <v>5615</v>
      </c>
      <c r="D2646" t="s">
        <v>1260</v>
      </c>
      <c r="E2646">
        <v>301370543</v>
      </c>
      <c r="F2646">
        <v>138555703</v>
      </c>
      <c r="G2646">
        <v>108622870</v>
      </c>
      <c r="H2646">
        <v>166888356</v>
      </c>
      <c r="I2646">
        <v>143512039</v>
      </c>
      <c r="J2646">
        <v>109131938</v>
      </c>
      <c r="P2646">
        <v>1635</v>
      </c>
      <c r="Q2646" t="s">
        <v>5616</v>
      </c>
    </row>
    <row r="2647" spans="1:17" x14ac:dyDescent="0.3">
      <c r="A2647" t="s">
        <v>73</v>
      </c>
      <c r="B2647" t="str">
        <f>"301166"</f>
        <v>301166</v>
      </c>
      <c r="C2647" t="s">
        <v>5617</v>
      </c>
      <c r="D2647" t="s">
        <v>1505</v>
      </c>
      <c r="E2647">
        <v>301328724</v>
      </c>
      <c r="P2647">
        <v>21</v>
      </c>
      <c r="Q2647" t="s">
        <v>5618</v>
      </c>
    </row>
    <row r="2648" spans="1:17" x14ac:dyDescent="0.3">
      <c r="A2648" t="s">
        <v>17</v>
      </c>
      <c r="B2648" t="str">
        <f>"688320"</f>
        <v>688320</v>
      </c>
      <c r="C2648" t="s">
        <v>5619</v>
      </c>
      <c r="E2648">
        <v>301266616</v>
      </c>
      <c r="P2648">
        <v>1</v>
      </c>
      <c r="Q2648" t="s">
        <v>5620</v>
      </c>
    </row>
    <row r="2649" spans="1:17" x14ac:dyDescent="0.3">
      <c r="A2649" t="s">
        <v>73</v>
      </c>
      <c r="B2649" t="str">
        <f>"002195"</f>
        <v>002195</v>
      </c>
      <c r="C2649" t="s">
        <v>5621</v>
      </c>
      <c r="D2649" t="s">
        <v>302</v>
      </c>
      <c r="E2649">
        <v>301150059</v>
      </c>
      <c r="F2649">
        <v>403190439</v>
      </c>
      <c r="G2649">
        <v>418232963</v>
      </c>
      <c r="H2649">
        <v>536329190</v>
      </c>
      <c r="I2649">
        <v>709166081</v>
      </c>
      <c r="J2649">
        <v>638722991</v>
      </c>
      <c r="K2649">
        <v>138955223</v>
      </c>
      <c r="L2649">
        <v>116855223</v>
      </c>
      <c r="M2649">
        <v>46952587</v>
      </c>
      <c r="N2649">
        <v>38775482</v>
      </c>
      <c r="O2649">
        <v>34501654</v>
      </c>
      <c r="P2649">
        <v>558</v>
      </c>
      <c r="Q2649" t="s">
        <v>5622</v>
      </c>
    </row>
    <row r="2650" spans="1:17" x14ac:dyDescent="0.3">
      <c r="A2650" t="s">
        <v>17</v>
      </c>
      <c r="B2650" t="str">
        <f>"605020"</f>
        <v>605020</v>
      </c>
      <c r="C2650" t="s">
        <v>5623</v>
      </c>
      <c r="D2650" t="s">
        <v>1726</v>
      </c>
      <c r="E2650">
        <v>301074160</v>
      </c>
      <c r="F2650">
        <v>213532021</v>
      </c>
      <c r="P2650">
        <v>33</v>
      </c>
      <c r="Q2650" t="s">
        <v>5624</v>
      </c>
    </row>
    <row r="2651" spans="1:17" x14ac:dyDescent="0.3">
      <c r="A2651" t="s">
        <v>17</v>
      </c>
      <c r="B2651" t="str">
        <f>"688390"</f>
        <v>688390</v>
      </c>
      <c r="C2651" t="s">
        <v>5625</v>
      </c>
      <c r="D2651" t="s">
        <v>351</v>
      </c>
      <c r="E2651">
        <v>300426746</v>
      </c>
      <c r="F2651">
        <v>191476958</v>
      </c>
      <c r="G2651">
        <v>0</v>
      </c>
      <c r="P2651">
        <v>283</v>
      </c>
      <c r="Q2651" t="s">
        <v>5626</v>
      </c>
    </row>
    <row r="2652" spans="1:17" x14ac:dyDescent="0.3">
      <c r="A2652" t="s">
        <v>17</v>
      </c>
      <c r="B2652" t="str">
        <f>"601101"</f>
        <v>601101</v>
      </c>
      <c r="C2652" t="s">
        <v>5627</v>
      </c>
      <c r="D2652" t="s">
        <v>218</v>
      </c>
      <c r="E2652">
        <v>299839897</v>
      </c>
      <c r="F2652">
        <v>165414714</v>
      </c>
      <c r="G2652">
        <v>244438260</v>
      </c>
      <c r="H2652">
        <v>319920496</v>
      </c>
      <c r="I2652">
        <v>396673703</v>
      </c>
      <c r="J2652">
        <v>514785462</v>
      </c>
      <c r="K2652">
        <v>694628070</v>
      </c>
      <c r="L2652">
        <v>784738331</v>
      </c>
      <c r="M2652">
        <v>417837045</v>
      </c>
      <c r="N2652">
        <v>522329989</v>
      </c>
      <c r="O2652">
        <v>298340892</v>
      </c>
      <c r="P2652">
        <v>281</v>
      </c>
      <c r="Q2652" t="s">
        <v>5628</v>
      </c>
    </row>
    <row r="2653" spans="1:17" x14ac:dyDescent="0.3">
      <c r="A2653" t="s">
        <v>73</v>
      </c>
      <c r="B2653" t="str">
        <f>"301158"</f>
        <v>301158</v>
      </c>
      <c r="C2653" t="s">
        <v>5629</v>
      </c>
      <c r="D2653" t="s">
        <v>311</v>
      </c>
      <c r="E2653">
        <v>299785614</v>
      </c>
      <c r="P2653">
        <v>12</v>
      </c>
      <c r="Q2653" t="s">
        <v>5630</v>
      </c>
    </row>
    <row r="2654" spans="1:17" x14ac:dyDescent="0.3">
      <c r="A2654" t="s">
        <v>73</v>
      </c>
      <c r="B2654" t="str">
        <f>"300611"</f>
        <v>300611</v>
      </c>
      <c r="C2654" t="s">
        <v>5631</v>
      </c>
      <c r="D2654" t="s">
        <v>122</v>
      </c>
      <c r="E2654">
        <v>299743680</v>
      </c>
      <c r="F2654">
        <v>261521088</v>
      </c>
      <c r="G2654">
        <v>181471403</v>
      </c>
      <c r="H2654">
        <v>221402002</v>
      </c>
      <c r="I2654">
        <v>167585807</v>
      </c>
      <c r="J2654">
        <v>153339142</v>
      </c>
      <c r="K2654">
        <v>0</v>
      </c>
      <c r="P2654">
        <v>97</v>
      </c>
      <c r="Q2654" t="s">
        <v>5632</v>
      </c>
    </row>
    <row r="2655" spans="1:17" x14ac:dyDescent="0.3">
      <c r="A2655" t="s">
        <v>17</v>
      </c>
      <c r="B2655" t="str">
        <f>"605011"</f>
        <v>605011</v>
      </c>
      <c r="C2655" t="s">
        <v>5633</v>
      </c>
      <c r="D2655" t="s">
        <v>1106</v>
      </c>
      <c r="E2655">
        <v>299678800</v>
      </c>
      <c r="F2655">
        <v>195109448</v>
      </c>
      <c r="P2655">
        <v>27</v>
      </c>
      <c r="Q2655" t="s">
        <v>5634</v>
      </c>
    </row>
    <row r="2656" spans="1:17" x14ac:dyDescent="0.3">
      <c r="A2656" t="s">
        <v>17</v>
      </c>
      <c r="B2656" t="str">
        <f>"600120"</f>
        <v>600120</v>
      </c>
      <c r="C2656" t="s">
        <v>5635</v>
      </c>
      <c r="D2656" t="s">
        <v>3243</v>
      </c>
      <c r="E2656">
        <v>299645681</v>
      </c>
      <c r="F2656">
        <v>265555253</v>
      </c>
      <c r="G2656">
        <v>206367297</v>
      </c>
      <c r="H2656">
        <v>192709308</v>
      </c>
      <c r="I2656">
        <v>240560531</v>
      </c>
      <c r="J2656">
        <v>244317277</v>
      </c>
      <c r="K2656">
        <v>572859131</v>
      </c>
      <c r="L2656">
        <v>587431628</v>
      </c>
      <c r="M2656">
        <v>565231191</v>
      </c>
      <c r="N2656">
        <v>327654167</v>
      </c>
      <c r="O2656">
        <v>278123696</v>
      </c>
      <c r="P2656">
        <v>193</v>
      </c>
      <c r="Q2656" t="s">
        <v>5636</v>
      </c>
    </row>
    <row r="2657" spans="1:17" x14ac:dyDescent="0.3">
      <c r="A2657" t="s">
        <v>17</v>
      </c>
      <c r="B2657" t="str">
        <f>"688678"</f>
        <v>688678</v>
      </c>
      <c r="C2657" t="s">
        <v>5637</v>
      </c>
      <c r="D2657" t="s">
        <v>42</v>
      </c>
      <c r="E2657">
        <v>299183956</v>
      </c>
      <c r="F2657">
        <v>240623632</v>
      </c>
      <c r="P2657">
        <v>29</v>
      </c>
      <c r="Q2657" t="s">
        <v>5638</v>
      </c>
    </row>
    <row r="2658" spans="1:17" x14ac:dyDescent="0.3">
      <c r="A2658" t="s">
        <v>73</v>
      </c>
      <c r="B2658" t="str">
        <f>"300811"</f>
        <v>300811</v>
      </c>
      <c r="C2658" t="s">
        <v>5639</v>
      </c>
      <c r="D2658" t="s">
        <v>1142</v>
      </c>
      <c r="E2658">
        <v>298885531</v>
      </c>
      <c r="F2658">
        <v>222242923</v>
      </c>
      <c r="G2658">
        <v>140339609</v>
      </c>
      <c r="H2658">
        <v>0</v>
      </c>
      <c r="P2658">
        <v>163</v>
      </c>
      <c r="Q2658" t="s">
        <v>5640</v>
      </c>
    </row>
    <row r="2659" spans="1:17" x14ac:dyDescent="0.3">
      <c r="A2659" t="s">
        <v>73</v>
      </c>
      <c r="B2659" t="str">
        <f>"300670"</f>
        <v>300670</v>
      </c>
      <c r="C2659" t="s">
        <v>5641</v>
      </c>
      <c r="D2659" t="s">
        <v>230</v>
      </c>
      <c r="E2659">
        <v>298644631</v>
      </c>
      <c r="F2659">
        <v>282867314</v>
      </c>
      <c r="G2659">
        <v>382176788</v>
      </c>
      <c r="H2659">
        <v>283647007</v>
      </c>
      <c r="I2659">
        <v>207133844</v>
      </c>
      <c r="J2659">
        <v>157273167</v>
      </c>
      <c r="K2659">
        <v>0</v>
      </c>
      <c r="P2659">
        <v>67</v>
      </c>
      <c r="Q2659" t="s">
        <v>5642</v>
      </c>
    </row>
    <row r="2660" spans="1:17" x14ac:dyDescent="0.3">
      <c r="A2660" t="s">
        <v>73</v>
      </c>
      <c r="B2660" t="str">
        <f>"000672"</f>
        <v>000672</v>
      </c>
      <c r="C2660" t="s">
        <v>5643</v>
      </c>
      <c r="D2660" t="s">
        <v>90</v>
      </c>
      <c r="E2660">
        <v>298258608</v>
      </c>
      <c r="F2660">
        <v>201270365</v>
      </c>
      <c r="G2660">
        <v>184838461</v>
      </c>
      <c r="H2660">
        <v>144406715</v>
      </c>
      <c r="I2660">
        <v>146866210</v>
      </c>
      <c r="J2660">
        <v>115285276</v>
      </c>
      <c r="K2660">
        <v>154535596</v>
      </c>
      <c r="L2660">
        <v>115214193</v>
      </c>
      <c r="M2660">
        <v>74827854</v>
      </c>
      <c r="N2660">
        <v>0</v>
      </c>
      <c r="O2660">
        <v>98</v>
      </c>
      <c r="P2660">
        <v>1263</v>
      </c>
      <c r="Q2660" t="s">
        <v>5644</v>
      </c>
    </row>
    <row r="2661" spans="1:17" x14ac:dyDescent="0.3">
      <c r="A2661" t="s">
        <v>73</v>
      </c>
      <c r="B2661" t="str">
        <f>"300258"</f>
        <v>300258</v>
      </c>
      <c r="C2661" t="s">
        <v>5645</v>
      </c>
      <c r="D2661" t="s">
        <v>122</v>
      </c>
      <c r="E2661">
        <v>298108760</v>
      </c>
      <c r="F2661">
        <v>255874455</v>
      </c>
      <c r="G2661">
        <v>202339662</v>
      </c>
      <c r="H2661">
        <v>219584819</v>
      </c>
      <c r="I2661">
        <v>245238908</v>
      </c>
      <c r="J2661">
        <v>214357249</v>
      </c>
      <c r="K2661">
        <v>151244599</v>
      </c>
      <c r="L2661">
        <v>136068026</v>
      </c>
      <c r="M2661">
        <v>112269144</v>
      </c>
      <c r="N2661">
        <v>93894408</v>
      </c>
      <c r="O2661">
        <v>87627956</v>
      </c>
      <c r="P2661">
        <v>330</v>
      </c>
      <c r="Q2661" t="s">
        <v>5646</v>
      </c>
    </row>
    <row r="2662" spans="1:17" x14ac:dyDescent="0.3">
      <c r="A2662" t="s">
        <v>17</v>
      </c>
      <c r="B2662" t="str">
        <f>"600725"</f>
        <v>600725</v>
      </c>
      <c r="C2662" t="s">
        <v>5647</v>
      </c>
      <c r="D2662" t="s">
        <v>1651</v>
      </c>
      <c r="E2662">
        <v>297830881</v>
      </c>
      <c r="F2662">
        <v>125035993</v>
      </c>
      <c r="G2662">
        <v>108623308</v>
      </c>
      <c r="H2662">
        <v>117383501</v>
      </c>
      <c r="I2662">
        <v>47834919</v>
      </c>
      <c r="J2662">
        <v>29540179</v>
      </c>
      <c r="K2662">
        <v>635185835</v>
      </c>
      <c r="L2662">
        <v>760812447</v>
      </c>
      <c r="M2662">
        <v>648064578</v>
      </c>
      <c r="N2662">
        <v>803925816</v>
      </c>
      <c r="O2662">
        <v>186768058</v>
      </c>
      <c r="P2662">
        <v>69</v>
      </c>
      <c r="Q2662" t="s">
        <v>5648</v>
      </c>
    </row>
    <row r="2663" spans="1:17" x14ac:dyDescent="0.3">
      <c r="A2663" t="s">
        <v>73</v>
      </c>
      <c r="B2663" t="str">
        <f>"300079"</f>
        <v>300079</v>
      </c>
      <c r="C2663" t="s">
        <v>5649</v>
      </c>
      <c r="D2663" t="s">
        <v>302</v>
      </c>
      <c r="E2663">
        <v>297738356</v>
      </c>
      <c r="F2663">
        <v>406345962</v>
      </c>
      <c r="G2663">
        <v>540415981</v>
      </c>
      <c r="H2663">
        <v>633587904</v>
      </c>
      <c r="I2663">
        <v>767479989</v>
      </c>
      <c r="J2663">
        <v>571579920</v>
      </c>
      <c r="K2663">
        <v>508379115</v>
      </c>
      <c r="L2663">
        <v>374742910</v>
      </c>
      <c r="M2663">
        <v>331355440</v>
      </c>
      <c r="N2663">
        <v>417619697</v>
      </c>
      <c r="O2663">
        <v>266593304</v>
      </c>
      <c r="P2663">
        <v>261</v>
      </c>
      <c r="Q2663" t="s">
        <v>5650</v>
      </c>
    </row>
    <row r="2664" spans="1:17" x14ac:dyDescent="0.3">
      <c r="A2664" t="s">
        <v>17</v>
      </c>
      <c r="B2664" t="str">
        <f>"600586"</f>
        <v>600586</v>
      </c>
      <c r="C2664" t="s">
        <v>5651</v>
      </c>
      <c r="D2664" t="s">
        <v>2655</v>
      </c>
      <c r="E2664">
        <v>297654894</v>
      </c>
      <c r="F2664">
        <v>375217373</v>
      </c>
      <c r="G2664">
        <v>477322391</v>
      </c>
      <c r="H2664">
        <v>465873880</v>
      </c>
      <c r="I2664">
        <v>395360104</v>
      </c>
      <c r="J2664">
        <v>292049029</v>
      </c>
      <c r="K2664">
        <v>362996014</v>
      </c>
      <c r="L2664">
        <v>259514371</v>
      </c>
      <c r="M2664">
        <v>197720848</v>
      </c>
      <c r="N2664">
        <v>187116323</v>
      </c>
      <c r="O2664">
        <v>217250371</v>
      </c>
      <c r="P2664">
        <v>245</v>
      </c>
      <c r="Q2664" t="s">
        <v>5652</v>
      </c>
    </row>
    <row r="2665" spans="1:17" x14ac:dyDescent="0.3">
      <c r="A2665" t="s">
        <v>17</v>
      </c>
      <c r="B2665" t="str">
        <f>"603867"</f>
        <v>603867</v>
      </c>
      <c r="C2665" t="s">
        <v>5653</v>
      </c>
      <c r="D2665" t="s">
        <v>588</v>
      </c>
      <c r="E2665">
        <v>297629453</v>
      </c>
      <c r="F2665">
        <v>286695230</v>
      </c>
      <c r="G2665">
        <v>167507914</v>
      </c>
      <c r="H2665">
        <v>0</v>
      </c>
      <c r="P2665">
        <v>88</v>
      </c>
      <c r="Q2665" t="s">
        <v>5654</v>
      </c>
    </row>
    <row r="2666" spans="1:17" x14ac:dyDescent="0.3">
      <c r="A2666" t="s">
        <v>73</v>
      </c>
      <c r="B2666" t="str">
        <f>"301131"</f>
        <v>301131</v>
      </c>
      <c r="C2666" t="s">
        <v>5655</v>
      </c>
      <c r="E2666">
        <v>297381154</v>
      </c>
      <c r="G2666">
        <v>178501933</v>
      </c>
      <c r="P2666">
        <v>4</v>
      </c>
      <c r="Q2666" t="s">
        <v>5656</v>
      </c>
    </row>
    <row r="2667" spans="1:17" x14ac:dyDescent="0.3">
      <c r="A2667" t="s">
        <v>73</v>
      </c>
      <c r="B2667" t="str">
        <f>"300808"</f>
        <v>300808</v>
      </c>
      <c r="C2667" t="s">
        <v>5657</v>
      </c>
      <c r="D2667" t="s">
        <v>737</v>
      </c>
      <c r="E2667">
        <v>296931803</v>
      </c>
      <c r="F2667">
        <v>285474876</v>
      </c>
      <c r="G2667">
        <v>301062906</v>
      </c>
      <c r="H2667">
        <v>0</v>
      </c>
      <c r="P2667">
        <v>55</v>
      </c>
      <c r="Q2667" t="s">
        <v>5658</v>
      </c>
    </row>
    <row r="2668" spans="1:17" x14ac:dyDescent="0.3">
      <c r="A2668" t="s">
        <v>17</v>
      </c>
      <c r="B2668" t="str">
        <f>"605305"</f>
        <v>605305</v>
      </c>
      <c r="C2668" t="s">
        <v>5659</v>
      </c>
      <c r="D2668" t="s">
        <v>75</v>
      </c>
      <c r="E2668">
        <v>296924280</v>
      </c>
      <c r="F2668">
        <v>157196305</v>
      </c>
      <c r="P2668">
        <v>81</v>
      </c>
      <c r="Q2668" t="s">
        <v>5660</v>
      </c>
    </row>
    <row r="2669" spans="1:17" x14ac:dyDescent="0.3">
      <c r="A2669" t="s">
        <v>73</v>
      </c>
      <c r="B2669" t="str">
        <f>"300981"</f>
        <v>300981</v>
      </c>
      <c r="C2669" t="s">
        <v>5661</v>
      </c>
      <c r="D2669" t="s">
        <v>1523</v>
      </c>
      <c r="E2669">
        <v>296111339</v>
      </c>
      <c r="F2669">
        <v>672878359</v>
      </c>
      <c r="G2669">
        <v>151091228</v>
      </c>
      <c r="P2669">
        <v>127</v>
      </c>
      <c r="Q2669" t="s">
        <v>5662</v>
      </c>
    </row>
    <row r="2670" spans="1:17" x14ac:dyDescent="0.3">
      <c r="A2670" t="s">
        <v>73</v>
      </c>
      <c r="B2670" t="str">
        <f>"002565"</f>
        <v>002565</v>
      </c>
      <c r="C2670" t="s">
        <v>5663</v>
      </c>
      <c r="D2670" t="s">
        <v>577</v>
      </c>
      <c r="E2670">
        <v>296103001</v>
      </c>
      <c r="F2670">
        <v>415130833</v>
      </c>
      <c r="G2670">
        <v>466705339</v>
      </c>
      <c r="H2670">
        <v>689636748</v>
      </c>
      <c r="I2670">
        <v>685702341</v>
      </c>
      <c r="J2670">
        <v>616867660</v>
      </c>
      <c r="K2670">
        <v>479428408</v>
      </c>
      <c r="L2670">
        <v>481983750</v>
      </c>
      <c r="M2670">
        <v>645851685</v>
      </c>
      <c r="N2670">
        <v>374711475</v>
      </c>
      <c r="O2670">
        <v>224988541</v>
      </c>
      <c r="P2670">
        <v>107</v>
      </c>
      <c r="Q2670" t="s">
        <v>5664</v>
      </c>
    </row>
    <row r="2671" spans="1:17" x14ac:dyDescent="0.3">
      <c r="A2671" t="s">
        <v>17</v>
      </c>
      <c r="B2671" t="str">
        <f>"688153"</f>
        <v>688153</v>
      </c>
      <c r="C2671" t="s">
        <v>5665</v>
      </c>
      <c r="E2671">
        <v>295983721</v>
      </c>
      <c r="P2671">
        <v>8</v>
      </c>
      <c r="Q2671" t="s">
        <v>5666</v>
      </c>
    </row>
    <row r="2672" spans="1:17" x14ac:dyDescent="0.3">
      <c r="A2672" t="s">
        <v>17</v>
      </c>
      <c r="B2672" t="str">
        <f>"605288"</f>
        <v>605288</v>
      </c>
      <c r="C2672" t="s">
        <v>5667</v>
      </c>
      <c r="D2672" t="s">
        <v>626</v>
      </c>
      <c r="E2672">
        <v>295971694</v>
      </c>
      <c r="F2672">
        <v>307349809</v>
      </c>
      <c r="G2672">
        <v>207028712</v>
      </c>
      <c r="P2672">
        <v>86</v>
      </c>
      <c r="Q2672" t="s">
        <v>5668</v>
      </c>
    </row>
    <row r="2673" spans="1:17" x14ac:dyDescent="0.3">
      <c r="A2673" t="s">
        <v>73</v>
      </c>
      <c r="B2673" t="str">
        <f>"300854"</f>
        <v>300854</v>
      </c>
      <c r="C2673" t="s">
        <v>5669</v>
      </c>
      <c r="D2673" t="s">
        <v>623</v>
      </c>
      <c r="E2673">
        <v>295776746</v>
      </c>
      <c r="P2673">
        <v>19</v>
      </c>
      <c r="Q2673" t="s">
        <v>5670</v>
      </c>
    </row>
    <row r="2674" spans="1:17" x14ac:dyDescent="0.3">
      <c r="A2674" t="s">
        <v>17</v>
      </c>
      <c r="B2674" t="str">
        <f>"605218"</f>
        <v>605218</v>
      </c>
      <c r="C2674" t="s">
        <v>5671</v>
      </c>
      <c r="D2674" t="s">
        <v>97</v>
      </c>
      <c r="E2674">
        <v>295511066</v>
      </c>
      <c r="F2674">
        <v>244049224</v>
      </c>
      <c r="P2674">
        <v>56</v>
      </c>
      <c r="Q2674" t="s">
        <v>5672</v>
      </c>
    </row>
    <row r="2675" spans="1:17" x14ac:dyDescent="0.3">
      <c r="A2675" t="s">
        <v>73</v>
      </c>
      <c r="B2675" t="str">
        <f>"300655"</f>
        <v>300655</v>
      </c>
      <c r="C2675" t="s">
        <v>5673</v>
      </c>
      <c r="D2675" t="s">
        <v>2178</v>
      </c>
      <c r="E2675">
        <v>295395734</v>
      </c>
      <c r="F2675">
        <v>368180475</v>
      </c>
      <c r="G2675">
        <v>289335298</v>
      </c>
      <c r="H2675">
        <v>236619488</v>
      </c>
      <c r="I2675">
        <v>243893546</v>
      </c>
      <c r="J2675">
        <v>0</v>
      </c>
      <c r="P2675">
        <v>3076</v>
      </c>
      <c r="Q2675" t="s">
        <v>5674</v>
      </c>
    </row>
    <row r="2676" spans="1:17" x14ac:dyDescent="0.3">
      <c r="A2676" t="s">
        <v>73</v>
      </c>
      <c r="B2676" t="str">
        <f>"003042"</f>
        <v>003042</v>
      </c>
      <c r="C2676" t="s">
        <v>5675</v>
      </c>
      <c r="D2676" t="s">
        <v>272</v>
      </c>
      <c r="E2676">
        <v>295353947</v>
      </c>
      <c r="F2676">
        <v>259759010</v>
      </c>
      <c r="P2676">
        <v>29</v>
      </c>
      <c r="Q2676" t="s">
        <v>5676</v>
      </c>
    </row>
    <row r="2677" spans="1:17" x14ac:dyDescent="0.3">
      <c r="A2677" t="s">
        <v>73</v>
      </c>
      <c r="B2677" t="str">
        <f>"000973"</f>
        <v>000973</v>
      </c>
      <c r="C2677" t="s">
        <v>5677</v>
      </c>
      <c r="D2677" t="s">
        <v>2271</v>
      </c>
      <c r="E2677">
        <v>295293415</v>
      </c>
      <c r="F2677">
        <v>252246548</v>
      </c>
      <c r="G2677">
        <v>232365952</v>
      </c>
      <c r="H2677">
        <v>276626859</v>
      </c>
      <c r="I2677">
        <v>251332405</v>
      </c>
      <c r="J2677">
        <v>256116091</v>
      </c>
      <c r="K2677">
        <v>257393043</v>
      </c>
      <c r="L2677">
        <v>246117190</v>
      </c>
      <c r="M2677">
        <v>226728147</v>
      </c>
      <c r="N2677">
        <v>247275366</v>
      </c>
      <c r="O2677">
        <v>273337814</v>
      </c>
      <c r="P2677">
        <v>123</v>
      </c>
      <c r="Q2677" t="s">
        <v>5678</v>
      </c>
    </row>
    <row r="2678" spans="1:17" x14ac:dyDescent="0.3">
      <c r="A2678" t="s">
        <v>17</v>
      </c>
      <c r="B2678" t="str">
        <f>"603496"</f>
        <v>603496</v>
      </c>
      <c r="C2678" t="s">
        <v>5679</v>
      </c>
      <c r="D2678" t="s">
        <v>158</v>
      </c>
      <c r="E2678">
        <v>295260020</v>
      </c>
      <c r="F2678">
        <v>234858437</v>
      </c>
      <c r="G2678">
        <v>195729763</v>
      </c>
      <c r="H2678">
        <v>200373393</v>
      </c>
      <c r="I2678">
        <v>169034933</v>
      </c>
      <c r="J2678">
        <v>89334334</v>
      </c>
      <c r="P2678">
        <v>194</v>
      </c>
      <c r="Q2678" t="s">
        <v>5680</v>
      </c>
    </row>
    <row r="2679" spans="1:17" x14ac:dyDescent="0.3">
      <c r="A2679" t="s">
        <v>73</v>
      </c>
      <c r="B2679" t="str">
        <f>"300093"</f>
        <v>300093</v>
      </c>
      <c r="C2679" t="s">
        <v>5681</v>
      </c>
      <c r="D2679" t="s">
        <v>2655</v>
      </c>
      <c r="E2679">
        <v>295190347</v>
      </c>
      <c r="F2679">
        <v>282550356</v>
      </c>
      <c r="G2679">
        <v>215187602</v>
      </c>
      <c r="H2679">
        <v>0</v>
      </c>
      <c r="I2679">
        <v>235400507</v>
      </c>
      <c r="J2679">
        <v>157768433</v>
      </c>
      <c r="K2679">
        <v>130344523</v>
      </c>
      <c r="L2679">
        <v>119428608</v>
      </c>
      <c r="M2679">
        <v>108198237</v>
      </c>
      <c r="N2679">
        <v>109382308</v>
      </c>
      <c r="O2679">
        <v>88236508</v>
      </c>
      <c r="P2679">
        <v>80</v>
      </c>
      <c r="Q2679" t="s">
        <v>5682</v>
      </c>
    </row>
    <row r="2680" spans="1:17" x14ac:dyDescent="0.3">
      <c r="A2680" t="s">
        <v>73</v>
      </c>
      <c r="B2680" t="str">
        <f>"300375"</f>
        <v>300375</v>
      </c>
      <c r="C2680" t="s">
        <v>5683</v>
      </c>
      <c r="D2680" t="s">
        <v>122</v>
      </c>
      <c r="E2680">
        <v>294695337</v>
      </c>
      <c r="F2680">
        <v>272921881</v>
      </c>
      <c r="G2680">
        <v>230875834</v>
      </c>
      <c r="H2680">
        <v>378861167</v>
      </c>
      <c r="I2680">
        <v>249907751</v>
      </c>
      <c r="J2680">
        <v>226028530</v>
      </c>
      <c r="K2680">
        <v>203126123</v>
      </c>
      <c r="L2680">
        <v>205020297</v>
      </c>
      <c r="M2680">
        <v>184393921</v>
      </c>
      <c r="N2680">
        <v>0</v>
      </c>
      <c r="P2680">
        <v>99</v>
      </c>
      <c r="Q2680" t="s">
        <v>5684</v>
      </c>
    </row>
    <row r="2681" spans="1:17" x14ac:dyDescent="0.3">
      <c r="A2681" t="s">
        <v>73</v>
      </c>
      <c r="B2681" t="str">
        <f>"300141"</f>
        <v>300141</v>
      </c>
      <c r="C2681" t="s">
        <v>5685</v>
      </c>
      <c r="D2681" t="s">
        <v>230</v>
      </c>
      <c r="E2681">
        <v>294608635</v>
      </c>
      <c r="F2681">
        <v>384930076</v>
      </c>
      <c r="G2681">
        <v>376439502</v>
      </c>
      <c r="H2681">
        <v>0</v>
      </c>
      <c r="I2681">
        <v>506065996</v>
      </c>
      <c r="J2681">
        <v>328502071</v>
      </c>
      <c r="K2681">
        <v>247352444</v>
      </c>
      <c r="L2681">
        <v>291300278</v>
      </c>
      <c r="M2681">
        <v>242172599</v>
      </c>
      <c r="N2681">
        <v>118750437</v>
      </c>
      <c r="O2681">
        <v>60050153</v>
      </c>
      <c r="P2681">
        <v>91</v>
      </c>
      <c r="Q2681" t="s">
        <v>5686</v>
      </c>
    </row>
    <row r="2682" spans="1:17" x14ac:dyDescent="0.3">
      <c r="A2682" t="s">
        <v>17</v>
      </c>
      <c r="B2682" t="str">
        <f>"688630"</f>
        <v>688630</v>
      </c>
      <c r="C2682" t="s">
        <v>5687</v>
      </c>
      <c r="D2682" t="s">
        <v>1451</v>
      </c>
      <c r="E2682">
        <v>294428966</v>
      </c>
      <c r="F2682">
        <v>194098609</v>
      </c>
      <c r="P2682">
        <v>63</v>
      </c>
      <c r="Q2682" t="s">
        <v>5688</v>
      </c>
    </row>
    <row r="2683" spans="1:17" x14ac:dyDescent="0.3">
      <c r="A2683" t="s">
        <v>73</v>
      </c>
      <c r="B2683" t="str">
        <f>"001317"</f>
        <v>001317</v>
      </c>
      <c r="C2683" t="s">
        <v>5689</v>
      </c>
      <c r="D2683" t="s">
        <v>524</v>
      </c>
      <c r="E2683">
        <v>293913055</v>
      </c>
      <c r="P2683">
        <v>23</v>
      </c>
      <c r="Q2683" t="s">
        <v>5690</v>
      </c>
    </row>
    <row r="2684" spans="1:17" x14ac:dyDescent="0.3">
      <c r="A2684" t="s">
        <v>73</v>
      </c>
      <c r="B2684" t="str">
        <f>"000796"</f>
        <v>000796</v>
      </c>
      <c r="C2684" t="s">
        <v>5691</v>
      </c>
      <c r="D2684" t="s">
        <v>5692</v>
      </c>
      <c r="E2684">
        <v>293782274</v>
      </c>
      <c r="F2684">
        <v>614527483</v>
      </c>
      <c r="G2684">
        <v>882727283</v>
      </c>
      <c r="H2684">
        <v>1110894049</v>
      </c>
      <c r="I2684">
        <v>1105774076</v>
      </c>
      <c r="J2684">
        <v>815360853</v>
      </c>
      <c r="K2684">
        <v>456802091</v>
      </c>
      <c r="L2684">
        <v>240513813</v>
      </c>
      <c r="M2684">
        <v>264815236</v>
      </c>
      <c r="N2684">
        <v>203407277</v>
      </c>
      <c r="O2684">
        <v>203377604</v>
      </c>
      <c r="P2684">
        <v>224</v>
      </c>
      <c r="Q2684" t="s">
        <v>5693</v>
      </c>
    </row>
    <row r="2685" spans="1:17" x14ac:dyDescent="0.3">
      <c r="A2685" t="s">
        <v>17</v>
      </c>
      <c r="B2685" t="str">
        <f>"603215"</f>
        <v>603215</v>
      </c>
      <c r="C2685" t="s">
        <v>5694</v>
      </c>
      <c r="E2685">
        <v>293747636</v>
      </c>
      <c r="P2685">
        <v>13</v>
      </c>
      <c r="Q2685" t="s">
        <v>5695</v>
      </c>
    </row>
    <row r="2686" spans="1:17" x14ac:dyDescent="0.3">
      <c r="A2686" t="s">
        <v>73</v>
      </c>
      <c r="B2686" t="str">
        <f>"300010"</f>
        <v>300010</v>
      </c>
      <c r="C2686" t="s">
        <v>5696</v>
      </c>
      <c r="D2686" t="s">
        <v>4778</v>
      </c>
      <c r="E2686">
        <v>293041706</v>
      </c>
      <c r="F2686">
        <v>519526759</v>
      </c>
      <c r="G2686">
        <v>584778518</v>
      </c>
      <c r="H2686">
        <v>760092352</v>
      </c>
      <c r="I2686">
        <v>1053605992</v>
      </c>
      <c r="J2686">
        <v>798287537</v>
      </c>
      <c r="K2686">
        <v>601792530</v>
      </c>
      <c r="L2686">
        <v>434336311</v>
      </c>
      <c r="M2686">
        <v>355073565</v>
      </c>
      <c r="N2686">
        <v>234978039</v>
      </c>
      <c r="O2686">
        <v>230217259</v>
      </c>
      <c r="P2686">
        <v>262</v>
      </c>
      <c r="Q2686" t="s">
        <v>5697</v>
      </c>
    </row>
    <row r="2687" spans="1:17" x14ac:dyDescent="0.3">
      <c r="A2687" t="s">
        <v>73</v>
      </c>
      <c r="B2687" t="str">
        <f>"002970"</f>
        <v>002970</v>
      </c>
      <c r="C2687" t="s">
        <v>5698</v>
      </c>
      <c r="D2687" t="s">
        <v>158</v>
      </c>
      <c r="E2687">
        <v>292146212</v>
      </c>
      <c r="F2687">
        <v>290916317</v>
      </c>
      <c r="G2687">
        <v>355685797</v>
      </c>
      <c r="P2687">
        <v>563</v>
      </c>
      <c r="Q2687" t="s">
        <v>5699</v>
      </c>
    </row>
    <row r="2688" spans="1:17" x14ac:dyDescent="0.3">
      <c r="A2688" t="s">
        <v>17</v>
      </c>
      <c r="B2688" t="str">
        <f>"600171"</f>
        <v>600171</v>
      </c>
      <c r="C2688" t="s">
        <v>5700</v>
      </c>
      <c r="D2688" t="s">
        <v>3360</v>
      </c>
      <c r="E2688">
        <v>291633394</v>
      </c>
      <c r="F2688">
        <v>314848733</v>
      </c>
      <c r="G2688">
        <v>129223097</v>
      </c>
      <c r="H2688">
        <v>140165575</v>
      </c>
      <c r="I2688">
        <v>118355788</v>
      </c>
      <c r="J2688">
        <v>74785420</v>
      </c>
      <c r="K2688">
        <v>100071885</v>
      </c>
      <c r="L2688">
        <v>114750388</v>
      </c>
      <c r="M2688">
        <v>130993824</v>
      </c>
      <c r="N2688">
        <v>154546502</v>
      </c>
      <c r="O2688">
        <v>163725723</v>
      </c>
      <c r="P2688">
        <v>574</v>
      </c>
      <c r="Q2688" t="s">
        <v>5701</v>
      </c>
    </row>
    <row r="2689" spans="1:17" x14ac:dyDescent="0.3">
      <c r="A2689" t="s">
        <v>17</v>
      </c>
      <c r="B2689" t="str">
        <f>"601258"</f>
        <v>601258</v>
      </c>
      <c r="C2689" t="s">
        <v>5702</v>
      </c>
      <c r="D2689" t="s">
        <v>415</v>
      </c>
      <c r="E2689">
        <v>291193658</v>
      </c>
      <c r="F2689">
        <v>311496995</v>
      </c>
      <c r="G2689">
        <v>532596379</v>
      </c>
      <c r="H2689">
        <v>781620284</v>
      </c>
      <c r="I2689">
        <v>1244577808</v>
      </c>
      <c r="J2689">
        <v>1354929050</v>
      </c>
      <c r="K2689">
        <v>689312855</v>
      </c>
      <c r="L2689">
        <v>604853286</v>
      </c>
      <c r="M2689">
        <v>978426455</v>
      </c>
      <c r="N2689">
        <v>1394719586</v>
      </c>
      <c r="O2689">
        <v>999360733</v>
      </c>
      <c r="P2689">
        <v>133</v>
      </c>
      <c r="Q2689" t="s">
        <v>5703</v>
      </c>
    </row>
    <row r="2690" spans="1:17" x14ac:dyDescent="0.3">
      <c r="A2690" t="s">
        <v>73</v>
      </c>
      <c r="B2690" t="str">
        <f>"002892"</f>
        <v>002892</v>
      </c>
      <c r="C2690" t="s">
        <v>5704</v>
      </c>
      <c r="D2690" t="s">
        <v>689</v>
      </c>
      <c r="E2690">
        <v>290989694</v>
      </c>
      <c r="F2690">
        <v>238228643</v>
      </c>
      <c r="G2690">
        <v>133104974</v>
      </c>
      <c r="H2690">
        <v>123847702</v>
      </c>
      <c r="I2690">
        <v>89596028</v>
      </c>
      <c r="P2690">
        <v>145</v>
      </c>
      <c r="Q2690" t="s">
        <v>5705</v>
      </c>
    </row>
    <row r="2691" spans="1:17" x14ac:dyDescent="0.3">
      <c r="A2691" t="s">
        <v>17</v>
      </c>
      <c r="B2691" t="str">
        <f>"603931"</f>
        <v>603931</v>
      </c>
      <c r="C2691" t="s">
        <v>5706</v>
      </c>
      <c r="D2691" t="s">
        <v>2178</v>
      </c>
      <c r="E2691">
        <v>290643417</v>
      </c>
      <c r="F2691">
        <v>184229397</v>
      </c>
      <c r="G2691">
        <v>136932293</v>
      </c>
      <c r="P2691">
        <v>88</v>
      </c>
      <c r="Q2691" t="s">
        <v>5707</v>
      </c>
    </row>
    <row r="2692" spans="1:17" x14ac:dyDescent="0.3">
      <c r="A2692" t="s">
        <v>17</v>
      </c>
      <c r="B2692" t="str">
        <f>"601366"</f>
        <v>601366</v>
      </c>
      <c r="C2692" t="s">
        <v>5708</v>
      </c>
      <c r="D2692" t="s">
        <v>3897</v>
      </c>
      <c r="E2692">
        <v>290633167</v>
      </c>
      <c r="F2692">
        <v>254224264</v>
      </c>
      <c r="G2692">
        <v>140942873</v>
      </c>
      <c r="H2692">
        <v>189779084</v>
      </c>
      <c r="I2692">
        <v>160090151</v>
      </c>
      <c r="J2692">
        <v>148651086</v>
      </c>
      <c r="P2692">
        <v>132</v>
      </c>
      <c r="Q2692" t="s">
        <v>5709</v>
      </c>
    </row>
    <row r="2693" spans="1:17" x14ac:dyDescent="0.3">
      <c r="A2693" t="s">
        <v>73</v>
      </c>
      <c r="B2693" t="str">
        <f>"300468"</f>
        <v>300468</v>
      </c>
      <c r="C2693" t="s">
        <v>5710</v>
      </c>
      <c r="D2693" t="s">
        <v>795</v>
      </c>
      <c r="E2693">
        <v>290294304</v>
      </c>
      <c r="F2693">
        <v>262124224</v>
      </c>
      <c r="G2693">
        <v>224805448</v>
      </c>
      <c r="H2693">
        <v>174987475</v>
      </c>
      <c r="I2693">
        <v>218435080</v>
      </c>
      <c r="J2693">
        <v>151866310</v>
      </c>
      <c r="K2693">
        <v>101207915</v>
      </c>
      <c r="L2693">
        <v>0</v>
      </c>
      <c r="M2693">
        <v>0</v>
      </c>
      <c r="P2693">
        <v>213</v>
      </c>
      <c r="Q2693" t="s">
        <v>5711</v>
      </c>
    </row>
    <row r="2694" spans="1:17" x14ac:dyDescent="0.3">
      <c r="A2694" t="s">
        <v>73</v>
      </c>
      <c r="B2694" t="str">
        <f>"002644"</f>
        <v>002644</v>
      </c>
      <c r="C2694" t="s">
        <v>5712</v>
      </c>
      <c r="D2694" t="s">
        <v>215</v>
      </c>
      <c r="E2694">
        <v>290232072</v>
      </c>
      <c r="F2694">
        <v>272524893</v>
      </c>
      <c r="G2694">
        <v>233038971</v>
      </c>
      <c r="H2694">
        <v>193139576</v>
      </c>
      <c r="I2694">
        <v>137708774</v>
      </c>
      <c r="J2694">
        <v>71014932</v>
      </c>
      <c r="K2694">
        <v>62430517</v>
      </c>
      <c r="L2694">
        <v>86378621</v>
      </c>
      <c r="M2694">
        <v>109435375</v>
      </c>
      <c r="N2694">
        <v>132226786</v>
      </c>
      <c r="O2694">
        <v>103230958</v>
      </c>
      <c r="P2694">
        <v>163</v>
      </c>
      <c r="Q2694" t="s">
        <v>5713</v>
      </c>
    </row>
    <row r="2695" spans="1:17" x14ac:dyDescent="0.3">
      <c r="A2695" t="s">
        <v>73</v>
      </c>
      <c r="B2695" t="str">
        <f>"300632"</f>
        <v>300632</v>
      </c>
      <c r="C2695" t="s">
        <v>5714</v>
      </c>
      <c r="D2695" t="s">
        <v>737</v>
      </c>
      <c r="E2695">
        <v>289243244</v>
      </c>
      <c r="F2695">
        <v>274022485</v>
      </c>
      <c r="G2695">
        <v>225878409</v>
      </c>
      <c r="H2695">
        <v>212076725</v>
      </c>
      <c r="I2695">
        <v>133650163</v>
      </c>
      <c r="J2695">
        <v>118223190</v>
      </c>
      <c r="K2695">
        <v>0</v>
      </c>
      <c r="P2695">
        <v>201</v>
      </c>
      <c r="Q2695" t="s">
        <v>5715</v>
      </c>
    </row>
    <row r="2696" spans="1:17" x14ac:dyDescent="0.3">
      <c r="A2696" t="s">
        <v>73</v>
      </c>
      <c r="B2696" t="str">
        <f>"002164"</f>
        <v>002164</v>
      </c>
      <c r="C2696" t="s">
        <v>5716</v>
      </c>
      <c r="D2696" t="s">
        <v>146</v>
      </c>
      <c r="E2696">
        <v>289195376</v>
      </c>
      <c r="F2696">
        <v>284274363</v>
      </c>
      <c r="G2696">
        <v>252634240</v>
      </c>
      <c r="H2696">
        <v>214256382</v>
      </c>
      <c r="I2696">
        <v>4830809038</v>
      </c>
      <c r="J2696">
        <v>279036529</v>
      </c>
      <c r="K2696">
        <v>350478612</v>
      </c>
      <c r="L2696">
        <v>347851245</v>
      </c>
      <c r="M2696">
        <v>360464443</v>
      </c>
      <c r="N2696">
        <v>325895349</v>
      </c>
      <c r="O2696">
        <v>301684826</v>
      </c>
      <c r="P2696">
        <v>187</v>
      </c>
      <c r="Q2696" t="s">
        <v>5717</v>
      </c>
    </row>
    <row r="2697" spans="1:17" x14ac:dyDescent="0.3">
      <c r="A2697" t="s">
        <v>73</v>
      </c>
      <c r="B2697" t="str">
        <f>"300480"</f>
        <v>300480</v>
      </c>
      <c r="C2697" t="s">
        <v>5718</v>
      </c>
      <c r="D2697" t="s">
        <v>311</v>
      </c>
      <c r="E2697">
        <v>289097385</v>
      </c>
      <c r="F2697">
        <v>196072216</v>
      </c>
      <c r="G2697">
        <v>163375847</v>
      </c>
      <c r="H2697">
        <v>135611689</v>
      </c>
      <c r="I2697">
        <v>133098860</v>
      </c>
      <c r="J2697">
        <v>147235415</v>
      </c>
      <c r="K2697">
        <v>124896266</v>
      </c>
      <c r="L2697">
        <v>0</v>
      </c>
      <c r="M2697">
        <v>0</v>
      </c>
      <c r="P2697">
        <v>84</v>
      </c>
      <c r="Q2697" t="s">
        <v>5719</v>
      </c>
    </row>
    <row r="2698" spans="1:17" x14ac:dyDescent="0.3">
      <c r="A2698" t="s">
        <v>73</v>
      </c>
      <c r="B2698" t="str">
        <f>"002842"</f>
        <v>002842</v>
      </c>
      <c r="C2698" t="s">
        <v>5720</v>
      </c>
      <c r="D2698" t="s">
        <v>507</v>
      </c>
      <c r="E2698">
        <v>288519971</v>
      </c>
      <c r="F2698">
        <v>253255316</v>
      </c>
      <c r="G2698">
        <v>306106782</v>
      </c>
      <c r="H2698">
        <v>340791587</v>
      </c>
      <c r="I2698">
        <v>177730822</v>
      </c>
      <c r="J2698">
        <v>177193635</v>
      </c>
      <c r="P2698">
        <v>99</v>
      </c>
      <c r="Q2698" t="s">
        <v>5721</v>
      </c>
    </row>
    <row r="2699" spans="1:17" x14ac:dyDescent="0.3">
      <c r="A2699" t="s">
        <v>17</v>
      </c>
      <c r="B2699" t="str">
        <f>"688161"</f>
        <v>688161</v>
      </c>
      <c r="C2699" t="s">
        <v>5722</v>
      </c>
      <c r="D2699" t="s">
        <v>1523</v>
      </c>
      <c r="E2699">
        <v>288512765</v>
      </c>
      <c r="F2699">
        <v>327770134</v>
      </c>
      <c r="P2699">
        <v>101</v>
      </c>
      <c r="Q2699" t="s">
        <v>5723</v>
      </c>
    </row>
    <row r="2700" spans="1:17" x14ac:dyDescent="0.3">
      <c r="A2700" t="s">
        <v>17</v>
      </c>
      <c r="B2700" t="str">
        <f>"603895"</f>
        <v>603895</v>
      </c>
      <c r="C2700" t="s">
        <v>5724</v>
      </c>
      <c r="D2700" t="s">
        <v>1451</v>
      </c>
      <c r="E2700">
        <v>287944322</v>
      </c>
      <c r="F2700">
        <v>212764624</v>
      </c>
      <c r="G2700">
        <v>254985270</v>
      </c>
      <c r="H2700">
        <v>306688730</v>
      </c>
      <c r="I2700">
        <v>206777049</v>
      </c>
      <c r="P2700">
        <v>65</v>
      </c>
      <c r="Q2700" t="s">
        <v>5725</v>
      </c>
    </row>
    <row r="2701" spans="1:17" x14ac:dyDescent="0.3">
      <c r="A2701" t="s">
        <v>17</v>
      </c>
      <c r="B2701" t="str">
        <f>"603500"</f>
        <v>603500</v>
      </c>
      <c r="C2701" t="s">
        <v>5726</v>
      </c>
      <c r="D2701" t="s">
        <v>47</v>
      </c>
      <c r="E2701">
        <v>287644326</v>
      </c>
      <c r="F2701">
        <v>265131853</v>
      </c>
      <c r="G2701">
        <v>203771708</v>
      </c>
      <c r="H2701">
        <v>226772795</v>
      </c>
      <c r="I2701">
        <v>247455009</v>
      </c>
      <c r="P2701">
        <v>91</v>
      </c>
      <c r="Q2701" t="s">
        <v>5727</v>
      </c>
    </row>
    <row r="2702" spans="1:17" x14ac:dyDescent="0.3">
      <c r="A2702" t="s">
        <v>17</v>
      </c>
      <c r="B2702" t="str">
        <f>"603390"</f>
        <v>603390</v>
      </c>
      <c r="C2702" t="s">
        <v>5728</v>
      </c>
      <c r="D2702" t="s">
        <v>442</v>
      </c>
      <c r="E2702">
        <v>287505718</v>
      </c>
      <c r="F2702">
        <v>389638075</v>
      </c>
      <c r="G2702">
        <v>404698857</v>
      </c>
      <c r="H2702">
        <v>509790608</v>
      </c>
      <c r="I2702">
        <v>412128062</v>
      </c>
      <c r="P2702">
        <v>89</v>
      </c>
      <c r="Q2702" t="s">
        <v>5729</v>
      </c>
    </row>
    <row r="2703" spans="1:17" x14ac:dyDescent="0.3">
      <c r="A2703" t="s">
        <v>17</v>
      </c>
      <c r="B2703" t="str">
        <f>"600618"</f>
        <v>600618</v>
      </c>
      <c r="C2703" t="s">
        <v>5730</v>
      </c>
      <c r="D2703" t="s">
        <v>641</v>
      </c>
      <c r="E2703">
        <v>287081784</v>
      </c>
      <c r="F2703">
        <v>191755052</v>
      </c>
      <c r="G2703">
        <v>273847161</v>
      </c>
      <c r="H2703">
        <v>210886740</v>
      </c>
      <c r="I2703">
        <v>242790404</v>
      </c>
      <c r="J2703">
        <v>327131947</v>
      </c>
      <c r="K2703">
        <v>311455938</v>
      </c>
      <c r="L2703">
        <v>376142630</v>
      </c>
      <c r="M2703">
        <v>234299734</v>
      </c>
      <c r="N2703">
        <v>317460997</v>
      </c>
      <c r="O2703">
        <v>240501824</v>
      </c>
      <c r="P2703">
        <v>253</v>
      </c>
      <c r="Q2703" t="s">
        <v>5731</v>
      </c>
    </row>
    <row r="2704" spans="1:17" x14ac:dyDescent="0.3">
      <c r="A2704" t="s">
        <v>73</v>
      </c>
      <c r="B2704" t="str">
        <f>"301129"</f>
        <v>301129</v>
      </c>
      <c r="C2704" t="s">
        <v>5732</v>
      </c>
      <c r="D2704" t="s">
        <v>2280</v>
      </c>
      <c r="E2704">
        <v>286886302</v>
      </c>
      <c r="P2704">
        <v>22</v>
      </c>
      <c r="Q2704" t="s">
        <v>5733</v>
      </c>
    </row>
    <row r="2705" spans="1:17" x14ac:dyDescent="0.3">
      <c r="A2705" t="s">
        <v>17</v>
      </c>
      <c r="B2705" t="str">
        <f>"603529"</f>
        <v>603529</v>
      </c>
      <c r="C2705" t="s">
        <v>5734</v>
      </c>
      <c r="D2705" t="s">
        <v>3193</v>
      </c>
      <c r="E2705">
        <v>286679001</v>
      </c>
      <c r="F2705">
        <v>267126008</v>
      </c>
      <c r="P2705">
        <v>73</v>
      </c>
      <c r="Q2705" t="s">
        <v>5735</v>
      </c>
    </row>
    <row r="2706" spans="1:17" x14ac:dyDescent="0.3">
      <c r="A2706" t="s">
        <v>73</v>
      </c>
      <c r="B2706" t="str">
        <f>"000816"</f>
        <v>000816</v>
      </c>
      <c r="C2706" t="s">
        <v>5736</v>
      </c>
      <c r="D2706" t="s">
        <v>122</v>
      </c>
      <c r="E2706">
        <v>286532286</v>
      </c>
      <c r="F2706">
        <v>249881424</v>
      </c>
      <c r="G2706">
        <v>201898596</v>
      </c>
      <c r="H2706">
        <v>184278012</v>
      </c>
      <c r="I2706">
        <v>328715434</v>
      </c>
      <c r="J2706">
        <v>519719105</v>
      </c>
      <c r="K2706">
        <v>494095864</v>
      </c>
      <c r="L2706">
        <v>557616763</v>
      </c>
      <c r="M2706">
        <v>367272743</v>
      </c>
      <c r="N2706">
        <v>375582198</v>
      </c>
      <c r="O2706">
        <v>291612080</v>
      </c>
      <c r="P2706">
        <v>153</v>
      </c>
      <c r="Q2706" t="s">
        <v>5737</v>
      </c>
    </row>
    <row r="2707" spans="1:17" x14ac:dyDescent="0.3">
      <c r="A2707" t="s">
        <v>17</v>
      </c>
      <c r="B2707" t="str">
        <f>"601975"</f>
        <v>601975</v>
      </c>
      <c r="C2707" t="s">
        <v>5738</v>
      </c>
      <c r="D2707" t="s">
        <v>246</v>
      </c>
      <c r="E2707">
        <v>286419887</v>
      </c>
      <c r="F2707">
        <v>150672769</v>
      </c>
      <c r="G2707">
        <v>288714369</v>
      </c>
      <c r="H2707">
        <v>402884504</v>
      </c>
      <c r="I2707">
        <v>0</v>
      </c>
      <c r="M2707">
        <v>605296482</v>
      </c>
      <c r="N2707">
        <v>540315520</v>
      </c>
      <c r="O2707">
        <v>559165163</v>
      </c>
      <c r="P2707">
        <v>270</v>
      </c>
      <c r="Q2707" t="s">
        <v>5739</v>
      </c>
    </row>
    <row r="2708" spans="1:17" x14ac:dyDescent="0.3">
      <c r="A2708" t="s">
        <v>73</v>
      </c>
      <c r="B2708" t="str">
        <f>"301013"</f>
        <v>301013</v>
      </c>
      <c r="C2708" t="s">
        <v>5740</v>
      </c>
      <c r="D2708" t="s">
        <v>1451</v>
      </c>
      <c r="E2708">
        <v>286136648</v>
      </c>
      <c r="F2708">
        <v>157441959</v>
      </c>
      <c r="G2708">
        <v>127151486</v>
      </c>
      <c r="P2708">
        <v>20</v>
      </c>
      <c r="Q2708" t="s">
        <v>5741</v>
      </c>
    </row>
    <row r="2709" spans="1:17" x14ac:dyDescent="0.3">
      <c r="A2709" t="s">
        <v>73</v>
      </c>
      <c r="B2709" t="str">
        <f>"300135"</f>
        <v>300135</v>
      </c>
      <c r="C2709" t="s">
        <v>5742</v>
      </c>
      <c r="D2709" t="s">
        <v>998</v>
      </c>
      <c r="E2709">
        <v>285999107</v>
      </c>
      <c r="F2709">
        <v>334813956</v>
      </c>
      <c r="G2709">
        <v>415808749</v>
      </c>
      <c r="H2709">
        <v>349116070</v>
      </c>
      <c r="I2709">
        <v>244980343</v>
      </c>
      <c r="J2709">
        <v>356616273</v>
      </c>
      <c r="K2709">
        <v>572967278</v>
      </c>
      <c r="L2709">
        <v>637515948</v>
      </c>
      <c r="M2709">
        <v>605066408</v>
      </c>
      <c r="N2709">
        <v>311242977</v>
      </c>
      <c r="O2709">
        <v>243255468</v>
      </c>
      <c r="P2709">
        <v>49</v>
      </c>
      <c r="Q2709" t="s">
        <v>5743</v>
      </c>
    </row>
    <row r="2710" spans="1:17" x14ac:dyDescent="0.3">
      <c r="A2710" t="s">
        <v>73</v>
      </c>
      <c r="B2710" t="str">
        <f>"300097"</f>
        <v>300097</v>
      </c>
      <c r="C2710" t="s">
        <v>5744</v>
      </c>
      <c r="D2710" t="s">
        <v>1967</v>
      </c>
      <c r="E2710">
        <v>285874138</v>
      </c>
      <c r="F2710">
        <v>547486075</v>
      </c>
      <c r="G2710">
        <v>365061776</v>
      </c>
      <c r="H2710">
        <v>510483737</v>
      </c>
      <c r="I2710">
        <v>509604468</v>
      </c>
      <c r="J2710">
        <v>442308889</v>
      </c>
      <c r="K2710">
        <v>330661508</v>
      </c>
      <c r="L2710">
        <v>154608720</v>
      </c>
      <c r="M2710">
        <v>93531718</v>
      </c>
      <c r="N2710">
        <v>85923154</v>
      </c>
      <c r="O2710">
        <v>86476841</v>
      </c>
      <c r="P2710">
        <v>203</v>
      </c>
      <c r="Q2710" t="s">
        <v>5745</v>
      </c>
    </row>
    <row r="2711" spans="1:17" x14ac:dyDescent="0.3">
      <c r="A2711" t="s">
        <v>17</v>
      </c>
      <c r="B2711" t="str">
        <f>"603200"</f>
        <v>603200</v>
      </c>
      <c r="C2711" t="s">
        <v>5746</v>
      </c>
      <c r="D2711" t="s">
        <v>308</v>
      </c>
      <c r="E2711">
        <v>285716001</v>
      </c>
      <c r="F2711">
        <v>247788960</v>
      </c>
      <c r="G2711">
        <v>157581224</v>
      </c>
      <c r="H2711">
        <v>235252801</v>
      </c>
      <c r="I2711">
        <v>146030490</v>
      </c>
      <c r="J2711">
        <v>154989822</v>
      </c>
      <c r="P2711">
        <v>101</v>
      </c>
      <c r="Q2711" t="s">
        <v>5747</v>
      </c>
    </row>
    <row r="2712" spans="1:17" x14ac:dyDescent="0.3">
      <c r="A2712" t="s">
        <v>73</v>
      </c>
      <c r="B2712" t="str">
        <f>"300705"</f>
        <v>300705</v>
      </c>
      <c r="C2712" t="s">
        <v>5748</v>
      </c>
      <c r="D2712" t="s">
        <v>348</v>
      </c>
      <c r="E2712">
        <v>285686701</v>
      </c>
      <c r="F2712">
        <v>179681275</v>
      </c>
      <c r="G2712">
        <v>133102336</v>
      </c>
      <c r="H2712">
        <v>118835874</v>
      </c>
      <c r="I2712">
        <v>108455133</v>
      </c>
      <c r="J2712">
        <v>0</v>
      </c>
      <c r="P2712">
        <v>167</v>
      </c>
      <c r="Q2712" t="s">
        <v>5749</v>
      </c>
    </row>
    <row r="2713" spans="1:17" x14ac:dyDescent="0.3">
      <c r="A2713" t="s">
        <v>17</v>
      </c>
      <c r="B2713" t="str">
        <f>"600279"</f>
        <v>600279</v>
      </c>
      <c r="C2713" t="s">
        <v>5750</v>
      </c>
      <c r="D2713" t="s">
        <v>706</v>
      </c>
      <c r="E2713">
        <v>285531354</v>
      </c>
      <c r="F2713">
        <v>281870986</v>
      </c>
      <c r="G2713">
        <v>297583796</v>
      </c>
      <c r="H2713">
        <v>274798852</v>
      </c>
      <c r="I2713">
        <v>208773253</v>
      </c>
      <c r="J2713">
        <v>244910921</v>
      </c>
      <c r="K2713">
        <v>237260507</v>
      </c>
      <c r="L2713">
        <v>207284467</v>
      </c>
      <c r="M2713">
        <v>223455907</v>
      </c>
      <c r="N2713">
        <v>162350117</v>
      </c>
      <c r="O2713">
        <v>155246483</v>
      </c>
      <c r="P2713">
        <v>125</v>
      </c>
      <c r="Q2713" t="s">
        <v>5751</v>
      </c>
    </row>
    <row r="2714" spans="1:17" x14ac:dyDescent="0.3">
      <c r="A2714" t="s">
        <v>17</v>
      </c>
      <c r="B2714" t="str">
        <f>"688199"</f>
        <v>688199</v>
      </c>
      <c r="C2714" t="s">
        <v>5752</v>
      </c>
      <c r="D2714" t="s">
        <v>588</v>
      </c>
      <c r="E2714">
        <v>285300755</v>
      </c>
      <c r="F2714">
        <v>236655818</v>
      </c>
      <c r="G2714">
        <v>200449294</v>
      </c>
      <c r="H2714">
        <v>288191955</v>
      </c>
      <c r="I2714">
        <v>171897204</v>
      </c>
      <c r="P2714">
        <v>94</v>
      </c>
      <c r="Q2714" t="s">
        <v>5753</v>
      </c>
    </row>
    <row r="2715" spans="1:17" x14ac:dyDescent="0.3">
      <c r="A2715" t="s">
        <v>73</v>
      </c>
      <c r="B2715" t="str">
        <f>"000782"</f>
        <v>000782</v>
      </c>
      <c r="C2715" t="s">
        <v>5754</v>
      </c>
      <c r="D2715" t="s">
        <v>1911</v>
      </c>
      <c r="E2715">
        <v>285183880</v>
      </c>
      <c r="F2715">
        <v>274307963</v>
      </c>
      <c r="G2715">
        <v>140337551</v>
      </c>
      <c r="H2715">
        <v>189008997</v>
      </c>
      <c r="I2715">
        <v>135531936</v>
      </c>
      <c r="J2715">
        <v>141115344</v>
      </c>
      <c r="K2715">
        <v>100349739</v>
      </c>
      <c r="L2715">
        <v>87610631</v>
      </c>
      <c r="M2715">
        <v>81901427</v>
      </c>
      <c r="N2715">
        <v>80558395</v>
      </c>
      <c r="O2715">
        <v>103976359</v>
      </c>
      <c r="P2715">
        <v>64</v>
      </c>
      <c r="Q2715" t="s">
        <v>5755</v>
      </c>
    </row>
    <row r="2716" spans="1:17" x14ac:dyDescent="0.3">
      <c r="A2716" t="s">
        <v>17</v>
      </c>
      <c r="B2716" t="str">
        <f>"688202"</f>
        <v>688202</v>
      </c>
      <c r="C2716" t="s">
        <v>5756</v>
      </c>
      <c r="D2716" t="s">
        <v>459</v>
      </c>
      <c r="E2716">
        <v>285173458</v>
      </c>
      <c r="F2716">
        <v>195784155</v>
      </c>
      <c r="G2716">
        <v>134362675</v>
      </c>
      <c r="P2716">
        <v>382</v>
      </c>
      <c r="Q2716" t="s">
        <v>5757</v>
      </c>
    </row>
    <row r="2717" spans="1:17" x14ac:dyDescent="0.3">
      <c r="A2717" t="s">
        <v>73</v>
      </c>
      <c r="B2717" t="str">
        <f>"300334"</f>
        <v>300334</v>
      </c>
      <c r="C2717" t="s">
        <v>5758</v>
      </c>
      <c r="D2717" t="s">
        <v>308</v>
      </c>
      <c r="E2717">
        <v>284641954</v>
      </c>
      <c r="F2717">
        <v>325801475</v>
      </c>
      <c r="G2717">
        <v>267775890</v>
      </c>
      <c r="H2717">
        <v>400644252</v>
      </c>
      <c r="I2717">
        <v>369899567</v>
      </c>
      <c r="J2717">
        <v>345723755</v>
      </c>
      <c r="K2717">
        <v>329845204</v>
      </c>
      <c r="L2717">
        <v>241245741</v>
      </c>
      <c r="M2717">
        <v>229301298</v>
      </c>
      <c r="N2717">
        <v>114616998</v>
      </c>
      <c r="O2717">
        <v>56651792</v>
      </c>
      <c r="P2717">
        <v>80</v>
      </c>
      <c r="Q2717" t="s">
        <v>5759</v>
      </c>
    </row>
    <row r="2718" spans="1:17" x14ac:dyDescent="0.3">
      <c r="A2718" t="s">
        <v>17</v>
      </c>
      <c r="B2718" t="str">
        <f>"600148"</f>
        <v>600148</v>
      </c>
      <c r="C2718" t="s">
        <v>5760</v>
      </c>
      <c r="D2718" t="s">
        <v>122</v>
      </c>
      <c r="E2718">
        <v>284549011</v>
      </c>
      <c r="F2718">
        <v>429803210</v>
      </c>
      <c r="G2718">
        <v>323125592</v>
      </c>
      <c r="H2718">
        <v>309711660</v>
      </c>
      <c r="I2718">
        <v>295681032</v>
      </c>
      <c r="J2718">
        <v>293259766</v>
      </c>
      <c r="K2718">
        <v>188753036</v>
      </c>
      <c r="L2718">
        <v>222265260</v>
      </c>
      <c r="M2718">
        <v>220355795</v>
      </c>
      <c r="N2718">
        <v>195165879</v>
      </c>
      <c r="O2718">
        <v>208582987</v>
      </c>
      <c r="P2718">
        <v>75</v>
      </c>
      <c r="Q2718" t="s">
        <v>5761</v>
      </c>
    </row>
    <row r="2719" spans="1:17" x14ac:dyDescent="0.3">
      <c r="A2719" t="s">
        <v>73</v>
      </c>
      <c r="B2719" t="str">
        <f>"300105"</f>
        <v>300105</v>
      </c>
      <c r="C2719" t="s">
        <v>5762</v>
      </c>
      <c r="D2719" t="s">
        <v>2087</v>
      </c>
      <c r="E2719">
        <v>284532763</v>
      </c>
      <c r="F2719">
        <v>299146370</v>
      </c>
      <c r="G2719">
        <v>308539606</v>
      </c>
      <c r="H2719">
        <v>396695446</v>
      </c>
      <c r="I2719">
        <v>412603396</v>
      </c>
      <c r="J2719">
        <v>591235081</v>
      </c>
      <c r="K2719">
        <v>915090746</v>
      </c>
      <c r="L2719">
        <v>1084047582</v>
      </c>
      <c r="M2719">
        <v>793301764</v>
      </c>
      <c r="N2719">
        <v>700942196</v>
      </c>
      <c r="O2719">
        <v>410836586</v>
      </c>
      <c r="P2719">
        <v>56</v>
      </c>
      <c r="Q2719" t="s">
        <v>5763</v>
      </c>
    </row>
    <row r="2720" spans="1:17" x14ac:dyDescent="0.3">
      <c r="A2720" t="s">
        <v>73</v>
      </c>
      <c r="B2720" t="str">
        <f>"000790"</f>
        <v>000790</v>
      </c>
      <c r="C2720" t="s">
        <v>5764</v>
      </c>
      <c r="D2720" t="s">
        <v>215</v>
      </c>
      <c r="E2720">
        <v>284452095</v>
      </c>
      <c r="F2720">
        <v>253176506</v>
      </c>
      <c r="G2720">
        <v>251892481</v>
      </c>
      <c r="H2720">
        <v>281076431</v>
      </c>
      <c r="I2720">
        <v>303037780</v>
      </c>
      <c r="J2720">
        <v>326084413</v>
      </c>
      <c r="K2720">
        <v>272680054</v>
      </c>
      <c r="L2720">
        <v>280783039</v>
      </c>
      <c r="M2720">
        <v>304386347</v>
      </c>
      <c r="N2720">
        <v>321515951</v>
      </c>
      <c r="O2720">
        <v>230013956</v>
      </c>
      <c r="P2720">
        <v>175</v>
      </c>
      <c r="Q2720" t="s">
        <v>5765</v>
      </c>
    </row>
    <row r="2721" spans="1:17" x14ac:dyDescent="0.3">
      <c r="A2721" t="s">
        <v>73</v>
      </c>
      <c r="B2721" t="str">
        <f>"300022"</f>
        <v>300022</v>
      </c>
      <c r="C2721" t="s">
        <v>5766</v>
      </c>
      <c r="D2721" t="s">
        <v>1206</v>
      </c>
      <c r="E2721">
        <v>283780410</v>
      </c>
      <c r="F2721">
        <v>378669369</v>
      </c>
      <c r="G2721">
        <v>328037060</v>
      </c>
      <c r="H2721">
        <v>334126600</v>
      </c>
      <c r="I2721">
        <v>426604635</v>
      </c>
      <c r="J2721">
        <v>473467619</v>
      </c>
      <c r="K2721">
        <v>477064295</v>
      </c>
      <c r="L2721">
        <v>573550663</v>
      </c>
      <c r="M2721">
        <v>891248071</v>
      </c>
      <c r="N2721">
        <v>852639211</v>
      </c>
      <c r="O2721">
        <v>684300072</v>
      </c>
      <c r="P2721">
        <v>63</v>
      </c>
      <c r="Q2721" t="s">
        <v>5767</v>
      </c>
    </row>
    <row r="2722" spans="1:17" x14ac:dyDescent="0.3">
      <c r="A2722" t="s">
        <v>73</v>
      </c>
      <c r="B2722" t="str">
        <f>"300327"</f>
        <v>300327</v>
      </c>
      <c r="C2722" t="s">
        <v>5768</v>
      </c>
      <c r="D2722" t="s">
        <v>890</v>
      </c>
      <c r="E2722">
        <v>283657918</v>
      </c>
      <c r="F2722">
        <v>169376515</v>
      </c>
      <c r="G2722">
        <v>137824500</v>
      </c>
      <c r="H2722">
        <v>69659102</v>
      </c>
      <c r="I2722">
        <v>115350705</v>
      </c>
      <c r="J2722">
        <v>84144448</v>
      </c>
      <c r="K2722">
        <v>64022037</v>
      </c>
      <c r="L2722">
        <v>51162577</v>
      </c>
      <c r="M2722">
        <v>53318052</v>
      </c>
      <c r="N2722">
        <v>45378021</v>
      </c>
      <c r="O2722">
        <v>67925573</v>
      </c>
      <c r="P2722">
        <v>4063</v>
      </c>
      <c r="Q2722" t="s">
        <v>5769</v>
      </c>
    </row>
    <row r="2723" spans="1:17" x14ac:dyDescent="0.3">
      <c r="A2723" t="s">
        <v>73</v>
      </c>
      <c r="B2723" t="str">
        <f>"300514"</f>
        <v>300514</v>
      </c>
      <c r="C2723" t="s">
        <v>5770</v>
      </c>
      <c r="D2723" t="s">
        <v>1280</v>
      </c>
      <c r="E2723">
        <v>283362571</v>
      </c>
      <c r="F2723">
        <v>159211421</v>
      </c>
      <c r="G2723">
        <v>214377101</v>
      </c>
      <c r="H2723">
        <v>341268807</v>
      </c>
      <c r="I2723">
        <v>235389720</v>
      </c>
      <c r="J2723">
        <v>216424682</v>
      </c>
      <c r="K2723">
        <v>0</v>
      </c>
      <c r="P2723">
        <v>148</v>
      </c>
      <c r="Q2723" t="s">
        <v>5771</v>
      </c>
    </row>
    <row r="2724" spans="1:17" x14ac:dyDescent="0.3">
      <c r="A2724" t="s">
        <v>73</v>
      </c>
      <c r="B2724" t="str">
        <f>"000859"</f>
        <v>000859</v>
      </c>
      <c r="C2724" t="s">
        <v>5772</v>
      </c>
      <c r="D2724" t="s">
        <v>2271</v>
      </c>
      <c r="E2724">
        <v>283079534</v>
      </c>
      <c r="F2724">
        <v>198738041</v>
      </c>
      <c r="G2724">
        <v>145446570</v>
      </c>
      <c r="H2724">
        <v>178017446</v>
      </c>
      <c r="I2724">
        <v>178895757</v>
      </c>
      <c r="J2724">
        <v>188367721</v>
      </c>
      <c r="K2724">
        <v>134991298</v>
      </c>
      <c r="L2724">
        <v>152340997</v>
      </c>
      <c r="M2724">
        <v>165133008</v>
      </c>
      <c r="N2724">
        <v>176842766</v>
      </c>
      <c r="O2724">
        <v>156664407</v>
      </c>
      <c r="P2724">
        <v>118</v>
      </c>
      <c r="Q2724" t="s">
        <v>5773</v>
      </c>
    </row>
    <row r="2725" spans="1:17" x14ac:dyDescent="0.3">
      <c r="A2725" t="s">
        <v>17</v>
      </c>
      <c r="B2725" t="str">
        <f>"688350"</f>
        <v>688350</v>
      </c>
      <c r="C2725" t="s">
        <v>5774</v>
      </c>
      <c r="D2725" t="s">
        <v>588</v>
      </c>
      <c r="E2725">
        <v>282973741</v>
      </c>
      <c r="F2725">
        <v>248047438</v>
      </c>
      <c r="P2725">
        <v>34</v>
      </c>
      <c r="Q2725" t="s">
        <v>5775</v>
      </c>
    </row>
    <row r="2726" spans="1:17" x14ac:dyDescent="0.3">
      <c r="A2726" t="s">
        <v>73</v>
      </c>
      <c r="B2726" t="str">
        <f>"000529"</f>
        <v>000529</v>
      </c>
      <c r="C2726" t="s">
        <v>5776</v>
      </c>
      <c r="D2726" t="s">
        <v>1316</v>
      </c>
      <c r="E2726">
        <v>282750022</v>
      </c>
      <c r="F2726">
        <v>229832433</v>
      </c>
      <c r="G2726">
        <v>183689478</v>
      </c>
      <c r="H2726">
        <v>110916854</v>
      </c>
      <c r="I2726">
        <v>73927000</v>
      </c>
      <c r="J2726">
        <v>16049541</v>
      </c>
      <c r="K2726">
        <v>19193697</v>
      </c>
      <c r="L2726">
        <v>22807152</v>
      </c>
      <c r="M2726">
        <v>56721617</v>
      </c>
      <c r="N2726">
        <v>54772490</v>
      </c>
      <c r="O2726">
        <v>76365466</v>
      </c>
      <c r="P2726">
        <v>298</v>
      </c>
      <c r="Q2726" t="s">
        <v>5777</v>
      </c>
    </row>
    <row r="2727" spans="1:17" x14ac:dyDescent="0.3">
      <c r="A2727" t="s">
        <v>73</v>
      </c>
      <c r="B2727" t="str">
        <f>"300255"</f>
        <v>300255</v>
      </c>
      <c r="C2727" t="s">
        <v>5778</v>
      </c>
      <c r="D2727" t="s">
        <v>348</v>
      </c>
      <c r="E2727">
        <v>282556881</v>
      </c>
      <c r="F2727">
        <v>360573363</v>
      </c>
      <c r="G2727">
        <v>290259210</v>
      </c>
      <c r="H2727">
        <v>341414536</v>
      </c>
      <c r="I2727">
        <v>359193982</v>
      </c>
      <c r="J2727">
        <v>161234251</v>
      </c>
      <c r="K2727">
        <v>128065803</v>
      </c>
      <c r="L2727">
        <v>142976124</v>
      </c>
      <c r="M2727">
        <v>154552962</v>
      </c>
      <c r="N2727">
        <v>128231710</v>
      </c>
      <c r="O2727">
        <v>52229542</v>
      </c>
      <c r="P2727">
        <v>175</v>
      </c>
      <c r="Q2727" t="s">
        <v>5779</v>
      </c>
    </row>
    <row r="2728" spans="1:17" x14ac:dyDescent="0.3">
      <c r="A2728" t="s">
        <v>73</v>
      </c>
      <c r="B2728" t="str">
        <f>"300893"</f>
        <v>300893</v>
      </c>
      <c r="C2728" t="s">
        <v>5780</v>
      </c>
      <c r="D2728" t="s">
        <v>722</v>
      </c>
      <c r="E2728">
        <v>282302592</v>
      </c>
      <c r="F2728">
        <v>225272926</v>
      </c>
      <c r="G2728">
        <v>139791877</v>
      </c>
      <c r="P2728">
        <v>48</v>
      </c>
      <c r="Q2728" t="s">
        <v>5781</v>
      </c>
    </row>
    <row r="2729" spans="1:17" x14ac:dyDescent="0.3">
      <c r="A2729" t="s">
        <v>73</v>
      </c>
      <c r="B2729" t="str">
        <f>"301137"</f>
        <v>301137</v>
      </c>
      <c r="C2729" t="s">
        <v>5782</v>
      </c>
      <c r="E2729">
        <v>281873326</v>
      </c>
      <c r="P2729">
        <v>3</v>
      </c>
      <c r="Q2729" t="s">
        <v>5783</v>
      </c>
    </row>
    <row r="2730" spans="1:17" x14ac:dyDescent="0.3">
      <c r="A2730" t="s">
        <v>17</v>
      </c>
      <c r="B2730" t="str">
        <f>"688106"</f>
        <v>688106</v>
      </c>
      <c r="C2730" t="s">
        <v>5784</v>
      </c>
      <c r="D2730" t="s">
        <v>2178</v>
      </c>
      <c r="E2730">
        <v>281832108</v>
      </c>
      <c r="F2730">
        <v>185368863</v>
      </c>
      <c r="G2730">
        <v>151535896</v>
      </c>
      <c r="H2730">
        <v>0</v>
      </c>
      <c r="P2730">
        <v>136</v>
      </c>
      <c r="Q2730" t="s">
        <v>5785</v>
      </c>
    </row>
    <row r="2731" spans="1:17" x14ac:dyDescent="0.3">
      <c r="A2731" t="s">
        <v>17</v>
      </c>
      <c r="B2731" t="str">
        <f>"688190"</f>
        <v>688190</v>
      </c>
      <c r="C2731" t="s">
        <v>5786</v>
      </c>
      <c r="D2731" t="s">
        <v>1949</v>
      </c>
      <c r="E2731">
        <v>281691736</v>
      </c>
      <c r="P2731">
        <v>15</v>
      </c>
      <c r="Q2731" t="s">
        <v>5787</v>
      </c>
    </row>
    <row r="2732" spans="1:17" x14ac:dyDescent="0.3">
      <c r="A2732" t="s">
        <v>73</v>
      </c>
      <c r="B2732" t="str">
        <f>"300707"</f>
        <v>300707</v>
      </c>
      <c r="C2732" t="s">
        <v>5788</v>
      </c>
      <c r="D2732" t="s">
        <v>722</v>
      </c>
      <c r="E2732">
        <v>281389206</v>
      </c>
      <c r="F2732">
        <v>160337201</v>
      </c>
      <c r="G2732">
        <v>128297141</v>
      </c>
      <c r="H2732">
        <v>112228400</v>
      </c>
      <c r="I2732">
        <v>78367979</v>
      </c>
      <c r="J2732">
        <v>49546366</v>
      </c>
      <c r="P2732">
        <v>140</v>
      </c>
      <c r="Q2732" t="s">
        <v>5789</v>
      </c>
    </row>
    <row r="2733" spans="1:17" x14ac:dyDescent="0.3">
      <c r="A2733" t="s">
        <v>73</v>
      </c>
      <c r="B2733" t="str">
        <f>"002005"</f>
        <v>002005</v>
      </c>
      <c r="C2733" t="s">
        <v>5790</v>
      </c>
      <c r="D2733" t="s">
        <v>1186</v>
      </c>
      <c r="E2733">
        <v>281239832</v>
      </c>
      <c r="F2733">
        <v>365853622</v>
      </c>
      <c r="G2733">
        <v>503298615</v>
      </c>
      <c r="H2733">
        <v>921501412</v>
      </c>
      <c r="I2733">
        <v>1165016961</v>
      </c>
      <c r="J2733">
        <v>1286558739</v>
      </c>
      <c r="K2733">
        <v>1295216131</v>
      </c>
      <c r="L2733">
        <v>1310613397</v>
      </c>
      <c r="M2733">
        <v>1394678934</v>
      </c>
      <c r="N2733">
        <v>1503517159</v>
      </c>
      <c r="O2733">
        <v>975158086</v>
      </c>
      <c r="P2733">
        <v>74</v>
      </c>
      <c r="Q2733" t="s">
        <v>5791</v>
      </c>
    </row>
    <row r="2734" spans="1:17" x14ac:dyDescent="0.3">
      <c r="A2734" t="s">
        <v>73</v>
      </c>
      <c r="B2734" t="str">
        <f>"000639"</f>
        <v>000639</v>
      </c>
      <c r="C2734" t="s">
        <v>5792</v>
      </c>
      <c r="D2734" t="s">
        <v>373</v>
      </c>
      <c r="E2734">
        <v>280636369</v>
      </c>
      <c r="F2734">
        <v>293668057</v>
      </c>
      <c r="G2734">
        <v>330181121</v>
      </c>
      <c r="H2734">
        <v>424667348</v>
      </c>
      <c r="I2734">
        <v>342597836</v>
      </c>
      <c r="J2734">
        <v>628670826</v>
      </c>
      <c r="K2734">
        <v>192484739</v>
      </c>
      <c r="L2734">
        <v>119675194</v>
      </c>
      <c r="M2734">
        <v>89173417</v>
      </c>
      <c r="N2734">
        <v>122803108</v>
      </c>
      <c r="O2734">
        <v>135242653</v>
      </c>
      <c r="P2734">
        <v>328</v>
      </c>
      <c r="Q2734" t="s">
        <v>5793</v>
      </c>
    </row>
    <row r="2735" spans="1:17" x14ac:dyDescent="0.3">
      <c r="A2735" t="s">
        <v>17</v>
      </c>
      <c r="B2735" t="str">
        <f>"603007"</f>
        <v>603007</v>
      </c>
      <c r="C2735" t="s">
        <v>5794</v>
      </c>
      <c r="D2735" t="s">
        <v>445</v>
      </c>
      <c r="E2735">
        <v>280255940</v>
      </c>
      <c r="F2735">
        <v>471633445</v>
      </c>
      <c r="G2735">
        <v>369040581</v>
      </c>
      <c r="H2735">
        <v>418423534</v>
      </c>
      <c r="I2735">
        <v>307489996</v>
      </c>
      <c r="J2735">
        <v>145568295</v>
      </c>
      <c r="K2735">
        <v>0</v>
      </c>
      <c r="L2735">
        <v>0</v>
      </c>
      <c r="P2735">
        <v>81</v>
      </c>
      <c r="Q2735" t="s">
        <v>5795</v>
      </c>
    </row>
    <row r="2736" spans="1:17" x14ac:dyDescent="0.3">
      <c r="A2736" t="s">
        <v>73</v>
      </c>
      <c r="B2736" t="str">
        <f>"300414"</f>
        <v>300414</v>
      </c>
      <c r="C2736" t="s">
        <v>5796</v>
      </c>
      <c r="D2736" t="s">
        <v>2542</v>
      </c>
      <c r="E2736">
        <v>280237760</v>
      </c>
      <c r="F2736">
        <v>230074566</v>
      </c>
      <c r="G2736">
        <v>161389072</v>
      </c>
      <c r="H2736">
        <v>185975515</v>
      </c>
      <c r="I2736">
        <v>170334148</v>
      </c>
      <c r="J2736">
        <v>91541129</v>
      </c>
      <c r="K2736">
        <v>114838895</v>
      </c>
      <c r="L2736">
        <v>0</v>
      </c>
      <c r="M2736">
        <v>0</v>
      </c>
      <c r="P2736">
        <v>219</v>
      </c>
      <c r="Q2736" t="s">
        <v>5797</v>
      </c>
    </row>
    <row r="2737" spans="1:17" x14ac:dyDescent="0.3">
      <c r="A2737" t="s">
        <v>73</v>
      </c>
      <c r="B2737" t="str">
        <f>"001210"</f>
        <v>001210</v>
      </c>
      <c r="C2737" t="s">
        <v>5798</v>
      </c>
      <c r="D2737" t="s">
        <v>1106</v>
      </c>
      <c r="E2737">
        <v>280227642</v>
      </c>
      <c r="F2737">
        <v>210077465</v>
      </c>
      <c r="P2737">
        <v>27</v>
      </c>
      <c r="Q2737" t="s">
        <v>5799</v>
      </c>
    </row>
    <row r="2738" spans="1:17" x14ac:dyDescent="0.3">
      <c r="A2738" t="s">
        <v>73</v>
      </c>
      <c r="B2738" t="str">
        <f>"300826"</f>
        <v>300826</v>
      </c>
      <c r="C2738" t="s">
        <v>5800</v>
      </c>
      <c r="D2738" t="s">
        <v>661</v>
      </c>
      <c r="E2738">
        <v>280223635</v>
      </c>
      <c r="F2738">
        <v>214146946</v>
      </c>
      <c r="G2738">
        <v>265000770</v>
      </c>
      <c r="P2738">
        <v>61</v>
      </c>
      <c r="Q2738" t="s">
        <v>5801</v>
      </c>
    </row>
    <row r="2739" spans="1:17" x14ac:dyDescent="0.3">
      <c r="A2739" t="s">
        <v>17</v>
      </c>
      <c r="B2739" t="str">
        <f>"688071"</f>
        <v>688071</v>
      </c>
      <c r="C2739" t="s">
        <v>5802</v>
      </c>
      <c r="D2739" t="s">
        <v>1451</v>
      </c>
      <c r="E2739">
        <v>280180545</v>
      </c>
      <c r="F2739">
        <v>172874095</v>
      </c>
      <c r="G2739">
        <v>108955462</v>
      </c>
      <c r="P2739">
        <v>28</v>
      </c>
      <c r="Q2739" t="s">
        <v>5803</v>
      </c>
    </row>
    <row r="2740" spans="1:17" x14ac:dyDescent="0.3">
      <c r="A2740" t="s">
        <v>73</v>
      </c>
      <c r="B2740" t="str">
        <f>"300557"</f>
        <v>300557</v>
      </c>
      <c r="C2740" t="s">
        <v>5804</v>
      </c>
      <c r="D2740" t="s">
        <v>2280</v>
      </c>
      <c r="E2740">
        <v>279741155</v>
      </c>
      <c r="F2740">
        <v>216598196</v>
      </c>
      <c r="G2740">
        <v>253071899</v>
      </c>
      <c r="H2740">
        <v>198277095</v>
      </c>
      <c r="I2740">
        <v>176653955</v>
      </c>
      <c r="J2740">
        <v>142917860</v>
      </c>
      <c r="K2740">
        <v>0</v>
      </c>
      <c r="P2740">
        <v>61</v>
      </c>
      <c r="Q2740" t="s">
        <v>5805</v>
      </c>
    </row>
    <row r="2741" spans="1:17" x14ac:dyDescent="0.3">
      <c r="A2741" t="s">
        <v>73</v>
      </c>
      <c r="B2741" t="str">
        <f>"002162"</f>
        <v>002162</v>
      </c>
      <c r="C2741" t="s">
        <v>5806</v>
      </c>
      <c r="D2741" t="s">
        <v>972</v>
      </c>
      <c r="E2741">
        <v>279575176</v>
      </c>
      <c r="F2741">
        <v>243415984</v>
      </c>
      <c r="G2741">
        <v>152119598</v>
      </c>
      <c r="H2741">
        <v>128742919</v>
      </c>
      <c r="I2741">
        <v>115854200</v>
      </c>
      <c r="J2741">
        <v>105667825</v>
      </c>
      <c r="K2741">
        <v>135459746</v>
      </c>
      <c r="L2741">
        <v>120034985</v>
      </c>
      <c r="M2741">
        <v>102674799</v>
      </c>
      <c r="N2741">
        <v>113050547</v>
      </c>
      <c r="O2741">
        <v>107176719</v>
      </c>
      <c r="P2741">
        <v>137</v>
      </c>
      <c r="Q2741" t="s">
        <v>5807</v>
      </c>
    </row>
    <row r="2742" spans="1:17" x14ac:dyDescent="0.3">
      <c r="A2742" t="s">
        <v>17</v>
      </c>
      <c r="B2742" t="str">
        <f>"688670"</f>
        <v>688670</v>
      </c>
      <c r="C2742" t="s">
        <v>5808</v>
      </c>
      <c r="D2742" t="s">
        <v>182</v>
      </c>
      <c r="E2742">
        <v>279300504</v>
      </c>
      <c r="F2742">
        <v>243710595</v>
      </c>
      <c r="P2742">
        <v>19</v>
      </c>
      <c r="Q2742" t="s">
        <v>5809</v>
      </c>
    </row>
    <row r="2743" spans="1:17" x14ac:dyDescent="0.3">
      <c r="A2743" t="s">
        <v>73</v>
      </c>
      <c r="B2743" t="str">
        <f>"300085"</f>
        <v>300085</v>
      </c>
      <c r="C2743" t="s">
        <v>5810</v>
      </c>
      <c r="D2743" t="s">
        <v>795</v>
      </c>
      <c r="E2743">
        <v>279035015</v>
      </c>
      <c r="F2743">
        <v>354081051</v>
      </c>
      <c r="G2743">
        <v>399526605</v>
      </c>
      <c r="H2743">
        <v>396135467</v>
      </c>
      <c r="I2743">
        <v>350178468</v>
      </c>
      <c r="J2743">
        <v>286359904</v>
      </c>
      <c r="K2743">
        <v>307934552</v>
      </c>
      <c r="L2743">
        <v>187312797</v>
      </c>
      <c r="M2743">
        <v>103663827</v>
      </c>
      <c r="N2743">
        <v>82742895</v>
      </c>
      <c r="O2743">
        <v>75938724</v>
      </c>
      <c r="P2743">
        <v>255</v>
      </c>
      <c r="Q2743" t="s">
        <v>5811</v>
      </c>
    </row>
    <row r="2744" spans="1:17" x14ac:dyDescent="0.3">
      <c r="A2744" t="s">
        <v>73</v>
      </c>
      <c r="B2744" t="str">
        <f>"002921"</f>
        <v>002921</v>
      </c>
      <c r="C2744" t="s">
        <v>5812</v>
      </c>
      <c r="D2744" t="s">
        <v>722</v>
      </c>
      <c r="E2744">
        <v>278999176</v>
      </c>
      <c r="F2744">
        <v>252066115</v>
      </c>
      <c r="G2744">
        <v>170937374</v>
      </c>
      <c r="H2744">
        <v>159502298</v>
      </c>
      <c r="I2744">
        <v>127344622</v>
      </c>
      <c r="P2744">
        <v>95</v>
      </c>
      <c r="Q2744" t="s">
        <v>5813</v>
      </c>
    </row>
    <row r="2745" spans="1:17" x14ac:dyDescent="0.3">
      <c r="A2745" t="s">
        <v>17</v>
      </c>
      <c r="B2745" t="str">
        <f>"603189"</f>
        <v>603189</v>
      </c>
      <c r="C2745" t="s">
        <v>5814</v>
      </c>
      <c r="D2745" t="s">
        <v>795</v>
      </c>
      <c r="E2745">
        <v>278911948</v>
      </c>
      <c r="F2745">
        <v>174050372</v>
      </c>
      <c r="G2745">
        <v>213589914</v>
      </c>
      <c r="H2745">
        <v>167842243</v>
      </c>
      <c r="I2745">
        <v>139204346</v>
      </c>
      <c r="J2745">
        <v>131529773</v>
      </c>
      <c r="P2745">
        <v>166</v>
      </c>
      <c r="Q2745" t="s">
        <v>5815</v>
      </c>
    </row>
    <row r="2746" spans="1:17" x14ac:dyDescent="0.3">
      <c r="A2746" t="s">
        <v>73</v>
      </c>
      <c r="B2746" t="str">
        <f>"300229"</f>
        <v>300229</v>
      </c>
      <c r="C2746" t="s">
        <v>5816</v>
      </c>
      <c r="D2746" t="s">
        <v>795</v>
      </c>
      <c r="E2746">
        <v>278716016</v>
      </c>
      <c r="F2746">
        <v>321673965</v>
      </c>
      <c r="G2746">
        <v>379125070</v>
      </c>
      <c r="H2746">
        <v>641623400</v>
      </c>
      <c r="I2746">
        <v>521685969</v>
      </c>
      <c r="J2746">
        <v>447343774</v>
      </c>
      <c r="K2746">
        <v>400426317</v>
      </c>
      <c r="L2746">
        <v>296145954</v>
      </c>
      <c r="M2746">
        <v>189172613</v>
      </c>
      <c r="N2746">
        <v>174112695</v>
      </c>
      <c r="O2746">
        <v>140687600</v>
      </c>
      <c r="P2746">
        <v>209</v>
      </c>
      <c r="Q2746" t="s">
        <v>5817</v>
      </c>
    </row>
    <row r="2747" spans="1:17" x14ac:dyDescent="0.3">
      <c r="A2747" t="s">
        <v>73</v>
      </c>
      <c r="B2747" t="str">
        <f>"300527"</f>
        <v>300527</v>
      </c>
      <c r="C2747" t="s">
        <v>5818</v>
      </c>
      <c r="D2747" t="s">
        <v>1743</v>
      </c>
      <c r="E2747">
        <v>278608204</v>
      </c>
      <c r="F2747">
        <v>467972333</v>
      </c>
      <c r="G2747">
        <v>51498178</v>
      </c>
      <c r="H2747">
        <v>0</v>
      </c>
      <c r="I2747">
        <v>158448694</v>
      </c>
      <c r="J2747">
        <v>165573238</v>
      </c>
      <c r="K2747">
        <v>150273868</v>
      </c>
      <c r="P2747">
        <v>144</v>
      </c>
      <c r="Q2747" t="s">
        <v>5819</v>
      </c>
    </row>
    <row r="2748" spans="1:17" x14ac:dyDescent="0.3">
      <c r="A2748" t="s">
        <v>17</v>
      </c>
      <c r="B2748" t="str">
        <f>"688078"</f>
        <v>688078</v>
      </c>
      <c r="C2748" t="s">
        <v>5820</v>
      </c>
      <c r="D2748" t="s">
        <v>404</v>
      </c>
      <c r="E2748">
        <v>278468502</v>
      </c>
      <c r="F2748">
        <v>150806414</v>
      </c>
      <c r="G2748">
        <v>61663137</v>
      </c>
      <c r="H2748">
        <v>0</v>
      </c>
      <c r="P2748">
        <v>83</v>
      </c>
      <c r="Q2748" t="s">
        <v>5821</v>
      </c>
    </row>
    <row r="2749" spans="1:17" x14ac:dyDescent="0.3">
      <c r="A2749" t="s">
        <v>73</v>
      </c>
      <c r="B2749" t="str">
        <f>"002997"</f>
        <v>002997</v>
      </c>
      <c r="C2749" t="s">
        <v>5822</v>
      </c>
      <c r="D2749" t="s">
        <v>722</v>
      </c>
      <c r="E2749">
        <v>278437734</v>
      </c>
      <c r="F2749">
        <v>364279798</v>
      </c>
      <c r="P2749">
        <v>85</v>
      </c>
      <c r="Q2749" t="s">
        <v>5823</v>
      </c>
    </row>
    <row r="2750" spans="1:17" x14ac:dyDescent="0.3">
      <c r="A2750" t="s">
        <v>17</v>
      </c>
      <c r="B2750" t="str">
        <f>"600235"</f>
        <v>600235</v>
      </c>
      <c r="C2750" t="s">
        <v>5824</v>
      </c>
      <c r="D2750" t="s">
        <v>2185</v>
      </c>
      <c r="E2750">
        <v>277922612</v>
      </c>
      <c r="F2750">
        <v>239870155</v>
      </c>
      <c r="G2750">
        <v>250612358</v>
      </c>
      <c r="H2750">
        <v>322669945</v>
      </c>
      <c r="I2750">
        <v>297454136</v>
      </c>
      <c r="J2750">
        <v>279792451</v>
      </c>
      <c r="K2750">
        <v>324416697</v>
      </c>
      <c r="L2750">
        <v>304823959</v>
      </c>
      <c r="M2750">
        <v>241702218</v>
      </c>
      <c r="N2750">
        <v>218775642</v>
      </c>
      <c r="O2750">
        <v>192981881</v>
      </c>
      <c r="P2750">
        <v>71</v>
      </c>
      <c r="Q2750" t="s">
        <v>5825</v>
      </c>
    </row>
    <row r="2751" spans="1:17" x14ac:dyDescent="0.3">
      <c r="A2751" t="s">
        <v>17</v>
      </c>
      <c r="B2751" t="str">
        <f>"688557"</f>
        <v>688557</v>
      </c>
      <c r="C2751" t="s">
        <v>5826</v>
      </c>
      <c r="D2751" t="s">
        <v>873</v>
      </c>
      <c r="E2751">
        <v>277610384</v>
      </c>
      <c r="F2751">
        <v>134911253</v>
      </c>
      <c r="P2751">
        <v>47</v>
      </c>
      <c r="Q2751" t="s">
        <v>5827</v>
      </c>
    </row>
    <row r="2752" spans="1:17" x14ac:dyDescent="0.3">
      <c r="A2752" t="s">
        <v>17</v>
      </c>
      <c r="B2752" t="str">
        <f>"603917"</f>
        <v>603917</v>
      </c>
      <c r="C2752" t="s">
        <v>5828</v>
      </c>
      <c r="D2752" t="s">
        <v>722</v>
      </c>
      <c r="E2752">
        <v>277589748</v>
      </c>
      <c r="F2752">
        <v>255028601</v>
      </c>
      <c r="G2752">
        <v>268013823</v>
      </c>
      <c r="H2752">
        <v>271185222</v>
      </c>
      <c r="I2752">
        <v>197878001</v>
      </c>
      <c r="P2752">
        <v>73</v>
      </c>
      <c r="Q2752" t="s">
        <v>5829</v>
      </c>
    </row>
    <row r="2753" spans="1:17" x14ac:dyDescent="0.3">
      <c r="A2753" t="s">
        <v>73</v>
      </c>
      <c r="B2753" t="str">
        <f>"002723"</f>
        <v>002723</v>
      </c>
      <c r="C2753" t="s">
        <v>5830</v>
      </c>
      <c r="D2753" t="s">
        <v>1424</v>
      </c>
      <c r="E2753">
        <v>277547713</v>
      </c>
      <c r="F2753">
        <v>366915032</v>
      </c>
      <c r="G2753">
        <v>245634402</v>
      </c>
      <c r="H2753">
        <v>156907115</v>
      </c>
      <c r="I2753">
        <v>156645816</v>
      </c>
      <c r="J2753">
        <v>152135273</v>
      </c>
      <c r="K2753">
        <v>186308570</v>
      </c>
      <c r="L2753">
        <v>124375765</v>
      </c>
      <c r="M2753">
        <v>94948665</v>
      </c>
      <c r="N2753">
        <v>0</v>
      </c>
      <c r="P2753">
        <v>92</v>
      </c>
      <c r="Q2753" t="s">
        <v>5831</v>
      </c>
    </row>
    <row r="2754" spans="1:17" x14ac:dyDescent="0.3">
      <c r="A2754" t="s">
        <v>73</v>
      </c>
      <c r="B2754" t="str">
        <f>"301228"</f>
        <v>301228</v>
      </c>
      <c r="C2754" t="s">
        <v>5832</v>
      </c>
      <c r="E2754">
        <v>277424392</v>
      </c>
      <c r="G2754">
        <v>164194563</v>
      </c>
      <c r="P2754">
        <v>11</v>
      </c>
      <c r="Q2754" t="s">
        <v>5833</v>
      </c>
    </row>
    <row r="2755" spans="1:17" x14ac:dyDescent="0.3">
      <c r="A2755" t="s">
        <v>17</v>
      </c>
      <c r="B2755" t="str">
        <f>"600490"</f>
        <v>600490</v>
      </c>
      <c r="C2755" t="s">
        <v>5834</v>
      </c>
      <c r="D2755" t="s">
        <v>452</v>
      </c>
      <c r="E2755">
        <v>277064113</v>
      </c>
      <c r="F2755">
        <v>20225888</v>
      </c>
      <c r="G2755">
        <v>13106638</v>
      </c>
      <c r="H2755">
        <v>212586319</v>
      </c>
      <c r="I2755">
        <v>33153471</v>
      </c>
      <c r="J2755">
        <v>28427618</v>
      </c>
      <c r="K2755">
        <v>104617572</v>
      </c>
      <c r="L2755">
        <v>101150484</v>
      </c>
      <c r="M2755">
        <v>156572371</v>
      </c>
      <c r="N2755">
        <v>532917485</v>
      </c>
      <c r="O2755">
        <v>20248816</v>
      </c>
      <c r="P2755">
        <v>144</v>
      </c>
      <c r="Q2755" t="s">
        <v>5835</v>
      </c>
    </row>
    <row r="2756" spans="1:17" x14ac:dyDescent="0.3">
      <c r="A2756" t="s">
        <v>73</v>
      </c>
      <c r="B2756" t="str">
        <f>"300606"</f>
        <v>300606</v>
      </c>
      <c r="C2756" t="s">
        <v>5836</v>
      </c>
      <c r="D2756" t="s">
        <v>3119</v>
      </c>
      <c r="E2756">
        <v>277054892</v>
      </c>
      <c r="F2756">
        <v>119830583</v>
      </c>
      <c r="G2756">
        <v>134420919</v>
      </c>
      <c r="H2756">
        <v>125575990</v>
      </c>
      <c r="I2756">
        <v>91364390</v>
      </c>
      <c r="J2756">
        <v>66345477</v>
      </c>
      <c r="P2756">
        <v>92</v>
      </c>
      <c r="Q2756" t="s">
        <v>5837</v>
      </c>
    </row>
    <row r="2757" spans="1:17" x14ac:dyDescent="0.3">
      <c r="A2757" t="s">
        <v>73</v>
      </c>
      <c r="B2757" t="str">
        <f>"300948"</f>
        <v>300948</v>
      </c>
      <c r="C2757" t="s">
        <v>5838</v>
      </c>
      <c r="D2757" t="s">
        <v>445</v>
      </c>
      <c r="E2757">
        <v>276824893</v>
      </c>
      <c r="F2757">
        <v>198545779</v>
      </c>
      <c r="P2757">
        <v>38</v>
      </c>
      <c r="Q2757" t="s">
        <v>5839</v>
      </c>
    </row>
    <row r="2758" spans="1:17" x14ac:dyDescent="0.3">
      <c r="A2758" t="s">
        <v>17</v>
      </c>
      <c r="B2758" t="str">
        <f>"600576"</f>
        <v>600576</v>
      </c>
      <c r="C2758" t="s">
        <v>5840</v>
      </c>
      <c r="D2758" t="s">
        <v>1306</v>
      </c>
      <c r="E2758">
        <v>276620436</v>
      </c>
      <c r="F2758">
        <v>295848460</v>
      </c>
      <c r="G2758">
        <v>310364642</v>
      </c>
      <c r="H2758">
        <v>373191139</v>
      </c>
      <c r="I2758">
        <v>350040561</v>
      </c>
      <c r="J2758">
        <v>271075136</v>
      </c>
      <c r="K2758">
        <v>234139340</v>
      </c>
      <c r="L2758">
        <v>2187902</v>
      </c>
      <c r="M2758">
        <v>670121</v>
      </c>
      <c r="N2758">
        <v>343124</v>
      </c>
      <c r="O2758">
        <v>4078556</v>
      </c>
      <c r="P2758">
        <v>85</v>
      </c>
      <c r="Q2758" t="s">
        <v>5841</v>
      </c>
    </row>
    <row r="2759" spans="1:17" x14ac:dyDescent="0.3">
      <c r="A2759" t="s">
        <v>73</v>
      </c>
      <c r="B2759" t="str">
        <f>"301011"</f>
        <v>301011</v>
      </c>
      <c r="C2759" t="s">
        <v>5842</v>
      </c>
      <c r="D2759" t="s">
        <v>1451</v>
      </c>
      <c r="E2759">
        <v>276590514</v>
      </c>
      <c r="F2759">
        <v>231881904</v>
      </c>
      <c r="P2759">
        <v>28</v>
      </c>
      <c r="Q2759" t="s">
        <v>5843</v>
      </c>
    </row>
    <row r="2760" spans="1:17" x14ac:dyDescent="0.3">
      <c r="A2760" t="s">
        <v>17</v>
      </c>
      <c r="B2760" t="str">
        <f>"600633"</f>
        <v>600633</v>
      </c>
      <c r="C2760" t="s">
        <v>5844</v>
      </c>
      <c r="D2760" t="s">
        <v>899</v>
      </c>
      <c r="E2760">
        <v>276547781</v>
      </c>
      <c r="F2760">
        <v>238195781</v>
      </c>
      <c r="G2760">
        <v>283978076</v>
      </c>
      <c r="H2760">
        <v>227353989</v>
      </c>
      <c r="I2760">
        <v>103048429</v>
      </c>
      <c r="J2760">
        <v>45614897</v>
      </c>
      <c r="K2760">
        <v>321242399</v>
      </c>
      <c r="L2760">
        <v>324686509</v>
      </c>
      <c r="M2760">
        <v>313265169</v>
      </c>
      <c r="N2760">
        <v>228529468</v>
      </c>
      <c r="O2760">
        <v>191545580</v>
      </c>
      <c r="P2760">
        <v>325</v>
      </c>
      <c r="Q2760" t="s">
        <v>5845</v>
      </c>
    </row>
    <row r="2761" spans="1:17" x14ac:dyDescent="0.3">
      <c r="A2761" t="s">
        <v>73</v>
      </c>
      <c r="B2761" t="str">
        <f>"300937"</f>
        <v>300937</v>
      </c>
      <c r="C2761" t="s">
        <v>5846</v>
      </c>
      <c r="D2761" t="s">
        <v>50</v>
      </c>
      <c r="E2761">
        <v>276340723</v>
      </c>
      <c r="F2761">
        <v>294311709</v>
      </c>
      <c r="P2761">
        <v>35</v>
      </c>
      <c r="Q2761" t="s">
        <v>5847</v>
      </c>
    </row>
    <row r="2762" spans="1:17" x14ac:dyDescent="0.3">
      <c r="A2762" t="s">
        <v>17</v>
      </c>
      <c r="B2762" t="str">
        <f>"603076"</f>
        <v>603076</v>
      </c>
      <c r="C2762" t="s">
        <v>5848</v>
      </c>
      <c r="D2762" t="s">
        <v>1451</v>
      </c>
      <c r="E2762">
        <v>275885557</v>
      </c>
      <c r="F2762">
        <v>215694340</v>
      </c>
      <c r="G2762">
        <v>197108611</v>
      </c>
      <c r="H2762">
        <v>405835471</v>
      </c>
      <c r="I2762">
        <v>274428879</v>
      </c>
      <c r="P2762">
        <v>87</v>
      </c>
      <c r="Q2762" t="s">
        <v>5849</v>
      </c>
    </row>
    <row r="2763" spans="1:17" x14ac:dyDescent="0.3">
      <c r="A2763" t="s">
        <v>73</v>
      </c>
      <c r="B2763" t="str">
        <f>"003003"</f>
        <v>003003</v>
      </c>
      <c r="C2763" t="s">
        <v>5850</v>
      </c>
      <c r="D2763" t="s">
        <v>5851</v>
      </c>
      <c r="E2763">
        <v>275652370</v>
      </c>
      <c r="F2763">
        <v>209297690</v>
      </c>
      <c r="P2763">
        <v>39</v>
      </c>
      <c r="Q2763" t="s">
        <v>5852</v>
      </c>
    </row>
    <row r="2764" spans="1:17" x14ac:dyDescent="0.3">
      <c r="A2764" t="s">
        <v>17</v>
      </c>
      <c r="B2764" t="str">
        <f>"600666"</f>
        <v>600666</v>
      </c>
      <c r="C2764" t="s">
        <v>5853</v>
      </c>
      <c r="D2764" t="s">
        <v>97</v>
      </c>
      <c r="E2764">
        <v>275630103</v>
      </c>
      <c r="F2764">
        <v>397193001</v>
      </c>
      <c r="G2764">
        <v>455930732</v>
      </c>
      <c r="H2764">
        <v>858610265</v>
      </c>
      <c r="I2764">
        <v>1275789889</v>
      </c>
      <c r="J2764">
        <v>1058036353</v>
      </c>
      <c r="K2764">
        <v>500097683</v>
      </c>
      <c r="L2764">
        <v>336349924</v>
      </c>
      <c r="M2764">
        <v>292192281</v>
      </c>
      <c r="N2764">
        <v>171286472</v>
      </c>
      <c r="O2764">
        <v>151778271</v>
      </c>
      <c r="P2764">
        <v>75</v>
      </c>
      <c r="Q2764" t="s">
        <v>5854</v>
      </c>
    </row>
    <row r="2765" spans="1:17" x14ac:dyDescent="0.3">
      <c r="A2765" t="s">
        <v>73</v>
      </c>
      <c r="B2765" t="str">
        <f>"300548"</f>
        <v>300548</v>
      </c>
      <c r="C2765" t="s">
        <v>5855</v>
      </c>
      <c r="D2765" t="s">
        <v>189</v>
      </c>
      <c r="E2765">
        <v>275423495</v>
      </c>
      <c r="F2765">
        <v>183893807</v>
      </c>
      <c r="G2765">
        <v>114621147</v>
      </c>
      <c r="H2765">
        <v>85952347</v>
      </c>
      <c r="I2765">
        <v>84216468</v>
      </c>
      <c r="J2765">
        <v>102407648</v>
      </c>
      <c r="K2765">
        <v>0</v>
      </c>
      <c r="P2765">
        <v>289</v>
      </c>
      <c r="Q2765" t="s">
        <v>5856</v>
      </c>
    </row>
    <row r="2766" spans="1:17" x14ac:dyDescent="0.3">
      <c r="A2766" t="s">
        <v>73</v>
      </c>
      <c r="B2766" t="str">
        <f>"000713"</f>
        <v>000713</v>
      </c>
      <c r="C2766" t="s">
        <v>5857</v>
      </c>
      <c r="D2766" t="s">
        <v>3172</v>
      </c>
      <c r="E2766">
        <v>275386625</v>
      </c>
      <c r="F2766">
        <v>292346598</v>
      </c>
      <c r="G2766">
        <v>244228542</v>
      </c>
      <c r="H2766">
        <v>275194832</v>
      </c>
      <c r="I2766">
        <v>153290917</v>
      </c>
      <c r="J2766">
        <v>138840477</v>
      </c>
      <c r="K2766">
        <v>93546557</v>
      </c>
      <c r="L2766">
        <v>86036463</v>
      </c>
      <c r="M2766">
        <v>110596434</v>
      </c>
      <c r="N2766">
        <v>132259569</v>
      </c>
      <c r="O2766">
        <v>135375601</v>
      </c>
      <c r="P2766">
        <v>237</v>
      </c>
      <c r="Q2766" t="s">
        <v>5858</v>
      </c>
    </row>
    <row r="2767" spans="1:17" x14ac:dyDescent="0.3">
      <c r="A2767" t="s">
        <v>73</v>
      </c>
      <c r="B2767" t="str">
        <f>"002767"</f>
        <v>002767</v>
      </c>
      <c r="C2767" t="s">
        <v>5859</v>
      </c>
      <c r="D2767" t="s">
        <v>2280</v>
      </c>
      <c r="E2767">
        <v>275353441</v>
      </c>
      <c r="F2767">
        <v>265276296</v>
      </c>
      <c r="G2767">
        <v>207653578</v>
      </c>
      <c r="H2767">
        <v>212032910</v>
      </c>
      <c r="I2767">
        <v>223478092</v>
      </c>
      <c r="J2767">
        <v>198427113</v>
      </c>
      <c r="K2767">
        <v>196425624</v>
      </c>
      <c r="L2767">
        <v>0</v>
      </c>
      <c r="M2767">
        <v>0</v>
      </c>
      <c r="P2767">
        <v>73</v>
      </c>
      <c r="Q2767" t="s">
        <v>5860</v>
      </c>
    </row>
    <row r="2768" spans="1:17" x14ac:dyDescent="0.3">
      <c r="A2768" t="s">
        <v>73</v>
      </c>
      <c r="B2768" t="str">
        <f>"300044"</f>
        <v>300044</v>
      </c>
      <c r="C2768" t="s">
        <v>5861</v>
      </c>
      <c r="D2768" t="s">
        <v>302</v>
      </c>
      <c r="E2768">
        <v>275290520</v>
      </c>
      <c r="F2768">
        <v>1046595244</v>
      </c>
      <c r="G2768">
        <v>525112576</v>
      </c>
      <c r="H2768">
        <v>1835835143</v>
      </c>
      <c r="I2768">
        <v>620932751</v>
      </c>
      <c r="J2768">
        <v>328272898</v>
      </c>
      <c r="K2768">
        <v>215049933</v>
      </c>
      <c r="L2768">
        <v>227321512</v>
      </c>
      <c r="M2768">
        <v>187994804</v>
      </c>
      <c r="N2768">
        <v>166412697</v>
      </c>
      <c r="O2768">
        <v>123924755</v>
      </c>
      <c r="P2768">
        <v>289</v>
      </c>
      <c r="Q2768" t="s">
        <v>5862</v>
      </c>
    </row>
    <row r="2769" spans="1:17" x14ac:dyDescent="0.3">
      <c r="A2769" t="s">
        <v>17</v>
      </c>
      <c r="B2769" t="str">
        <f>"605598"</f>
        <v>605598</v>
      </c>
      <c r="C2769" t="s">
        <v>5863</v>
      </c>
      <c r="D2769" t="s">
        <v>39</v>
      </c>
      <c r="E2769">
        <v>275112954</v>
      </c>
      <c r="P2769">
        <v>18</v>
      </c>
      <c r="Q2769" t="s">
        <v>5864</v>
      </c>
    </row>
    <row r="2770" spans="1:17" x14ac:dyDescent="0.3">
      <c r="A2770" t="s">
        <v>73</v>
      </c>
      <c r="B2770" t="str">
        <f>"300623"</f>
        <v>300623</v>
      </c>
      <c r="C2770" t="s">
        <v>5865</v>
      </c>
      <c r="D2770" t="s">
        <v>1479</v>
      </c>
      <c r="E2770">
        <v>275056861</v>
      </c>
      <c r="F2770">
        <v>295551854</v>
      </c>
      <c r="G2770">
        <v>187098743</v>
      </c>
      <c r="H2770">
        <v>131999515</v>
      </c>
      <c r="I2770">
        <v>133376759</v>
      </c>
      <c r="J2770">
        <v>99849190</v>
      </c>
      <c r="K2770">
        <v>0</v>
      </c>
      <c r="P2770">
        <v>664</v>
      </c>
      <c r="Q2770" t="s">
        <v>5866</v>
      </c>
    </row>
    <row r="2771" spans="1:17" x14ac:dyDescent="0.3">
      <c r="A2771" t="s">
        <v>73</v>
      </c>
      <c r="B2771" t="str">
        <f>"301061"</f>
        <v>301061</v>
      </c>
      <c r="C2771" t="s">
        <v>5867</v>
      </c>
      <c r="D2771" t="s">
        <v>1111</v>
      </c>
      <c r="E2771">
        <v>274936778</v>
      </c>
      <c r="P2771">
        <v>28</v>
      </c>
      <c r="Q2771" t="s">
        <v>5868</v>
      </c>
    </row>
    <row r="2772" spans="1:17" x14ac:dyDescent="0.3">
      <c r="A2772" t="s">
        <v>73</v>
      </c>
      <c r="B2772" t="str">
        <f>"300897"</f>
        <v>300897</v>
      </c>
      <c r="C2772" t="s">
        <v>5869</v>
      </c>
      <c r="D2772" t="s">
        <v>2280</v>
      </c>
      <c r="E2772">
        <v>274834308</v>
      </c>
      <c r="F2772">
        <v>220429325</v>
      </c>
      <c r="P2772">
        <v>50</v>
      </c>
      <c r="Q2772" t="s">
        <v>5870</v>
      </c>
    </row>
    <row r="2773" spans="1:17" x14ac:dyDescent="0.3">
      <c r="A2773" t="s">
        <v>73</v>
      </c>
      <c r="B2773" t="str">
        <f>"300822"</f>
        <v>300822</v>
      </c>
      <c r="C2773" t="s">
        <v>5871</v>
      </c>
      <c r="D2773" t="s">
        <v>42</v>
      </c>
      <c r="E2773">
        <v>274284904</v>
      </c>
      <c r="F2773">
        <v>273907163</v>
      </c>
      <c r="G2773">
        <v>113528058</v>
      </c>
      <c r="H2773">
        <v>0</v>
      </c>
      <c r="P2773">
        <v>131</v>
      </c>
      <c r="Q2773" t="s">
        <v>5872</v>
      </c>
    </row>
    <row r="2774" spans="1:17" x14ac:dyDescent="0.3">
      <c r="A2774" t="s">
        <v>73</v>
      </c>
      <c r="B2774" t="str">
        <f>"301081"</f>
        <v>301081</v>
      </c>
      <c r="C2774" t="s">
        <v>5873</v>
      </c>
      <c r="D2774" t="s">
        <v>540</v>
      </c>
      <c r="E2774">
        <v>273883169</v>
      </c>
      <c r="P2774">
        <v>21</v>
      </c>
      <c r="Q2774" t="s">
        <v>5874</v>
      </c>
    </row>
    <row r="2775" spans="1:17" x14ac:dyDescent="0.3">
      <c r="A2775" t="s">
        <v>73</v>
      </c>
      <c r="B2775" t="str">
        <f>"300159"</f>
        <v>300159</v>
      </c>
      <c r="C2775" t="s">
        <v>5875</v>
      </c>
      <c r="D2775" t="s">
        <v>130</v>
      </c>
      <c r="E2775">
        <v>273554640</v>
      </c>
      <c r="F2775">
        <v>1315083397</v>
      </c>
      <c r="G2775">
        <v>1750299621</v>
      </c>
      <c r="H2775">
        <v>2037195122</v>
      </c>
      <c r="I2775">
        <v>1467356597</v>
      </c>
      <c r="J2775">
        <v>1002044555</v>
      </c>
      <c r="K2775">
        <v>760556926</v>
      </c>
      <c r="L2775">
        <v>172244268</v>
      </c>
      <c r="M2775">
        <v>120316617</v>
      </c>
      <c r="N2775">
        <v>105933538</v>
      </c>
      <c r="O2775">
        <v>88506526</v>
      </c>
      <c r="P2775">
        <v>126</v>
      </c>
      <c r="Q2775" t="s">
        <v>5876</v>
      </c>
    </row>
    <row r="2776" spans="1:17" x14ac:dyDescent="0.3">
      <c r="A2776" t="s">
        <v>17</v>
      </c>
      <c r="B2776" t="str">
        <f>"603787"</f>
        <v>603787</v>
      </c>
      <c r="C2776" t="s">
        <v>5877</v>
      </c>
      <c r="D2776" t="s">
        <v>1324</v>
      </c>
      <c r="E2776">
        <v>273478048</v>
      </c>
      <c r="F2776">
        <v>198313231</v>
      </c>
      <c r="G2776">
        <v>215647479</v>
      </c>
      <c r="H2776">
        <v>141670365</v>
      </c>
      <c r="I2776">
        <v>92608491</v>
      </c>
      <c r="J2776">
        <v>62180726</v>
      </c>
      <c r="P2776">
        <v>103</v>
      </c>
      <c r="Q2776" t="s">
        <v>5878</v>
      </c>
    </row>
    <row r="2777" spans="1:17" x14ac:dyDescent="0.3">
      <c r="A2777" t="s">
        <v>73</v>
      </c>
      <c r="B2777" t="str">
        <f>"300976"</f>
        <v>300976</v>
      </c>
      <c r="C2777" t="s">
        <v>5879</v>
      </c>
      <c r="D2777" t="s">
        <v>42</v>
      </c>
      <c r="E2777">
        <v>273287052</v>
      </c>
      <c r="F2777">
        <v>233438759</v>
      </c>
      <c r="P2777">
        <v>35</v>
      </c>
      <c r="Q2777" t="s">
        <v>5880</v>
      </c>
    </row>
    <row r="2778" spans="1:17" x14ac:dyDescent="0.3">
      <c r="A2778" t="s">
        <v>17</v>
      </c>
      <c r="B2778" t="str">
        <f>"603578"</f>
        <v>603578</v>
      </c>
      <c r="C2778" t="s">
        <v>5881</v>
      </c>
      <c r="D2778" t="s">
        <v>654</v>
      </c>
      <c r="E2778">
        <v>273278135</v>
      </c>
      <c r="F2778">
        <v>198577971</v>
      </c>
      <c r="G2778">
        <v>114816091</v>
      </c>
      <c r="H2778">
        <v>148311372</v>
      </c>
      <c r="I2778">
        <v>127539727</v>
      </c>
      <c r="J2778">
        <v>114916336</v>
      </c>
      <c r="K2778">
        <v>0</v>
      </c>
      <c r="P2778">
        <v>131</v>
      </c>
      <c r="Q2778" t="s">
        <v>5882</v>
      </c>
    </row>
    <row r="2779" spans="1:17" x14ac:dyDescent="0.3">
      <c r="A2779" t="s">
        <v>73</v>
      </c>
      <c r="B2779" t="str">
        <f>"300550"</f>
        <v>300550</v>
      </c>
      <c r="C2779" t="s">
        <v>5883</v>
      </c>
      <c r="D2779" t="s">
        <v>795</v>
      </c>
      <c r="E2779">
        <v>273126878</v>
      </c>
      <c r="F2779">
        <v>205271481</v>
      </c>
      <c r="G2779">
        <v>251236566</v>
      </c>
      <c r="H2779">
        <v>318475619</v>
      </c>
      <c r="I2779">
        <v>216632398</v>
      </c>
      <c r="J2779">
        <v>168323982</v>
      </c>
      <c r="K2779">
        <v>0</v>
      </c>
      <c r="P2779">
        <v>123</v>
      </c>
      <c r="Q2779" t="s">
        <v>5884</v>
      </c>
    </row>
    <row r="2780" spans="1:17" x14ac:dyDescent="0.3">
      <c r="A2780" t="s">
        <v>73</v>
      </c>
      <c r="B2780" t="str">
        <f>"002365"</f>
        <v>002365</v>
      </c>
      <c r="C2780" t="s">
        <v>5885</v>
      </c>
      <c r="D2780" t="s">
        <v>908</v>
      </c>
      <c r="E2780">
        <v>272806849</v>
      </c>
      <c r="F2780">
        <v>155829083</v>
      </c>
      <c r="G2780">
        <v>151589284</v>
      </c>
      <c r="H2780">
        <v>0</v>
      </c>
      <c r="I2780">
        <v>155509695</v>
      </c>
      <c r="J2780">
        <v>105163382</v>
      </c>
      <c r="K2780">
        <v>79195307</v>
      </c>
      <c r="L2780">
        <v>80373692</v>
      </c>
      <c r="M2780">
        <v>56829707</v>
      </c>
      <c r="N2780">
        <v>58971657</v>
      </c>
      <c r="O2780">
        <v>58786540</v>
      </c>
      <c r="P2780">
        <v>195</v>
      </c>
      <c r="Q2780" t="s">
        <v>5886</v>
      </c>
    </row>
    <row r="2781" spans="1:17" x14ac:dyDescent="0.3">
      <c r="A2781" t="s">
        <v>73</v>
      </c>
      <c r="B2781" t="str">
        <f>"300537"</f>
        <v>300537</v>
      </c>
      <c r="C2781" t="s">
        <v>5887</v>
      </c>
      <c r="D2781" t="s">
        <v>2178</v>
      </c>
      <c r="E2781">
        <v>272571554</v>
      </c>
      <c r="F2781">
        <v>373406899</v>
      </c>
      <c r="G2781">
        <v>349976108</v>
      </c>
      <c r="H2781">
        <v>489712146</v>
      </c>
      <c r="I2781">
        <v>317795425</v>
      </c>
      <c r="J2781">
        <v>136712454</v>
      </c>
      <c r="K2781">
        <v>135898854</v>
      </c>
      <c r="P2781">
        <v>225</v>
      </c>
      <c r="Q2781" t="s">
        <v>5888</v>
      </c>
    </row>
    <row r="2782" spans="1:17" x14ac:dyDescent="0.3">
      <c r="A2782" t="s">
        <v>17</v>
      </c>
      <c r="B2782" t="str">
        <f>"600064"</f>
        <v>600064</v>
      </c>
      <c r="C2782" t="s">
        <v>5889</v>
      </c>
      <c r="D2782" t="s">
        <v>27</v>
      </c>
      <c r="E2782">
        <v>272536381</v>
      </c>
      <c r="F2782">
        <v>457683837</v>
      </c>
      <c r="G2782">
        <v>717226038</v>
      </c>
      <c r="H2782">
        <v>791873733</v>
      </c>
      <c r="I2782">
        <v>785539021</v>
      </c>
      <c r="J2782">
        <v>654193673</v>
      </c>
      <c r="K2782">
        <v>312797862</v>
      </c>
      <c r="L2782">
        <v>348407576</v>
      </c>
      <c r="M2782">
        <v>383980587</v>
      </c>
      <c r="N2782">
        <v>412484021</v>
      </c>
      <c r="O2782">
        <v>503525121</v>
      </c>
      <c r="P2782">
        <v>432</v>
      </c>
      <c r="Q2782" t="s">
        <v>5890</v>
      </c>
    </row>
    <row r="2783" spans="1:17" x14ac:dyDescent="0.3">
      <c r="A2783" t="s">
        <v>73</v>
      </c>
      <c r="B2783" t="str">
        <f>"300315"</f>
        <v>300315</v>
      </c>
      <c r="C2783" t="s">
        <v>5891</v>
      </c>
      <c r="D2783" t="s">
        <v>899</v>
      </c>
      <c r="E2783">
        <v>272511185</v>
      </c>
      <c r="F2783">
        <v>347367933</v>
      </c>
      <c r="G2783">
        <v>212749703</v>
      </c>
      <c r="H2783">
        <v>264970094</v>
      </c>
      <c r="I2783">
        <v>256656753</v>
      </c>
      <c r="J2783">
        <v>371590012</v>
      </c>
      <c r="K2783">
        <v>295231626</v>
      </c>
      <c r="L2783">
        <v>125661167</v>
      </c>
      <c r="M2783">
        <v>89180629</v>
      </c>
      <c r="N2783">
        <v>40792663</v>
      </c>
      <c r="O2783">
        <v>27983775</v>
      </c>
      <c r="P2783">
        <v>456</v>
      </c>
      <c r="Q2783" t="s">
        <v>5892</v>
      </c>
    </row>
    <row r="2784" spans="1:17" x14ac:dyDescent="0.3">
      <c r="A2784" t="s">
        <v>17</v>
      </c>
      <c r="B2784" t="str">
        <f>"605186"</f>
        <v>605186</v>
      </c>
      <c r="C2784" t="s">
        <v>5893</v>
      </c>
      <c r="D2784" t="s">
        <v>1967</v>
      </c>
      <c r="E2784">
        <v>272373438</v>
      </c>
      <c r="F2784">
        <v>214273125</v>
      </c>
      <c r="P2784">
        <v>47</v>
      </c>
      <c r="Q2784" t="s">
        <v>5894</v>
      </c>
    </row>
    <row r="2785" spans="1:17" x14ac:dyDescent="0.3">
      <c r="A2785" t="s">
        <v>17</v>
      </c>
      <c r="B2785" t="str">
        <f>"600377"</f>
        <v>600377</v>
      </c>
      <c r="C2785" t="s">
        <v>5895</v>
      </c>
      <c r="D2785" t="s">
        <v>1592</v>
      </c>
      <c r="E2785">
        <v>272175666</v>
      </c>
      <c r="F2785">
        <v>283832847</v>
      </c>
      <c r="G2785">
        <v>140147114</v>
      </c>
      <c r="H2785">
        <v>366612236</v>
      </c>
      <c r="I2785">
        <v>272666622</v>
      </c>
      <c r="J2785">
        <v>150130653</v>
      </c>
      <c r="K2785">
        <v>143786178</v>
      </c>
      <c r="L2785">
        <v>100282217</v>
      </c>
      <c r="M2785">
        <v>92499699</v>
      </c>
      <c r="N2785">
        <v>71937246</v>
      </c>
      <c r="O2785">
        <v>102542893</v>
      </c>
      <c r="P2785">
        <v>1722</v>
      </c>
      <c r="Q2785" t="s">
        <v>5896</v>
      </c>
    </row>
    <row r="2786" spans="1:17" x14ac:dyDescent="0.3">
      <c r="A2786" t="s">
        <v>73</v>
      </c>
      <c r="B2786" t="str">
        <f>"200512"</f>
        <v>200512</v>
      </c>
      <c r="C2786" t="s">
        <v>5897</v>
      </c>
      <c r="E2786">
        <v>271505533.92799997</v>
      </c>
      <c r="F2786">
        <v>475921696.53649998</v>
      </c>
      <c r="G2786">
        <v>238224099.35519999</v>
      </c>
      <c r="H2786">
        <v>264982105.63620001</v>
      </c>
      <c r="I2786">
        <v>207647704.62149999</v>
      </c>
      <c r="J2786">
        <v>255718249.74160001</v>
      </c>
      <c r="K2786">
        <v>197768387.63460001</v>
      </c>
      <c r="L2786">
        <v>301405251.25</v>
      </c>
      <c r="M2786">
        <v>246999184.5916</v>
      </c>
      <c r="N2786">
        <v>260215658.83199999</v>
      </c>
      <c r="O2786">
        <v>310992733.287</v>
      </c>
      <c r="P2786">
        <v>34</v>
      </c>
      <c r="Q2786" t="s">
        <v>5898</v>
      </c>
    </row>
    <row r="2787" spans="1:17" x14ac:dyDescent="0.3">
      <c r="A2787" t="s">
        <v>17</v>
      </c>
      <c r="B2787" t="str">
        <f>"600674"</f>
        <v>600674</v>
      </c>
      <c r="C2787" t="s">
        <v>5899</v>
      </c>
      <c r="D2787" t="s">
        <v>290</v>
      </c>
      <c r="E2787">
        <v>271129074</v>
      </c>
      <c r="F2787">
        <v>316386281</v>
      </c>
      <c r="G2787">
        <v>253207629</v>
      </c>
      <c r="H2787">
        <v>258710519</v>
      </c>
      <c r="I2787">
        <v>234329911</v>
      </c>
      <c r="J2787">
        <v>360069905</v>
      </c>
      <c r="K2787">
        <v>297017683</v>
      </c>
      <c r="L2787">
        <v>323682502</v>
      </c>
      <c r="M2787">
        <v>315709715</v>
      </c>
      <c r="N2787">
        <v>302593450</v>
      </c>
      <c r="O2787">
        <v>217310417</v>
      </c>
      <c r="P2787">
        <v>1531</v>
      </c>
      <c r="Q2787" t="s">
        <v>5900</v>
      </c>
    </row>
    <row r="2788" spans="1:17" x14ac:dyDescent="0.3">
      <c r="A2788" t="s">
        <v>17</v>
      </c>
      <c r="B2788" t="str">
        <f>"601878"</f>
        <v>601878</v>
      </c>
      <c r="C2788" t="s">
        <v>5901</v>
      </c>
      <c r="D2788" t="s">
        <v>53</v>
      </c>
      <c r="E2788">
        <v>271064251</v>
      </c>
      <c r="F2788">
        <v>174739913</v>
      </c>
      <c r="G2788">
        <v>115514020</v>
      </c>
      <c r="H2788">
        <v>119679213</v>
      </c>
      <c r="I2788">
        <v>93640998</v>
      </c>
      <c r="J2788">
        <v>0</v>
      </c>
      <c r="K2788">
        <v>74895500</v>
      </c>
      <c r="M2788">
        <v>0</v>
      </c>
      <c r="N2788">
        <v>0</v>
      </c>
      <c r="P2788">
        <v>842</v>
      </c>
      <c r="Q2788" t="s">
        <v>5902</v>
      </c>
    </row>
    <row r="2789" spans="1:17" x14ac:dyDescent="0.3">
      <c r="A2789" t="s">
        <v>17</v>
      </c>
      <c r="B2789" t="str">
        <f>"603031"</f>
        <v>603031</v>
      </c>
      <c r="C2789" t="s">
        <v>5903</v>
      </c>
      <c r="D2789" t="s">
        <v>3633</v>
      </c>
      <c r="E2789">
        <v>270955952</v>
      </c>
      <c r="F2789">
        <v>17623945</v>
      </c>
      <c r="G2789">
        <v>13722416</v>
      </c>
      <c r="H2789">
        <v>0</v>
      </c>
      <c r="I2789">
        <v>13872224</v>
      </c>
      <c r="J2789">
        <v>5586424</v>
      </c>
      <c r="P2789">
        <v>70</v>
      </c>
      <c r="Q2789" t="s">
        <v>5904</v>
      </c>
    </row>
    <row r="2790" spans="1:17" x14ac:dyDescent="0.3">
      <c r="A2790" t="s">
        <v>73</v>
      </c>
      <c r="B2790" t="str">
        <f>"300963"</f>
        <v>300963</v>
      </c>
      <c r="C2790" t="s">
        <v>5905</v>
      </c>
      <c r="D2790" t="s">
        <v>1949</v>
      </c>
      <c r="E2790">
        <v>270881098</v>
      </c>
      <c r="F2790">
        <v>266838341</v>
      </c>
      <c r="P2790">
        <v>35</v>
      </c>
      <c r="Q2790" t="s">
        <v>5906</v>
      </c>
    </row>
    <row r="2791" spans="1:17" x14ac:dyDescent="0.3">
      <c r="A2791" t="s">
        <v>17</v>
      </c>
      <c r="B2791" t="str">
        <f>"600177"</f>
        <v>600177</v>
      </c>
      <c r="C2791" t="s">
        <v>5907</v>
      </c>
      <c r="D2791" t="s">
        <v>991</v>
      </c>
      <c r="E2791">
        <v>270855995</v>
      </c>
      <c r="F2791">
        <v>227126376</v>
      </c>
      <c r="G2791">
        <v>243162222</v>
      </c>
      <c r="H2791">
        <v>387910809</v>
      </c>
      <c r="I2791">
        <v>352565043</v>
      </c>
      <c r="J2791">
        <v>190490570</v>
      </c>
      <c r="K2791">
        <v>291200200</v>
      </c>
      <c r="L2791">
        <v>213865392</v>
      </c>
      <c r="M2791">
        <v>383452217</v>
      </c>
      <c r="N2791">
        <v>221802714</v>
      </c>
      <c r="O2791">
        <v>283074843</v>
      </c>
      <c r="P2791">
        <v>1571</v>
      </c>
      <c r="Q2791" t="s">
        <v>5908</v>
      </c>
    </row>
    <row r="2792" spans="1:17" x14ac:dyDescent="0.3">
      <c r="A2792" t="s">
        <v>73</v>
      </c>
      <c r="B2792" t="str">
        <f>"300460"</f>
        <v>300460</v>
      </c>
      <c r="C2792" t="s">
        <v>5909</v>
      </c>
      <c r="D2792" t="s">
        <v>1944</v>
      </c>
      <c r="E2792">
        <v>270786519</v>
      </c>
      <c r="F2792">
        <v>213092062</v>
      </c>
      <c r="G2792">
        <v>167494181</v>
      </c>
      <c r="H2792">
        <v>121530601</v>
      </c>
      <c r="I2792">
        <v>149525655</v>
      </c>
      <c r="J2792">
        <v>150810551</v>
      </c>
      <c r="K2792">
        <v>136053696</v>
      </c>
      <c r="L2792">
        <v>129179242</v>
      </c>
      <c r="M2792">
        <v>0</v>
      </c>
      <c r="P2792">
        <v>154</v>
      </c>
      <c r="Q2792" t="s">
        <v>5910</v>
      </c>
    </row>
    <row r="2793" spans="1:17" x14ac:dyDescent="0.3">
      <c r="A2793" t="s">
        <v>73</v>
      </c>
      <c r="B2793" t="str">
        <f>"002846"</f>
        <v>002846</v>
      </c>
      <c r="C2793" t="s">
        <v>5911</v>
      </c>
      <c r="D2793" t="s">
        <v>870</v>
      </c>
      <c r="E2793">
        <v>270609413</v>
      </c>
      <c r="F2793">
        <v>296665283</v>
      </c>
      <c r="G2793">
        <v>200673225</v>
      </c>
      <c r="H2793">
        <v>220727095</v>
      </c>
      <c r="I2793">
        <v>116682546</v>
      </c>
      <c r="J2793">
        <v>81658638</v>
      </c>
      <c r="P2793">
        <v>109</v>
      </c>
      <c r="Q2793" t="s">
        <v>5912</v>
      </c>
    </row>
    <row r="2794" spans="1:17" x14ac:dyDescent="0.3">
      <c r="A2794" t="s">
        <v>17</v>
      </c>
      <c r="B2794" t="str">
        <f>"605228"</f>
        <v>605228</v>
      </c>
      <c r="C2794" t="s">
        <v>5913</v>
      </c>
      <c r="D2794" t="s">
        <v>106</v>
      </c>
      <c r="E2794">
        <v>270449246</v>
      </c>
      <c r="F2794">
        <v>306174849</v>
      </c>
      <c r="P2794">
        <v>30</v>
      </c>
      <c r="Q2794" t="s">
        <v>5914</v>
      </c>
    </row>
    <row r="2795" spans="1:17" x14ac:dyDescent="0.3">
      <c r="A2795" t="s">
        <v>73</v>
      </c>
      <c r="B2795" t="str">
        <f>"002316"</f>
        <v>002316</v>
      </c>
      <c r="C2795" t="s">
        <v>5915</v>
      </c>
      <c r="D2795" t="s">
        <v>2872</v>
      </c>
      <c r="E2795">
        <v>270241253</v>
      </c>
      <c r="F2795">
        <v>351691296</v>
      </c>
      <c r="G2795">
        <v>411768563</v>
      </c>
      <c r="H2795">
        <v>449818997</v>
      </c>
      <c r="I2795">
        <v>515239418</v>
      </c>
      <c r="J2795">
        <v>436930202</v>
      </c>
      <c r="K2795">
        <v>477714413</v>
      </c>
      <c r="L2795">
        <v>557276706</v>
      </c>
      <c r="M2795">
        <v>622940563</v>
      </c>
      <c r="N2795">
        <v>460157506</v>
      </c>
      <c r="O2795">
        <v>405491720</v>
      </c>
      <c r="P2795">
        <v>229</v>
      </c>
      <c r="Q2795" t="s">
        <v>5916</v>
      </c>
    </row>
    <row r="2796" spans="1:17" x14ac:dyDescent="0.3">
      <c r="A2796" t="s">
        <v>17</v>
      </c>
      <c r="B2796" t="str">
        <f>"688500"</f>
        <v>688500</v>
      </c>
      <c r="C2796" t="s">
        <v>5917</v>
      </c>
      <c r="D2796" t="s">
        <v>302</v>
      </c>
      <c r="E2796">
        <v>270167399</v>
      </c>
      <c r="F2796">
        <v>268482788</v>
      </c>
      <c r="G2796">
        <v>0</v>
      </c>
      <c r="P2796">
        <v>26</v>
      </c>
      <c r="Q2796" t="s">
        <v>5918</v>
      </c>
    </row>
    <row r="2797" spans="1:17" x14ac:dyDescent="0.3">
      <c r="A2797" t="s">
        <v>73</v>
      </c>
      <c r="B2797" t="str">
        <f>"002881"</f>
        <v>002881</v>
      </c>
      <c r="C2797" t="s">
        <v>5919</v>
      </c>
      <c r="D2797" t="s">
        <v>42</v>
      </c>
      <c r="E2797">
        <v>270163542</v>
      </c>
      <c r="F2797">
        <v>185903409</v>
      </c>
      <c r="G2797">
        <v>186844603</v>
      </c>
      <c r="H2797">
        <v>212801078</v>
      </c>
      <c r="I2797">
        <v>154605124</v>
      </c>
      <c r="J2797">
        <v>130171429</v>
      </c>
      <c r="P2797">
        <v>240</v>
      </c>
      <c r="Q2797" t="s">
        <v>5920</v>
      </c>
    </row>
    <row r="2798" spans="1:17" x14ac:dyDescent="0.3">
      <c r="A2798" t="s">
        <v>73</v>
      </c>
      <c r="B2798" t="str">
        <f>"002479"</f>
        <v>002479</v>
      </c>
      <c r="C2798" t="s">
        <v>5921</v>
      </c>
      <c r="D2798" t="s">
        <v>1106</v>
      </c>
      <c r="E2798">
        <v>270092955</v>
      </c>
      <c r="F2798">
        <v>258381563</v>
      </c>
      <c r="G2798">
        <v>516102610</v>
      </c>
      <c r="H2798">
        <v>213316191</v>
      </c>
      <c r="I2798">
        <v>281011202</v>
      </c>
      <c r="J2798">
        <v>441370880</v>
      </c>
      <c r="K2798">
        <v>429932026</v>
      </c>
      <c r="L2798">
        <v>511943089</v>
      </c>
      <c r="M2798">
        <v>334616930</v>
      </c>
      <c r="N2798">
        <v>321436013</v>
      </c>
      <c r="O2798">
        <v>200835011</v>
      </c>
      <c r="P2798">
        <v>158</v>
      </c>
      <c r="Q2798" t="s">
        <v>5922</v>
      </c>
    </row>
    <row r="2799" spans="1:17" x14ac:dyDescent="0.3">
      <c r="A2799" t="s">
        <v>17</v>
      </c>
      <c r="B2799" t="str">
        <f>"603117"</f>
        <v>603117</v>
      </c>
      <c r="C2799" t="s">
        <v>5923</v>
      </c>
      <c r="D2799" t="s">
        <v>174</v>
      </c>
      <c r="E2799">
        <v>269590049</v>
      </c>
      <c r="F2799">
        <v>359683852</v>
      </c>
      <c r="G2799">
        <v>296975378</v>
      </c>
      <c r="H2799">
        <v>251963618</v>
      </c>
      <c r="I2799">
        <v>178692510</v>
      </c>
      <c r="J2799">
        <v>81847358</v>
      </c>
      <c r="K2799">
        <v>77124631</v>
      </c>
      <c r="L2799">
        <v>61585940</v>
      </c>
      <c r="M2799">
        <v>0</v>
      </c>
      <c r="P2799">
        <v>64</v>
      </c>
      <c r="Q2799" t="s">
        <v>5924</v>
      </c>
    </row>
    <row r="2800" spans="1:17" x14ac:dyDescent="0.3">
      <c r="A2800" t="s">
        <v>73</v>
      </c>
      <c r="B2800" t="str">
        <f>"000056"</f>
        <v>000056</v>
      </c>
      <c r="C2800" t="s">
        <v>5925</v>
      </c>
      <c r="D2800" t="s">
        <v>1209</v>
      </c>
      <c r="E2800">
        <v>269587973</v>
      </c>
      <c r="F2800">
        <v>255845597</v>
      </c>
      <c r="G2800">
        <v>225345943</v>
      </c>
      <c r="H2800">
        <v>165742854</v>
      </c>
      <c r="I2800">
        <v>76026259</v>
      </c>
      <c r="J2800">
        <v>81781944</v>
      </c>
      <c r="K2800">
        <v>42596182</v>
      </c>
      <c r="L2800">
        <v>58735305</v>
      </c>
      <c r="M2800">
        <v>13176729</v>
      </c>
      <c r="N2800">
        <v>804962</v>
      </c>
      <c r="O2800">
        <v>751569</v>
      </c>
      <c r="P2800">
        <v>100</v>
      </c>
      <c r="Q2800" t="s">
        <v>5926</v>
      </c>
    </row>
    <row r="2801" spans="1:17" x14ac:dyDescent="0.3">
      <c r="A2801" t="s">
        <v>17</v>
      </c>
      <c r="B2801" t="str">
        <f>"600207"</f>
        <v>600207</v>
      </c>
      <c r="C2801" t="s">
        <v>5927</v>
      </c>
      <c r="D2801" t="s">
        <v>919</v>
      </c>
      <c r="E2801">
        <v>269489723</v>
      </c>
      <c r="F2801">
        <v>310686729</v>
      </c>
      <c r="G2801">
        <v>266191137</v>
      </c>
      <c r="H2801">
        <v>262887215</v>
      </c>
      <c r="I2801">
        <v>409233136</v>
      </c>
      <c r="J2801">
        <v>390486135</v>
      </c>
      <c r="K2801">
        <v>384411728</v>
      </c>
      <c r="L2801">
        <v>429159320</v>
      </c>
      <c r="M2801">
        <v>316848511</v>
      </c>
      <c r="N2801">
        <v>252783337</v>
      </c>
      <c r="O2801">
        <v>172696278</v>
      </c>
      <c r="P2801">
        <v>146</v>
      </c>
      <c r="Q2801" t="s">
        <v>5928</v>
      </c>
    </row>
    <row r="2802" spans="1:17" x14ac:dyDescent="0.3">
      <c r="A2802" t="s">
        <v>17</v>
      </c>
      <c r="B2802" t="str">
        <f>"600560"</f>
        <v>600560</v>
      </c>
      <c r="C2802" t="s">
        <v>5929</v>
      </c>
      <c r="D2802" t="s">
        <v>311</v>
      </c>
      <c r="E2802">
        <v>269348514</v>
      </c>
      <c r="F2802">
        <v>319742509</v>
      </c>
      <c r="G2802">
        <v>294575411</v>
      </c>
      <c r="H2802">
        <v>279843314</v>
      </c>
      <c r="I2802">
        <v>268465205</v>
      </c>
      <c r="J2802">
        <v>266055098</v>
      </c>
      <c r="K2802">
        <v>321143551</v>
      </c>
      <c r="L2802">
        <v>319808354</v>
      </c>
      <c r="M2802">
        <v>356288741</v>
      </c>
      <c r="N2802">
        <v>301393333</v>
      </c>
      <c r="O2802">
        <v>305550498</v>
      </c>
      <c r="P2802">
        <v>78</v>
      </c>
      <c r="Q2802" t="s">
        <v>5930</v>
      </c>
    </row>
    <row r="2803" spans="1:17" x14ac:dyDescent="0.3">
      <c r="A2803" t="s">
        <v>17</v>
      </c>
      <c r="B2803" t="str">
        <f>"688029"</f>
        <v>688029</v>
      </c>
      <c r="C2803" t="s">
        <v>5931</v>
      </c>
      <c r="D2803" t="s">
        <v>1523</v>
      </c>
      <c r="E2803">
        <v>268998913</v>
      </c>
      <c r="F2803">
        <v>235764504</v>
      </c>
      <c r="G2803">
        <v>148267612</v>
      </c>
      <c r="H2803">
        <v>0</v>
      </c>
      <c r="I2803">
        <v>0</v>
      </c>
      <c r="P2803">
        <v>392</v>
      </c>
      <c r="Q2803" t="s">
        <v>5932</v>
      </c>
    </row>
    <row r="2804" spans="1:17" x14ac:dyDescent="0.3">
      <c r="A2804" t="s">
        <v>73</v>
      </c>
      <c r="B2804" t="str">
        <f>"301010"</f>
        <v>301010</v>
      </c>
      <c r="C2804" t="s">
        <v>5933</v>
      </c>
      <c r="D2804" t="s">
        <v>808</v>
      </c>
      <c r="E2804">
        <v>268868834</v>
      </c>
      <c r="F2804">
        <v>204722723</v>
      </c>
      <c r="P2804">
        <v>33</v>
      </c>
      <c r="Q2804" t="s">
        <v>5934</v>
      </c>
    </row>
    <row r="2805" spans="1:17" x14ac:dyDescent="0.3">
      <c r="A2805" t="s">
        <v>17</v>
      </c>
      <c r="B2805" t="str">
        <f>"603103"</f>
        <v>603103</v>
      </c>
      <c r="C2805" t="s">
        <v>5935</v>
      </c>
      <c r="D2805" t="s">
        <v>1619</v>
      </c>
      <c r="E2805">
        <v>268852818</v>
      </c>
      <c r="F2805">
        <v>47056707</v>
      </c>
      <c r="G2805">
        <v>33795941</v>
      </c>
      <c r="H2805">
        <v>50679971</v>
      </c>
      <c r="I2805">
        <v>58973943</v>
      </c>
      <c r="P2805">
        <v>240</v>
      </c>
      <c r="Q2805" t="s">
        <v>5936</v>
      </c>
    </row>
    <row r="2806" spans="1:17" x14ac:dyDescent="0.3">
      <c r="A2806" t="s">
        <v>17</v>
      </c>
      <c r="B2806" t="str">
        <f>"688181"</f>
        <v>688181</v>
      </c>
      <c r="C2806" t="s">
        <v>5937</v>
      </c>
      <c r="D2806" t="s">
        <v>97</v>
      </c>
      <c r="E2806">
        <v>268259070</v>
      </c>
      <c r="F2806">
        <v>209168051</v>
      </c>
      <c r="G2806">
        <v>158113997</v>
      </c>
      <c r="H2806">
        <v>0</v>
      </c>
      <c r="P2806">
        <v>108</v>
      </c>
      <c r="Q2806" t="s">
        <v>5938</v>
      </c>
    </row>
    <row r="2807" spans="1:17" x14ac:dyDescent="0.3">
      <c r="A2807" t="s">
        <v>17</v>
      </c>
      <c r="B2807" t="str">
        <f>"603657"</f>
        <v>603657</v>
      </c>
      <c r="C2807" t="s">
        <v>5939</v>
      </c>
      <c r="D2807" t="s">
        <v>654</v>
      </c>
      <c r="E2807">
        <v>267885458</v>
      </c>
      <c r="F2807">
        <v>270726488</v>
      </c>
      <c r="G2807">
        <v>102566455</v>
      </c>
      <c r="H2807">
        <v>132811969</v>
      </c>
      <c r="I2807">
        <v>114695245</v>
      </c>
      <c r="P2807">
        <v>152</v>
      </c>
      <c r="Q2807" t="s">
        <v>5940</v>
      </c>
    </row>
    <row r="2808" spans="1:17" x14ac:dyDescent="0.3">
      <c r="A2808" t="s">
        <v>73</v>
      </c>
      <c r="B2808" t="str">
        <f>"000678"</f>
        <v>000678</v>
      </c>
      <c r="C2808" t="s">
        <v>5941</v>
      </c>
      <c r="D2808" t="s">
        <v>122</v>
      </c>
      <c r="E2808">
        <v>267845809</v>
      </c>
      <c r="F2808">
        <v>281836109</v>
      </c>
      <c r="G2808">
        <v>212338085</v>
      </c>
      <c r="H2808">
        <v>318898089</v>
      </c>
      <c r="I2808">
        <v>397811029</v>
      </c>
      <c r="J2808">
        <v>410336976</v>
      </c>
      <c r="K2808">
        <v>211122186</v>
      </c>
      <c r="L2808">
        <v>282094983</v>
      </c>
      <c r="M2808">
        <v>285868817</v>
      </c>
      <c r="N2808">
        <v>174807454</v>
      </c>
      <c r="O2808">
        <v>188434104</v>
      </c>
      <c r="P2808">
        <v>71</v>
      </c>
      <c r="Q2808" t="s">
        <v>5942</v>
      </c>
    </row>
    <row r="2809" spans="1:17" x14ac:dyDescent="0.3">
      <c r="A2809" t="s">
        <v>73</v>
      </c>
      <c r="B2809" t="str">
        <f>"003005"</f>
        <v>003005</v>
      </c>
      <c r="C2809" t="s">
        <v>5943</v>
      </c>
      <c r="D2809" t="s">
        <v>302</v>
      </c>
      <c r="E2809">
        <v>267838656</v>
      </c>
      <c r="F2809">
        <v>251341107</v>
      </c>
      <c r="P2809">
        <v>68</v>
      </c>
      <c r="Q2809" t="s">
        <v>5944</v>
      </c>
    </row>
    <row r="2810" spans="1:17" x14ac:dyDescent="0.3">
      <c r="A2810" t="s">
        <v>17</v>
      </c>
      <c r="B2810" t="str">
        <f>"600859"</f>
        <v>600859</v>
      </c>
      <c r="C2810" t="s">
        <v>5945</v>
      </c>
      <c r="D2810" t="s">
        <v>638</v>
      </c>
      <c r="E2810">
        <v>267801429</v>
      </c>
      <c r="F2810">
        <v>184738031</v>
      </c>
      <c r="G2810">
        <v>109443848</v>
      </c>
      <c r="H2810">
        <v>215927914</v>
      </c>
      <c r="I2810">
        <v>171330861</v>
      </c>
      <c r="J2810">
        <v>61888901</v>
      </c>
      <c r="K2810">
        <v>64093694</v>
      </c>
      <c r="L2810">
        <v>67204694</v>
      </c>
      <c r="M2810">
        <v>62638014</v>
      </c>
      <c r="N2810">
        <v>138429961</v>
      </c>
      <c r="O2810">
        <v>80397490</v>
      </c>
      <c r="P2810">
        <v>553</v>
      </c>
      <c r="Q2810" t="s">
        <v>5946</v>
      </c>
    </row>
    <row r="2811" spans="1:17" x14ac:dyDescent="0.3">
      <c r="A2811" t="s">
        <v>73</v>
      </c>
      <c r="B2811" t="str">
        <f>"300507"</f>
        <v>300507</v>
      </c>
      <c r="C2811" t="s">
        <v>5947</v>
      </c>
      <c r="D2811" t="s">
        <v>122</v>
      </c>
      <c r="E2811">
        <v>267795960</v>
      </c>
      <c r="F2811">
        <v>175509228</v>
      </c>
      <c r="G2811">
        <v>116132996</v>
      </c>
      <c r="H2811">
        <v>146955852</v>
      </c>
      <c r="I2811">
        <v>147642490</v>
      </c>
      <c r="J2811">
        <v>140034795</v>
      </c>
      <c r="K2811">
        <v>98019188</v>
      </c>
      <c r="L2811">
        <v>0</v>
      </c>
      <c r="P2811">
        <v>137</v>
      </c>
      <c r="Q2811" t="s">
        <v>5948</v>
      </c>
    </row>
    <row r="2812" spans="1:17" x14ac:dyDescent="0.3">
      <c r="A2812" t="s">
        <v>17</v>
      </c>
      <c r="B2812" t="str">
        <f>"603758"</f>
        <v>603758</v>
      </c>
      <c r="C2812" t="s">
        <v>5949</v>
      </c>
      <c r="D2812" t="s">
        <v>122</v>
      </c>
      <c r="E2812">
        <v>267669055</v>
      </c>
      <c r="F2812">
        <v>195618479</v>
      </c>
      <c r="G2812">
        <v>52512976</v>
      </c>
      <c r="H2812">
        <v>118095579</v>
      </c>
      <c r="I2812">
        <v>72273185</v>
      </c>
      <c r="J2812">
        <v>202472470</v>
      </c>
      <c r="P2812">
        <v>133</v>
      </c>
      <c r="Q2812" t="s">
        <v>5950</v>
      </c>
    </row>
    <row r="2813" spans="1:17" x14ac:dyDescent="0.3">
      <c r="A2813" t="s">
        <v>17</v>
      </c>
      <c r="B2813" t="str">
        <f>"603277"</f>
        <v>603277</v>
      </c>
      <c r="C2813" t="s">
        <v>5951</v>
      </c>
      <c r="D2813" t="s">
        <v>2227</v>
      </c>
      <c r="E2813">
        <v>267383337</v>
      </c>
      <c r="F2813">
        <v>192788293</v>
      </c>
      <c r="G2813">
        <v>167709315</v>
      </c>
      <c r="H2813">
        <v>129019380</v>
      </c>
      <c r="I2813">
        <v>119171807</v>
      </c>
      <c r="J2813">
        <v>101772840</v>
      </c>
      <c r="P2813">
        <v>136</v>
      </c>
      <c r="Q2813" t="s">
        <v>5952</v>
      </c>
    </row>
    <row r="2814" spans="1:17" x14ac:dyDescent="0.3">
      <c r="A2814" t="s">
        <v>17</v>
      </c>
      <c r="B2814" t="str">
        <f>"688526"</f>
        <v>688526</v>
      </c>
      <c r="C2814" t="s">
        <v>5953</v>
      </c>
      <c r="D2814" t="s">
        <v>2849</v>
      </c>
      <c r="E2814">
        <v>267326201</v>
      </c>
      <c r="F2814">
        <v>210829570</v>
      </c>
      <c r="P2814">
        <v>147</v>
      </c>
      <c r="Q2814" t="s">
        <v>5954</v>
      </c>
    </row>
    <row r="2815" spans="1:17" x14ac:dyDescent="0.3">
      <c r="A2815" t="s">
        <v>17</v>
      </c>
      <c r="B2815" t="str">
        <f>"603321"</f>
        <v>603321</v>
      </c>
      <c r="C2815" t="s">
        <v>5955</v>
      </c>
      <c r="D2815" t="s">
        <v>744</v>
      </c>
      <c r="E2815">
        <v>266962484</v>
      </c>
      <c r="F2815">
        <v>151848496</v>
      </c>
      <c r="G2815">
        <v>179434643</v>
      </c>
      <c r="H2815">
        <v>216919204</v>
      </c>
      <c r="I2815">
        <v>250729474</v>
      </c>
      <c r="P2815">
        <v>59</v>
      </c>
      <c r="Q2815" t="s">
        <v>5956</v>
      </c>
    </row>
    <row r="2816" spans="1:17" x14ac:dyDescent="0.3">
      <c r="A2816" t="s">
        <v>73</v>
      </c>
      <c r="B2816" t="str">
        <f>"300394"</f>
        <v>300394</v>
      </c>
      <c r="C2816" t="s">
        <v>5957</v>
      </c>
      <c r="D2816" t="s">
        <v>189</v>
      </c>
      <c r="E2816">
        <v>266924017</v>
      </c>
      <c r="F2816">
        <v>282397382</v>
      </c>
      <c r="G2816">
        <v>176567635</v>
      </c>
      <c r="H2816">
        <v>126056582</v>
      </c>
      <c r="I2816">
        <v>120561596</v>
      </c>
      <c r="J2816">
        <v>103787105</v>
      </c>
      <c r="K2816">
        <v>94790676</v>
      </c>
      <c r="L2816">
        <v>79941047</v>
      </c>
      <c r="M2816">
        <v>0</v>
      </c>
      <c r="P2816">
        <v>802</v>
      </c>
      <c r="Q2816" t="s">
        <v>5958</v>
      </c>
    </row>
    <row r="2817" spans="1:17" x14ac:dyDescent="0.3">
      <c r="A2817" t="s">
        <v>17</v>
      </c>
      <c r="B2817" t="str">
        <f>"600119"</f>
        <v>600119</v>
      </c>
      <c r="C2817" t="s">
        <v>5959</v>
      </c>
      <c r="D2817" t="s">
        <v>174</v>
      </c>
      <c r="E2817">
        <v>266712964</v>
      </c>
      <c r="F2817">
        <v>415935304</v>
      </c>
      <c r="G2817">
        <v>340427077</v>
      </c>
      <c r="H2817">
        <v>320258836</v>
      </c>
      <c r="I2817">
        <v>574833637</v>
      </c>
      <c r="J2817">
        <v>577668579</v>
      </c>
      <c r="K2817">
        <v>689274754</v>
      </c>
      <c r="L2817">
        <v>436604387</v>
      </c>
      <c r="M2817">
        <v>222680648</v>
      </c>
      <c r="N2817">
        <v>177620188</v>
      </c>
      <c r="O2817">
        <v>110619177</v>
      </c>
      <c r="P2817">
        <v>55</v>
      </c>
      <c r="Q2817" t="s">
        <v>5960</v>
      </c>
    </row>
    <row r="2818" spans="1:17" x14ac:dyDescent="0.3">
      <c r="A2818" t="s">
        <v>17</v>
      </c>
      <c r="B2818" t="str">
        <f>"603648"</f>
        <v>603648</v>
      </c>
      <c r="C2818" t="s">
        <v>5961</v>
      </c>
      <c r="D2818" t="s">
        <v>233</v>
      </c>
      <c r="E2818">
        <v>266652747</v>
      </c>
      <c r="F2818">
        <v>190867201</v>
      </c>
      <c r="G2818">
        <v>197219938</v>
      </c>
      <c r="H2818">
        <v>261301503</v>
      </c>
      <c r="I2818">
        <v>232609852</v>
      </c>
      <c r="P2818">
        <v>72</v>
      </c>
      <c r="Q2818" t="s">
        <v>5962</v>
      </c>
    </row>
    <row r="2819" spans="1:17" x14ac:dyDescent="0.3">
      <c r="A2819" t="s">
        <v>73</v>
      </c>
      <c r="B2819" t="str">
        <f>"002971"</f>
        <v>002971</v>
      </c>
      <c r="C2819" t="s">
        <v>5963</v>
      </c>
      <c r="D2819" t="s">
        <v>588</v>
      </c>
      <c r="E2819">
        <v>266530965</v>
      </c>
      <c r="F2819">
        <v>170815717</v>
      </c>
      <c r="G2819">
        <v>113057606</v>
      </c>
      <c r="P2819">
        <v>70</v>
      </c>
      <c r="Q2819" t="s">
        <v>5964</v>
      </c>
    </row>
    <row r="2820" spans="1:17" x14ac:dyDescent="0.3">
      <c r="A2820" t="s">
        <v>73</v>
      </c>
      <c r="B2820" t="str">
        <f>"002969"</f>
        <v>002969</v>
      </c>
      <c r="C2820" t="s">
        <v>5965</v>
      </c>
      <c r="D2820" t="s">
        <v>870</v>
      </c>
      <c r="E2820">
        <v>266445099</v>
      </c>
      <c r="F2820">
        <v>327633612</v>
      </c>
      <c r="G2820">
        <v>193552672</v>
      </c>
      <c r="P2820">
        <v>78</v>
      </c>
      <c r="Q2820" t="s">
        <v>5966</v>
      </c>
    </row>
    <row r="2821" spans="1:17" x14ac:dyDescent="0.3">
      <c r="A2821" t="s">
        <v>17</v>
      </c>
      <c r="B2821" t="str">
        <f>"600103"</f>
        <v>600103</v>
      </c>
      <c r="C2821" t="s">
        <v>5967</v>
      </c>
      <c r="D2821" t="s">
        <v>2185</v>
      </c>
      <c r="E2821">
        <v>266385096</v>
      </c>
      <c r="F2821">
        <v>246428867</v>
      </c>
      <c r="G2821">
        <v>246562116</v>
      </c>
      <c r="H2821">
        <v>271159176</v>
      </c>
      <c r="I2821">
        <v>272821583</v>
      </c>
      <c r="J2821">
        <v>320858362</v>
      </c>
      <c r="K2821">
        <v>279076405</v>
      </c>
      <c r="L2821">
        <v>316250379</v>
      </c>
      <c r="M2821">
        <v>293632543</v>
      </c>
      <c r="N2821">
        <v>218120148</v>
      </c>
      <c r="O2821">
        <v>186166629</v>
      </c>
      <c r="P2821">
        <v>138</v>
      </c>
      <c r="Q2821" t="s">
        <v>5968</v>
      </c>
    </row>
    <row r="2822" spans="1:17" x14ac:dyDescent="0.3">
      <c r="A2822" t="s">
        <v>73</v>
      </c>
      <c r="B2822" t="str">
        <f>"300755"</f>
        <v>300755</v>
      </c>
      <c r="C2822" t="s">
        <v>5969</v>
      </c>
      <c r="D2822" t="s">
        <v>1206</v>
      </c>
      <c r="E2822">
        <v>266211659</v>
      </c>
      <c r="F2822">
        <v>234434976</v>
      </c>
      <c r="G2822">
        <v>110904438</v>
      </c>
      <c r="H2822">
        <v>114926396</v>
      </c>
      <c r="I2822">
        <v>0</v>
      </c>
      <c r="P2822">
        <v>246</v>
      </c>
      <c r="Q2822" t="s">
        <v>5970</v>
      </c>
    </row>
    <row r="2823" spans="1:17" x14ac:dyDescent="0.3">
      <c r="A2823" t="s">
        <v>73</v>
      </c>
      <c r="B2823" t="str">
        <f>"000803"</f>
        <v>000803</v>
      </c>
      <c r="C2823" t="s">
        <v>5971</v>
      </c>
      <c r="D2823" t="s">
        <v>314</v>
      </c>
      <c r="E2823">
        <v>266046338</v>
      </c>
      <c r="F2823">
        <v>169898409</v>
      </c>
      <c r="G2823">
        <v>10635177</v>
      </c>
      <c r="H2823">
        <v>0</v>
      </c>
      <c r="I2823">
        <v>241066524</v>
      </c>
      <c r="J2823">
        <v>2239887</v>
      </c>
      <c r="K2823">
        <v>6592009</v>
      </c>
      <c r="L2823">
        <v>3002786</v>
      </c>
      <c r="M2823">
        <v>5896935</v>
      </c>
      <c r="N2823">
        <v>7687549</v>
      </c>
      <c r="O2823">
        <v>7557098</v>
      </c>
      <c r="P2823">
        <v>79</v>
      </c>
      <c r="Q2823" t="s">
        <v>5972</v>
      </c>
    </row>
    <row r="2824" spans="1:17" x14ac:dyDescent="0.3">
      <c r="A2824" t="s">
        <v>17</v>
      </c>
      <c r="B2824" t="str">
        <f>"600215"</f>
        <v>600215</v>
      </c>
      <c r="C2824" t="s">
        <v>5973</v>
      </c>
      <c r="D2824" t="s">
        <v>27</v>
      </c>
      <c r="E2824">
        <v>266037460</v>
      </c>
      <c r="F2824">
        <v>460728</v>
      </c>
      <c r="G2824">
        <v>224391</v>
      </c>
      <c r="H2824">
        <v>4865437</v>
      </c>
      <c r="I2824">
        <v>196646339</v>
      </c>
      <c r="J2824">
        <v>215695810</v>
      </c>
      <c r="K2824">
        <v>309679901</v>
      </c>
      <c r="L2824">
        <v>320897245</v>
      </c>
      <c r="M2824">
        <v>255456412</v>
      </c>
      <c r="N2824">
        <v>193911368</v>
      </c>
      <c r="O2824">
        <v>107959977</v>
      </c>
      <c r="P2824">
        <v>77</v>
      </c>
      <c r="Q2824" t="s">
        <v>5974</v>
      </c>
    </row>
    <row r="2825" spans="1:17" x14ac:dyDescent="0.3">
      <c r="A2825" t="s">
        <v>73</v>
      </c>
      <c r="B2825" t="str">
        <f>"301102"</f>
        <v>301102</v>
      </c>
      <c r="C2825" t="s">
        <v>5975</v>
      </c>
      <c r="E2825">
        <v>265981653</v>
      </c>
      <c r="G2825">
        <v>181323712</v>
      </c>
      <c r="P2825">
        <v>4</v>
      </c>
      <c r="Q2825" t="s">
        <v>5976</v>
      </c>
    </row>
    <row r="2826" spans="1:17" x14ac:dyDescent="0.3">
      <c r="A2826" t="s">
        <v>73</v>
      </c>
      <c r="B2826" t="str">
        <f>"002981"</f>
        <v>002981</v>
      </c>
      <c r="C2826" t="s">
        <v>5977</v>
      </c>
      <c r="D2826" t="s">
        <v>42</v>
      </c>
      <c r="E2826">
        <v>265781500</v>
      </c>
      <c r="F2826">
        <v>286924678</v>
      </c>
      <c r="G2826">
        <v>206990493</v>
      </c>
      <c r="P2826">
        <v>73</v>
      </c>
      <c r="Q2826" t="s">
        <v>5978</v>
      </c>
    </row>
    <row r="2827" spans="1:17" x14ac:dyDescent="0.3">
      <c r="A2827" t="s">
        <v>73</v>
      </c>
      <c r="B2827" t="str">
        <f>"002312"</f>
        <v>002312</v>
      </c>
      <c r="C2827" t="s">
        <v>5979</v>
      </c>
      <c r="D2827" t="s">
        <v>1137</v>
      </c>
      <c r="E2827">
        <v>265592500</v>
      </c>
      <c r="F2827">
        <v>268279556</v>
      </c>
      <c r="G2827">
        <v>267181624</v>
      </c>
      <c r="H2827">
        <v>159056448</v>
      </c>
      <c r="I2827">
        <v>142706910</v>
      </c>
      <c r="J2827">
        <v>287447347</v>
      </c>
      <c r="K2827">
        <v>1368636286</v>
      </c>
      <c r="L2827">
        <v>1107467104</v>
      </c>
      <c r="M2827">
        <v>758791252</v>
      </c>
      <c r="N2827">
        <v>449140138</v>
      </c>
      <c r="O2827">
        <v>316756518</v>
      </c>
      <c r="P2827">
        <v>249</v>
      </c>
      <c r="Q2827" t="s">
        <v>5980</v>
      </c>
    </row>
    <row r="2828" spans="1:17" x14ac:dyDescent="0.3">
      <c r="A2828" t="s">
        <v>73</v>
      </c>
      <c r="B2828" t="str">
        <f>"002349"</f>
        <v>002349</v>
      </c>
      <c r="C2828" t="s">
        <v>5981</v>
      </c>
      <c r="D2828" t="s">
        <v>215</v>
      </c>
      <c r="E2828">
        <v>264832509</v>
      </c>
      <c r="F2828">
        <v>258721168</v>
      </c>
      <c r="G2828">
        <v>296277075</v>
      </c>
      <c r="H2828">
        <v>566753504</v>
      </c>
      <c r="I2828">
        <v>391651487</v>
      </c>
      <c r="J2828">
        <v>204647596</v>
      </c>
      <c r="K2828">
        <v>225804036</v>
      </c>
      <c r="L2828">
        <v>140036973</v>
      </c>
      <c r="M2828">
        <v>167694042</v>
      </c>
      <c r="N2828">
        <v>143230666</v>
      </c>
      <c r="O2828">
        <v>104831170</v>
      </c>
      <c r="P2828">
        <v>194</v>
      </c>
      <c r="Q2828" t="s">
        <v>5982</v>
      </c>
    </row>
    <row r="2829" spans="1:17" x14ac:dyDescent="0.3">
      <c r="A2829" t="s">
        <v>73</v>
      </c>
      <c r="B2829" t="str">
        <f>"300757"</f>
        <v>300757</v>
      </c>
      <c r="C2829" t="s">
        <v>5983</v>
      </c>
      <c r="D2829" t="s">
        <v>1967</v>
      </c>
      <c r="E2829">
        <v>264799068</v>
      </c>
      <c r="F2829">
        <v>315391328</v>
      </c>
      <c r="G2829">
        <v>393117292</v>
      </c>
      <c r="H2829">
        <v>238643674</v>
      </c>
      <c r="I2829">
        <v>0</v>
      </c>
      <c r="P2829">
        <v>76</v>
      </c>
      <c r="Q2829" t="s">
        <v>5984</v>
      </c>
    </row>
    <row r="2830" spans="1:17" x14ac:dyDescent="0.3">
      <c r="A2830" t="s">
        <v>73</v>
      </c>
      <c r="B2830" t="str">
        <f>"300658"</f>
        <v>300658</v>
      </c>
      <c r="C2830" t="s">
        <v>5985</v>
      </c>
      <c r="D2830" t="s">
        <v>2759</v>
      </c>
      <c r="E2830">
        <v>264524900</v>
      </c>
      <c r="F2830">
        <v>233929983</v>
      </c>
      <c r="G2830">
        <v>171465190</v>
      </c>
      <c r="H2830">
        <v>206505304</v>
      </c>
      <c r="I2830">
        <v>162270201</v>
      </c>
      <c r="J2830">
        <v>163151855</v>
      </c>
      <c r="K2830">
        <v>0</v>
      </c>
      <c r="P2830">
        <v>232</v>
      </c>
      <c r="Q2830" t="s">
        <v>5986</v>
      </c>
    </row>
    <row r="2831" spans="1:17" x14ac:dyDescent="0.3">
      <c r="A2831" t="s">
        <v>73</v>
      </c>
      <c r="B2831" t="str">
        <f>"002512"</f>
        <v>002512</v>
      </c>
      <c r="C2831" t="s">
        <v>5987</v>
      </c>
      <c r="D2831" t="s">
        <v>158</v>
      </c>
      <c r="E2831">
        <v>264427998</v>
      </c>
      <c r="F2831">
        <v>784956680</v>
      </c>
      <c r="G2831">
        <v>525618286</v>
      </c>
      <c r="H2831">
        <v>724881808</v>
      </c>
      <c r="I2831">
        <v>1162718346</v>
      </c>
      <c r="J2831">
        <v>914941119</v>
      </c>
      <c r="K2831">
        <v>730561345</v>
      </c>
      <c r="L2831">
        <v>414500344</v>
      </c>
      <c r="M2831">
        <v>243593886</v>
      </c>
      <c r="N2831">
        <v>112410159</v>
      </c>
      <c r="O2831">
        <v>58145749</v>
      </c>
      <c r="P2831">
        <v>162</v>
      </c>
      <c r="Q2831" t="s">
        <v>5988</v>
      </c>
    </row>
    <row r="2832" spans="1:17" x14ac:dyDescent="0.3">
      <c r="A2832" t="s">
        <v>73</v>
      </c>
      <c r="B2832" t="str">
        <f>"300612"</f>
        <v>300612</v>
      </c>
      <c r="C2832" t="s">
        <v>5989</v>
      </c>
      <c r="D2832" t="s">
        <v>425</v>
      </c>
      <c r="E2832">
        <v>264407024</v>
      </c>
      <c r="F2832">
        <v>270075834</v>
      </c>
      <c r="G2832">
        <v>127531309</v>
      </c>
      <c r="H2832">
        <v>114372343</v>
      </c>
      <c r="I2832">
        <v>159826820</v>
      </c>
      <c r="J2832">
        <v>143174210</v>
      </c>
      <c r="K2832">
        <v>0</v>
      </c>
      <c r="P2832">
        <v>84</v>
      </c>
      <c r="Q2832" t="s">
        <v>5990</v>
      </c>
    </row>
    <row r="2833" spans="1:17" x14ac:dyDescent="0.3">
      <c r="A2833" t="s">
        <v>73</v>
      </c>
      <c r="B2833" t="str">
        <f>"000545"</f>
        <v>000545</v>
      </c>
      <c r="C2833" t="s">
        <v>5991</v>
      </c>
      <c r="D2833" t="s">
        <v>1162</v>
      </c>
      <c r="E2833">
        <v>264223005</v>
      </c>
      <c r="F2833">
        <v>128146142</v>
      </c>
      <c r="G2833">
        <v>124701014</v>
      </c>
      <c r="H2833">
        <v>140621729</v>
      </c>
      <c r="I2833">
        <v>102868007</v>
      </c>
      <c r="J2833">
        <v>66465301</v>
      </c>
      <c r="K2833">
        <v>65069280</v>
      </c>
      <c r="L2833">
        <v>48618141</v>
      </c>
      <c r="M2833">
        <v>40646747</v>
      </c>
      <c r="N2833">
        <v>54078401</v>
      </c>
      <c r="O2833">
        <v>36496099</v>
      </c>
      <c r="P2833">
        <v>106</v>
      </c>
      <c r="Q2833" t="s">
        <v>5992</v>
      </c>
    </row>
    <row r="2834" spans="1:17" x14ac:dyDescent="0.3">
      <c r="A2834" t="s">
        <v>73</v>
      </c>
      <c r="B2834" t="str">
        <f>"300913"</f>
        <v>300913</v>
      </c>
      <c r="C2834" t="s">
        <v>5993</v>
      </c>
      <c r="D2834" t="s">
        <v>208</v>
      </c>
      <c r="E2834">
        <v>263976592</v>
      </c>
      <c r="F2834">
        <v>223676493</v>
      </c>
      <c r="H2834">
        <v>173505934</v>
      </c>
      <c r="P2834">
        <v>33</v>
      </c>
      <c r="Q2834" t="s">
        <v>5994</v>
      </c>
    </row>
    <row r="2835" spans="1:17" x14ac:dyDescent="0.3">
      <c r="A2835" t="s">
        <v>73</v>
      </c>
      <c r="B2835" t="str">
        <f>"301133"</f>
        <v>301133</v>
      </c>
      <c r="C2835" t="s">
        <v>5995</v>
      </c>
      <c r="D2835" t="s">
        <v>106</v>
      </c>
      <c r="E2835">
        <v>263759371</v>
      </c>
      <c r="P2835">
        <v>15</v>
      </c>
      <c r="Q2835" t="s">
        <v>5996</v>
      </c>
    </row>
    <row r="2836" spans="1:17" x14ac:dyDescent="0.3">
      <c r="A2836" t="s">
        <v>73</v>
      </c>
      <c r="B2836" t="str">
        <f>"300565"</f>
        <v>300565</v>
      </c>
      <c r="C2836" t="s">
        <v>5997</v>
      </c>
      <c r="D2836" t="s">
        <v>189</v>
      </c>
      <c r="E2836">
        <v>263685915</v>
      </c>
      <c r="F2836">
        <v>506107504</v>
      </c>
      <c r="G2836">
        <v>222856992</v>
      </c>
      <c r="H2836">
        <v>275000228</v>
      </c>
      <c r="I2836">
        <v>342334591</v>
      </c>
      <c r="J2836">
        <v>312065543</v>
      </c>
      <c r="K2836">
        <v>0</v>
      </c>
      <c r="P2836">
        <v>113</v>
      </c>
      <c r="Q2836" t="s">
        <v>5998</v>
      </c>
    </row>
    <row r="2837" spans="1:17" x14ac:dyDescent="0.3">
      <c r="A2837" t="s">
        <v>17</v>
      </c>
      <c r="B2837" t="str">
        <f>"603986"</f>
        <v>603986</v>
      </c>
      <c r="C2837" t="s">
        <v>5999</v>
      </c>
      <c r="D2837" t="s">
        <v>890</v>
      </c>
      <c r="E2837">
        <v>263257264</v>
      </c>
      <c r="F2837">
        <v>196523184</v>
      </c>
      <c r="G2837">
        <v>159520184</v>
      </c>
      <c r="H2837">
        <v>102309712</v>
      </c>
      <c r="I2837">
        <v>143135826</v>
      </c>
      <c r="J2837">
        <v>134206333</v>
      </c>
      <c r="K2837">
        <v>0</v>
      </c>
      <c r="L2837">
        <v>0</v>
      </c>
      <c r="P2837">
        <v>2706</v>
      </c>
      <c r="Q2837" t="s">
        <v>6000</v>
      </c>
    </row>
    <row r="2838" spans="1:17" x14ac:dyDescent="0.3">
      <c r="A2838" t="s">
        <v>17</v>
      </c>
      <c r="B2838" t="str">
        <f>"688296"</f>
        <v>688296</v>
      </c>
      <c r="C2838" t="s">
        <v>6001</v>
      </c>
      <c r="D2838" t="s">
        <v>795</v>
      </c>
      <c r="E2838">
        <v>263208178</v>
      </c>
      <c r="F2838">
        <v>143389656</v>
      </c>
      <c r="P2838">
        <v>24</v>
      </c>
      <c r="Q2838" t="s">
        <v>6002</v>
      </c>
    </row>
    <row r="2839" spans="1:17" x14ac:dyDescent="0.3">
      <c r="A2839" t="s">
        <v>73</v>
      </c>
      <c r="B2839" t="str">
        <f>"300929"</f>
        <v>300929</v>
      </c>
      <c r="C2839" t="s">
        <v>6003</v>
      </c>
      <c r="D2839" t="s">
        <v>308</v>
      </c>
      <c r="E2839">
        <v>263196447</v>
      </c>
      <c r="F2839">
        <v>228021441</v>
      </c>
      <c r="P2839">
        <v>48</v>
      </c>
      <c r="Q2839" t="s">
        <v>6004</v>
      </c>
    </row>
    <row r="2840" spans="1:17" x14ac:dyDescent="0.3">
      <c r="A2840" t="s">
        <v>17</v>
      </c>
      <c r="B2840" t="str">
        <f>"600379"</f>
        <v>600379</v>
      </c>
      <c r="C2840" t="s">
        <v>6005</v>
      </c>
      <c r="D2840" t="s">
        <v>224</v>
      </c>
      <c r="E2840">
        <v>263177389</v>
      </c>
      <c r="F2840">
        <v>236805049</v>
      </c>
      <c r="G2840">
        <v>258099527</v>
      </c>
      <c r="H2840">
        <v>229083734</v>
      </c>
      <c r="I2840">
        <v>164576258</v>
      </c>
      <c r="J2840">
        <v>156668005</v>
      </c>
      <c r="K2840">
        <v>199098003</v>
      </c>
      <c r="L2840">
        <v>138648062</v>
      </c>
      <c r="M2840">
        <v>115634905</v>
      </c>
      <c r="N2840">
        <v>107492198</v>
      </c>
      <c r="O2840">
        <v>111283786</v>
      </c>
      <c r="P2840">
        <v>83</v>
      </c>
      <c r="Q2840" t="s">
        <v>6006</v>
      </c>
    </row>
    <row r="2841" spans="1:17" x14ac:dyDescent="0.3">
      <c r="A2841" t="s">
        <v>73</v>
      </c>
      <c r="B2841" t="str">
        <f>"000993"</f>
        <v>000993</v>
      </c>
      <c r="C2841" t="s">
        <v>6007</v>
      </c>
      <c r="D2841" t="s">
        <v>290</v>
      </c>
      <c r="E2841">
        <v>263060119</v>
      </c>
      <c r="F2841">
        <v>198597954</v>
      </c>
      <c r="G2841">
        <v>162080251</v>
      </c>
      <c r="H2841">
        <v>151524576</v>
      </c>
      <c r="I2841">
        <v>90041420</v>
      </c>
      <c r="J2841">
        <v>90116060</v>
      </c>
      <c r="K2841">
        <v>83623105</v>
      </c>
      <c r="L2841">
        <v>67779604</v>
      </c>
      <c r="M2841">
        <v>106229018</v>
      </c>
      <c r="N2841">
        <v>70342587</v>
      </c>
      <c r="O2841">
        <v>54350683</v>
      </c>
      <c r="P2841">
        <v>163</v>
      </c>
      <c r="Q2841" t="s">
        <v>6008</v>
      </c>
    </row>
    <row r="2842" spans="1:17" x14ac:dyDescent="0.3">
      <c r="A2842" t="s">
        <v>73</v>
      </c>
      <c r="B2842" t="str">
        <f>"300725"</f>
        <v>300725</v>
      </c>
      <c r="C2842" t="s">
        <v>6009</v>
      </c>
      <c r="D2842" t="s">
        <v>459</v>
      </c>
      <c r="E2842">
        <v>262707551</v>
      </c>
      <c r="F2842">
        <v>71054109</v>
      </c>
      <c r="G2842">
        <v>56419193</v>
      </c>
      <c r="H2842">
        <v>50598425</v>
      </c>
      <c r="I2842">
        <v>15694896</v>
      </c>
      <c r="J2842">
        <v>0</v>
      </c>
      <c r="P2842">
        <v>1114</v>
      </c>
      <c r="Q2842" t="s">
        <v>6010</v>
      </c>
    </row>
    <row r="2843" spans="1:17" x14ac:dyDescent="0.3">
      <c r="A2843" t="s">
        <v>17</v>
      </c>
      <c r="B2843" t="str">
        <f>"605060"</f>
        <v>605060</v>
      </c>
      <c r="C2843" t="s">
        <v>6011</v>
      </c>
      <c r="D2843" t="s">
        <v>873</v>
      </c>
      <c r="E2843">
        <v>262388828</v>
      </c>
      <c r="F2843">
        <v>202579633</v>
      </c>
      <c r="P2843">
        <v>43</v>
      </c>
      <c r="Q2843" t="s">
        <v>6012</v>
      </c>
    </row>
    <row r="2844" spans="1:17" x14ac:dyDescent="0.3">
      <c r="A2844" t="s">
        <v>73</v>
      </c>
      <c r="B2844" t="str">
        <f>"301199"</f>
        <v>301199</v>
      </c>
      <c r="C2844" t="s">
        <v>6013</v>
      </c>
      <c r="D2844" t="s">
        <v>2121</v>
      </c>
      <c r="E2844">
        <v>262360879</v>
      </c>
      <c r="P2844">
        <v>10</v>
      </c>
      <c r="Q2844" t="s">
        <v>6014</v>
      </c>
    </row>
    <row r="2845" spans="1:17" x14ac:dyDescent="0.3">
      <c r="A2845" t="s">
        <v>73</v>
      </c>
      <c r="B2845" t="str">
        <f>"002490"</f>
        <v>002490</v>
      </c>
      <c r="C2845" t="s">
        <v>6015</v>
      </c>
      <c r="D2845" t="s">
        <v>311</v>
      </c>
      <c r="E2845">
        <v>262087299</v>
      </c>
      <c r="F2845">
        <v>211149209</v>
      </c>
      <c r="G2845">
        <v>536963822</v>
      </c>
      <c r="H2845">
        <v>615873945</v>
      </c>
      <c r="I2845">
        <v>549338015</v>
      </c>
      <c r="J2845">
        <v>209852242</v>
      </c>
      <c r="K2845">
        <v>590099654</v>
      </c>
      <c r="L2845">
        <v>596014546</v>
      </c>
      <c r="M2845">
        <v>627389413</v>
      </c>
      <c r="N2845">
        <v>620447404</v>
      </c>
      <c r="O2845">
        <v>679019505</v>
      </c>
      <c r="P2845">
        <v>82</v>
      </c>
      <c r="Q2845" t="s">
        <v>6016</v>
      </c>
    </row>
    <row r="2846" spans="1:17" x14ac:dyDescent="0.3">
      <c r="A2846" t="s">
        <v>73</v>
      </c>
      <c r="B2846" t="str">
        <f>"300957"</f>
        <v>300957</v>
      </c>
      <c r="C2846" t="s">
        <v>6017</v>
      </c>
      <c r="D2846" t="s">
        <v>2351</v>
      </c>
      <c r="E2846">
        <v>262082150</v>
      </c>
      <c r="F2846">
        <v>156861621</v>
      </c>
      <c r="P2846">
        <v>350</v>
      </c>
      <c r="Q2846" t="s">
        <v>6018</v>
      </c>
    </row>
    <row r="2847" spans="1:17" x14ac:dyDescent="0.3">
      <c r="A2847" t="s">
        <v>17</v>
      </c>
      <c r="B2847" t="str">
        <f>"688099"</f>
        <v>688099</v>
      </c>
      <c r="C2847" t="s">
        <v>6019</v>
      </c>
      <c r="D2847" t="s">
        <v>890</v>
      </c>
      <c r="E2847">
        <v>261853169</v>
      </c>
      <c r="F2847">
        <v>151696739</v>
      </c>
      <c r="G2847">
        <v>120798829</v>
      </c>
      <c r="H2847">
        <v>0</v>
      </c>
      <c r="P2847">
        <v>301</v>
      </c>
      <c r="Q2847" t="s">
        <v>6020</v>
      </c>
    </row>
    <row r="2848" spans="1:17" x14ac:dyDescent="0.3">
      <c r="A2848" t="s">
        <v>17</v>
      </c>
      <c r="B2848" t="str">
        <f>"600123"</f>
        <v>600123</v>
      </c>
      <c r="C2848" t="s">
        <v>6021</v>
      </c>
      <c r="D2848" t="s">
        <v>492</v>
      </c>
      <c r="E2848">
        <v>261772583</v>
      </c>
      <c r="F2848">
        <v>184345063</v>
      </c>
      <c r="G2848">
        <v>152906248</v>
      </c>
      <c r="H2848">
        <v>167101147</v>
      </c>
      <c r="I2848">
        <v>118496832</v>
      </c>
      <c r="J2848">
        <v>56418224</v>
      </c>
      <c r="K2848">
        <v>99537878</v>
      </c>
      <c r="L2848">
        <v>166607684</v>
      </c>
      <c r="M2848">
        <v>35820758</v>
      </c>
      <c r="N2848">
        <v>28144061</v>
      </c>
      <c r="O2848">
        <v>30725130</v>
      </c>
      <c r="P2848">
        <v>623</v>
      </c>
      <c r="Q2848" t="s">
        <v>6022</v>
      </c>
    </row>
    <row r="2849" spans="1:17" x14ac:dyDescent="0.3">
      <c r="A2849" t="s">
        <v>17</v>
      </c>
      <c r="B2849" t="str">
        <f>"603988"</f>
        <v>603988</v>
      </c>
      <c r="C2849" t="s">
        <v>6023</v>
      </c>
      <c r="D2849" t="s">
        <v>689</v>
      </c>
      <c r="E2849">
        <v>261728599</v>
      </c>
      <c r="F2849">
        <v>245295874</v>
      </c>
      <c r="G2849">
        <v>137769855</v>
      </c>
      <c r="H2849">
        <v>137664208</v>
      </c>
      <c r="I2849">
        <v>119701791</v>
      </c>
      <c r="J2849">
        <v>149930500</v>
      </c>
      <c r="K2849">
        <v>157574490</v>
      </c>
      <c r="L2849">
        <v>154474661</v>
      </c>
      <c r="M2849">
        <v>0</v>
      </c>
      <c r="P2849">
        <v>192</v>
      </c>
      <c r="Q2849" t="s">
        <v>6024</v>
      </c>
    </row>
    <row r="2850" spans="1:17" x14ac:dyDescent="0.3">
      <c r="A2850" t="s">
        <v>17</v>
      </c>
      <c r="B2850" t="str">
        <f>"688698"</f>
        <v>688698</v>
      </c>
      <c r="C2850" t="s">
        <v>6025</v>
      </c>
      <c r="D2850" t="s">
        <v>626</v>
      </c>
      <c r="E2850">
        <v>261726891</v>
      </c>
      <c r="F2850">
        <v>190342112</v>
      </c>
      <c r="P2850">
        <v>74</v>
      </c>
      <c r="Q2850" t="s">
        <v>6026</v>
      </c>
    </row>
    <row r="2851" spans="1:17" x14ac:dyDescent="0.3">
      <c r="A2851" t="s">
        <v>73</v>
      </c>
      <c r="B2851" t="str">
        <f>"300733"</f>
        <v>300733</v>
      </c>
      <c r="C2851" t="s">
        <v>6027</v>
      </c>
      <c r="D2851" t="s">
        <v>122</v>
      </c>
      <c r="E2851">
        <v>261550474</v>
      </c>
      <c r="F2851">
        <v>191979685</v>
      </c>
      <c r="G2851">
        <v>94250003</v>
      </c>
      <c r="H2851">
        <v>118260025</v>
      </c>
      <c r="I2851">
        <v>160731567</v>
      </c>
      <c r="J2851">
        <v>0</v>
      </c>
      <c r="P2851">
        <v>60</v>
      </c>
      <c r="Q2851" t="s">
        <v>6028</v>
      </c>
    </row>
    <row r="2852" spans="1:17" x14ac:dyDescent="0.3">
      <c r="A2852" t="s">
        <v>73</v>
      </c>
      <c r="B2852" t="str">
        <f>"300183"</f>
        <v>300183</v>
      </c>
      <c r="C2852" t="s">
        <v>6029</v>
      </c>
      <c r="D2852" t="s">
        <v>2542</v>
      </c>
      <c r="E2852">
        <v>261450490</v>
      </c>
      <c r="F2852">
        <v>251922284</v>
      </c>
      <c r="G2852">
        <v>216304391</v>
      </c>
      <c r="H2852">
        <v>384031879</v>
      </c>
      <c r="I2852">
        <v>303162376</v>
      </c>
      <c r="J2852">
        <v>259035597</v>
      </c>
      <c r="K2852">
        <v>281411211</v>
      </c>
      <c r="L2852">
        <v>203094807</v>
      </c>
      <c r="M2852">
        <v>93991181</v>
      </c>
      <c r="N2852">
        <v>108957081</v>
      </c>
      <c r="O2852">
        <v>58002207</v>
      </c>
      <c r="P2852">
        <v>276</v>
      </c>
      <c r="Q2852" t="s">
        <v>6030</v>
      </c>
    </row>
    <row r="2853" spans="1:17" x14ac:dyDescent="0.3">
      <c r="A2853" t="s">
        <v>17</v>
      </c>
      <c r="B2853" t="str">
        <f>"688571"</f>
        <v>688571</v>
      </c>
      <c r="C2853" t="s">
        <v>6031</v>
      </c>
      <c r="D2853" t="s">
        <v>3072</v>
      </c>
      <c r="E2853">
        <v>261212835</v>
      </c>
      <c r="F2853">
        <v>249183542</v>
      </c>
      <c r="P2853">
        <v>29</v>
      </c>
      <c r="Q2853" t="s">
        <v>6032</v>
      </c>
    </row>
    <row r="2854" spans="1:17" x14ac:dyDescent="0.3">
      <c r="A2854" t="s">
        <v>73</v>
      </c>
      <c r="B2854" t="str">
        <f>"000572"</f>
        <v>000572</v>
      </c>
      <c r="C2854" t="s">
        <v>6033</v>
      </c>
      <c r="D2854" t="s">
        <v>58</v>
      </c>
      <c r="E2854">
        <v>260694593</v>
      </c>
      <c r="F2854">
        <v>157693388</v>
      </c>
      <c r="G2854">
        <v>302169476</v>
      </c>
      <c r="H2854">
        <v>1042137957</v>
      </c>
      <c r="I2854">
        <v>1305811060</v>
      </c>
      <c r="J2854">
        <v>517749645</v>
      </c>
      <c r="K2854">
        <v>70219111</v>
      </c>
      <c r="L2854">
        <v>49588913</v>
      </c>
      <c r="M2854">
        <v>45391915</v>
      </c>
      <c r="N2854">
        <v>102383203</v>
      </c>
      <c r="O2854">
        <v>66666198</v>
      </c>
      <c r="P2854">
        <v>151</v>
      </c>
      <c r="Q2854" t="s">
        <v>6034</v>
      </c>
    </row>
    <row r="2855" spans="1:17" x14ac:dyDescent="0.3">
      <c r="A2855" t="s">
        <v>17</v>
      </c>
      <c r="B2855" t="str">
        <f>"603937"</f>
        <v>603937</v>
      </c>
      <c r="C2855" t="s">
        <v>6035</v>
      </c>
      <c r="D2855" t="s">
        <v>616</v>
      </c>
      <c r="E2855">
        <v>260427808</v>
      </c>
      <c r="F2855">
        <v>239626352</v>
      </c>
      <c r="G2855">
        <v>173786197</v>
      </c>
      <c r="H2855">
        <v>198579845</v>
      </c>
      <c r="I2855">
        <v>203491424</v>
      </c>
      <c r="J2855">
        <v>0</v>
      </c>
      <c r="P2855">
        <v>61</v>
      </c>
      <c r="Q2855" t="s">
        <v>6036</v>
      </c>
    </row>
    <row r="2856" spans="1:17" x14ac:dyDescent="0.3">
      <c r="A2856" t="s">
        <v>73</v>
      </c>
      <c r="B2856" t="str">
        <f>"300955"</f>
        <v>300955</v>
      </c>
      <c r="C2856" t="s">
        <v>6037</v>
      </c>
      <c r="D2856" t="s">
        <v>2859</v>
      </c>
      <c r="E2856">
        <v>260030236</v>
      </c>
      <c r="F2856">
        <v>230808201</v>
      </c>
      <c r="P2856">
        <v>42</v>
      </c>
      <c r="Q2856" t="s">
        <v>6038</v>
      </c>
    </row>
    <row r="2857" spans="1:17" x14ac:dyDescent="0.3">
      <c r="A2857" t="s">
        <v>17</v>
      </c>
      <c r="B2857" t="str">
        <f>"603808"</f>
        <v>603808</v>
      </c>
      <c r="C2857" t="s">
        <v>6039</v>
      </c>
      <c r="D2857" t="s">
        <v>991</v>
      </c>
      <c r="E2857">
        <v>259770613</v>
      </c>
      <c r="F2857">
        <v>268955532</v>
      </c>
      <c r="G2857">
        <v>169636953</v>
      </c>
      <c r="H2857">
        <v>311907422</v>
      </c>
      <c r="I2857">
        <v>270984673</v>
      </c>
      <c r="J2857">
        <v>154367078</v>
      </c>
      <c r="K2857">
        <v>104026574</v>
      </c>
      <c r="L2857">
        <v>64817574</v>
      </c>
      <c r="M2857">
        <v>0</v>
      </c>
      <c r="P2857">
        <v>479</v>
      </c>
      <c r="Q2857" t="s">
        <v>6040</v>
      </c>
    </row>
    <row r="2858" spans="1:17" x14ac:dyDescent="0.3">
      <c r="A2858" t="s">
        <v>73</v>
      </c>
      <c r="B2858" t="str">
        <f>"300275"</f>
        <v>300275</v>
      </c>
      <c r="C2858" t="s">
        <v>6041</v>
      </c>
      <c r="D2858" t="s">
        <v>311</v>
      </c>
      <c r="E2858">
        <v>259754210</v>
      </c>
      <c r="F2858">
        <v>243659326</v>
      </c>
      <c r="G2858">
        <v>205714646</v>
      </c>
      <c r="H2858">
        <v>209133230</v>
      </c>
      <c r="I2858">
        <v>246694657</v>
      </c>
      <c r="J2858">
        <v>373546179</v>
      </c>
      <c r="K2858">
        <v>309976621</v>
      </c>
      <c r="L2858">
        <v>344933001</v>
      </c>
      <c r="M2858">
        <v>280285825</v>
      </c>
      <c r="N2858">
        <v>159831655</v>
      </c>
      <c r="O2858">
        <v>102905929</v>
      </c>
      <c r="P2858">
        <v>89</v>
      </c>
      <c r="Q2858" t="s">
        <v>6042</v>
      </c>
    </row>
    <row r="2859" spans="1:17" x14ac:dyDescent="0.3">
      <c r="A2859" t="s">
        <v>73</v>
      </c>
      <c r="B2859" t="str">
        <f>"300988"</f>
        <v>300988</v>
      </c>
      <c r="C2859" t="s">
        <v>6043</v>
      </c>
      <c r="D2859" t="s">
        <v>1451</v>
      </c>
      <c r="E2859">
        <v>259413373</v>
      </c>
      <c r="F2859">
        <v>223987906</v>
      </c>
      <c r="P2859">
        <v>20</v>
      </c>
      <c r="Q2859" t="s">
        <v>6044</v>
      </c>
    </row>
    <row r="2860" spans="1:17" x14ac:dyDescent="0.3">
      <c r="A2860" t="s">
        <v>73</v>
      </c>
      <c r="B2860" t="str">
        <f>"000592"</f>
        <v>000592</v>
      </c>
      <c r="C2860" t="s">
        <v>6045</v>
      </c>
      <c r="D2860" t="s">
        <v>6046</v>
      </c>
      <c r="E2860">
        <v>259130934</v>
      </c>
      <c r="F2860">
        <v>202508229</v>
      </c>
      <c r="G2860">
        <v>130744164</v>
      </c>
      <c r="H2860">
        <v>162361577</v>
      </c>
      <c r="I2860">
        <v>195033620</v>
      </c>
      <c r="J2860">
        <v>240157071</v>
      </c>
      <c r="K2860">
        <v>303827198</v>
      </c>
      <c r="L2860">
        <v>217285828</v>
      </c>
      <c r="M2860">
        <v>194886629</v>
      </c>
      <c r="N2860">
        <v>81052603</v>
      </c>
      <c r="O2860">
        <v>110973692</v>
      </c>
      <c r="P2860">
        <v>150</v>
      </c>
      <c r="Q2860" t="s">
        <v>6047</v>
      </c>
    </row>
    <row r="2861" spans="1:17" x14ac:dyDescent="0.3">
      <c r="A2861" t="s">
        <v>73</v>
      </c>
      <c r="B2861" t="str">
        <f>"300532"</f>
        <v>300532</v>
      </c>
      <c r="C2861" t="s">
        <v>6048</v>
      </c>
      <c r="D2861" t="s">
        <v>302</v>
      </c>
      <c r="E2861">
        <v>258821599</v>
      </c>
      <c r="F2861">
        <v>195872432</v>
      </c>
      <c r="G2861">
        <v>104712384</v>
      </c>
      <c r="H2861">
        <v>624896904</v>
      </c>
      <c r="I2861">
        <v>527981968</v>
      </c>
      <c r="J2861">
        <v>371357605</v>
      </c>
      <c r="K2861">
        <v>314881951</v>
      </c>
      <c r="P2861">
        <v>220</v>
      </c>
      <c r="Q2861" t="s">
        <v>6049</v>
      </c>
    </row>
    <row r="2862" spans="1:17" x14ac:dyDescent="0.3">
      <c r="A2862" t="s">
        <v>17</v>
      </c>
      <c r="B2862" t="str">
        <f>"688317"</f>
        <v>688317</v>
      </c>
      <c r="C2862" t="s">
        <v>6050</v>
      </c>
      <c r="D2862" t="s">
        <v>773</v>
      </c>
      <c r="E2862">
        <v>258718576</v>
      </c>
      <c r="F2862">
        <v>277760060</v>
      </c>
      <c r="G2862">
        <v>168031387</v>
      </c>
      <c r="P2862">
        <v>120</v>
      </c>
      <c r="Q2862" t="s">
        <v>6051</v>
      </c>
    </row>
    <row r="2863" spans="1:17" x14ac:dyDescent="0.3">
      <c r="A2863" t="s">
        <v>73</v>
      </c>
      <c r="B2863" t="str">
        <f>"000417"</f>
        <v>000417</v>
      </c>
      <c r="C2863" t="s">
        <v>6052</v>
      </c>
      <c r="D2863" t="s">
        <v>638</v>
      </c>
      <c r="E2863">
        <v>258529020</v>
      </c>
      <c r="F2863">
        <v>161326087</v>
      </c>
      <c r="G2863">
        <v>180330679</v>
      </c>
      <c r="H2863">
        <v>136237789</v>
      </c>
      <c r="I2863">
        <v>116017372</v>
      </c>
      <c r="J2863">
        <v>102397664</v>
      </c>
      <c r="K2863">
        <v>96959120</v>
      </c>
      <c r="L2863">
        <v>83386872</v>
      </c>
      <c r="M2863">
        <v>47419512</v>
      </c>
      <c r="N2863">
        <v>39064060</v>
      </c>
      <c r="O2863">
        <v>30991274</v>
      </c>
      <c r="P2863">
        <v>145</v>
      </c>
      <c r="Q2863" t="s">
        <v>6053</v>
      </c>
    </row>
    <row r="2864" spans="1:17" x14ac:dyDescent="0.3">
      <c r="A2864" t="s">
        <v>73</v>
      </c>
      <c r="B2864" t="str">
        <f>"002912"</f>
        <v>002912</v>
      </c>
      <c r="C2864" t="s">
        <v>6054</v>
      </c>
      <c r="D2864" t="s">
        <v>158</v>
      </c>
      <c r="E2864">
        <v>258392326</v>
      </c>
      <c r="F2864">
        <v>314203303</v>
      </c>
      <c r="G2864">
        <v>277769930</v>
      </c>
      <c r="H2864">
        <v>370347837</v>
      </c>
      <c r="I2864">
        <v>166092649</v>
      </c>
      <c r="P2864">
        <v>586</v>
      </c>
      <c r="Q2864" t="s">
        <v>6055</v>
      </c>
    </row>
    <row r="2865" spans="1:17" x14ac:dyDescent="0.3">
      <c r="A2865" t="s">
        <v>73</v>
      </c>
      <c r="B2865" t="str">
        <f>"002345"</f>
        <v>002345</v>
      </c>
      <c r="C2865" t="s">
        <v>6056</v>
      </c>
      <c r="D2865" t="s">
        <v>1260</v>
      </c>
      <c r="E2865">
        <v>258260324</v>
      </c>
      <c r="F2865">
        <v>222674494</v>
      </c>
      <c r="G2865">
        <v>178053038</v>
      </c>
      <c r="H2865">
        <v>292268037</v>
      </c>
      <c r="I2865">
        <v>204548208</v>
      </c>
      <c r="J2865">
        <v>195576831</v>
      </c>
      <c r="K2865">
        <v>188125645</v>
      </c>
      <c r="L2865">
        <v>205811088</v>
      </c>
      <c r="M2865">
        <v>136740283</v>
      </c>
      <c r="N2865">
        <v>139138001</v>
      </c>
      <c r="O2865">
        <v>77545135</v>
      </c>
      <c r="P2865">
        <v>137</v>
      </c>
      <c r="Q2865" t="s">
        <v>6057</v>
      </c>
    </row>
    <row r="2866" spans="1:17" x14ac:dyDescent="0.3">
      <c r="A2866" t="s">
        <v>17</v>
      </c>
      <c r="B2866" t="str">
        <f>"688536"</f>
        <v>688536</v>
      </c>
      <c r="C2866" t="s">
        <v>6058</v>
      </c>
      <c r="D2866" t="s">
        <v>3360</v>
      </c>
      <c r="E2866">
        <v>258187251</v>
      </c>
      <c r="F2866">
        <v>117945311</v>
      </c>
      <c r="G2866">
        <v>0</v>
      </c>
      <c r="P2866">
        <v>199</v>
      </c>
      <c r="Q2866" t="s">
        <v>6059</v>
      </c>
    </row>
    <row r="2867" spans="1:17" x14ac:dyDescent="0.3">
      <c r="A2867" t="s">
        <v>17</v>
      </c>
      <c r="B2867" t="str">
        <f>"605077"</f>
        <v>605077</v>
      </c>
      <c r="C2867" t="s">
        <v>6060</v>
      </c>
      <c r="D2867" t="s">
        <v>1430</v>
      </c>
      <c r="E2867">
        <v>257317420</v>
      </c>
      <c r="F2867">
        <v>189667340</v>
      </c>
      <c r="P2867">
        <v>88</v>
      </c>
      <c r="Q2867" t="s">
        <v>6061</v>
      </c>
    </row>
    <row r="2868" spans="1:17" x14ac:dyDescent="0.3">
      <c r="A2868" t="s">
        <v>17</v>
      </c>
      <c r="B2868" t="str">
        <f>"688606"</f>
        <v>688606</v>
      </c>
      <c r="C2868" t="s">
        <v>6062</v>
      </c>
      <c r="D2868" t="s">
        <v>773</v>
      </c>
      <c r="E2868">
        <v>257100568</v>
      </c>
      <c r="F2868">
        <v>227180119</v>
      </c>
      <c r="P2868">
        <v>104</v>
      </c>
      <c r="Q2868" t="s">
        <v>6063</v>
      </c>
    </row>
    <row r="2869" spans="1:17" x14ac:dyDescent="0.3">
      <c r="A2869" t="s">
        <v>17</v>
      </c>
      <c r="B2869" t="str">
        <f>"600969"</f>
        <v>600969</v>
      </c>
      <c r="C2869" t="s">
        <v>6064</v>
      </c>
      <c r="D2869" t="s">
        <v>314</v>
      </c>
      <c r="E2869">
        <v>257048099</v>
      </c>
      <c r="F2869">
        <v>223250555</v>
      </c>
      <c r="G2869">
        <v>288235588</v>
      </c>
      <c r="H2869">
        <v>221227944</v>
      </c>
      <c r="I2869">
        <v>223473848</v>
      </c>
      <c r="J2869">
        <v>261022974</v>
      </c>
      <c r="K2869">
        <v>241544750</v>
      </c>
      <c r="L2869">
        <v>257790885</v>
      </c>
      <c r="M2869">
        <v>170128217</v>
      </c>
      <c r="N2869">
        <v>129563065</v>
      </c>
      <c r="O2869">
        <v>135428114</v>
      </c>
      <c r="P2869">
        <v>77</v>
      </c>
      <c r="Q2869" t="s">
        <v>6065</v>
      </c>
    </row>
    <row r="2870" spans="1:17" x14ac:dyDescent="0.3">
      <c r="A2870" t="s">
        <v>73</v>
      </c>
      <c r="B2870" t="str">
        <f>"002150"</f>
        <v>002150</v>
      </c>
      <c r="C2870" t="s">
        <v>6066</v>
      </c>
      <c r="D2870" t="s">
        <v>146</v>
      </c>
      <c r="E2870">
        <v>257043267</v>
      </c>
      <c r="F2870">
        <v>205779060</v>
      </c>
      <c r="G2870">
        <v>170228645</v>
      </c>
      <c r="H2870">
        <v>237184737</v>
      </c>
      <c r="I2870">
        <v>200442050</v>
      </c>
      <c r="J2870">
        <v>179948610</v>
      </c>
      <c r="K2870">
        <v>168402939</v>
      </c>
      <c r="L2870">
        <v>206313886</v>
      </c>
      <c r="M2870">
        <v>186635039</v>
      </c>
      <c r="N2870">
        <v>156290667</v>
      </c>
      <c r="O2870">
        <v>145228846</v>
      </c>
      <c r="P2870">
        <v>103</v>
      </c>
      <c r="Q2870" t="s">
        <v>6067</v>
      </c>
    </row>
    <row r="2871" spans="1:17" x14ac:dyDescent="0.3">
      <c r="A2871" t="s">
        <v>17</v>
      </c>
      <c r="B2871" t="str">
        <f>"603195"</f>
        <v>603195</v>
      </c>
      <c r="C2871" t="s">
        <v>6068</v>
      </c>
      <c r="D2871" t="s">
        <v>3902</v>
      </c>
      <c r="E2871">
        <v>256774549</v>
      </c>
      <c r="F2871">
        <v>189103547</v>
      </c>
      <c r="G2871">
        <v>183078024</v>
      </c>
      <c r="P2871">
        <v>1473</v>
      </c>
      <c r="Q2871" t="s">
        <v>6069</v>
      </c>
    </row>
    <row r="2872" spans="1:17" x14ac:dyDescent="0.3">
      <c r="A2872" t="s">
        <v>17</v>
      </c>
      <c r="B2872" t="str">
        <f>"603998"</f>
        <v>603998</v>
      </c>
      <c r="C2872" t="s">
        <v>6070</v>
      </c>
      <c r="D2872" t="s">
        <v>215</v>
      </c>
      <c r="E2872">
        <v>255992435</v>
      </c>
      <c r="F2872">
        <v>210755397</v>
      </c>
      <c r="G2872">
        <v>170150915</v>
      </c>
      <c r="H2872">
        <v>125944393</v>
      </c>
      <c r="I2872">
        <v>94589372</v>
      </c>
      <c r="J2872">
        <v>38142432</v>
      </c>
      <c r="K2872">
        <v>22616485</v>
      </c>
      <c r="L2872">
        <v>13215436</v>
      </c>
      <c r="M2872">
        <v>0</v>
      </c>
      <c r="P2872">
        <v>126</v>
      </c>
      <c r="Q2872" t="s">
        <v>6071</v>
      </c>
    </row>
    <row r="2873" spans="1:17" x14ac:dyDescent="0.3">
      <c r="A2873" t="s">
        <v>73</v>
      </c>
      <c r="B2873" t="str">
        <f>"000761"</f>
        <v>000761</v>
      </c>
      <c r="C2873" t="s">
        <v>6072</v>
      </c>
      <c r="D2873" t="s">
        <v>221</v>
      </c>
      <c r="E2873">
        <v>255878793</v>
      </c>
      <c r="F2873">
        <v>230497087</v>
      </c>
      <c r="G2873">
        <v>232614259</v>
      </c>
      <c r="H2873">
        <v>598540589</v>
      </c>
      <c r="I2873">
        <v>759164807</v>
      </c>
      <c r="J2873">
        <v>641281180</v>
      </c>
      <c r="K2873">
        <v>423836339</v>
      </c>
      <c r="L2873">
        <v>420776890</v>
      </c>
      <c r="M2873">
        <v>394319846</v>
      </c>
      <c r="N2873">
        <v>273790296</v>
      </c>
      <c r="O2873">
        <v>479420076</v>
      </c>
      <c r="P2873">
        <v>237</v>
      </c>
      <c r="Q2873" t="s">
        <v>6073</v>
      </c>
    </row>
    <row r="2874" spans="1:17" x14ac:dyDescent="0.3">
      <c r="A2874" t="s">
        <v>73</v>
      </c>
      <c r="B2874" t="str">
        <f>"300648"</f>
        <v>300648</v>
      </c>
      <c r="C2874" t="s">
        <v>6074</v>
      </c>
      <c r="D2874" t="s">
        <v>672</v>
      </c>
      <c r="E2874">
        <v>255681635</v>
      </c>
      <c r="F2874">
        <v>266643006</v>
      </c>
      <c r="G2874">
        <v>224021372</v>
      </c>
      <c r="H2874">
        <v>163883988</v>
      </c>
      <c r="I2874">
        <v>145358774</v>
      </c>
      <c r="J2874">
        <v>83167728</v>
      </c>
      <c r="K2874">
        <v>0</v>
      </c>
      <c r="P2874">
        <v>266</v>
      </c>
      <c r="Q2874" t="s">
        <v>6075</v>
      </c>
    </row>
    <row r="2875" spans="1:17" x14ac:dyDescent="0.3">
      <c r="A2875" t="s">
        <v>73</v>
      </c>
      <c r="B2875" t="str">
        <f>"001207"</f>
        <v>001207</v>
      </c>
      <c r="C2875" t="s">
        <v>6076</v>
      </c>
      <c r="D2875" t="s">
        <v>1698</v>
      </c>
      <c r="E2875">
        <v>255429623</v>
      </c>
      <c r="F2875">
        <v>242351237</v>
      </c>
      <c r="P2875">
        <v>25</v>
      </c>
      <c r="Q2875" t="s">
        <v>6077</v>
      </c>
    </row>
    <row r="2876" spans="1:17" x14ac:dyDescent="0.3">
      <c r="A2876" t="s">
        <v>73</v>
      </c>
      <c r="B2876" t="str">
        <f>"002655"</f>
        <v>002655</v>
      </c>
      <c r="C2876" t="s">
        <v>6078</v>
      </c>
      <c r="D2876" t="s">
        <v>42</v>
      </c>
      <c r="E2876">
        <v>255349884</v>
      </c>
      <c r="F2876">
        <v>273066879</v>
      </c>
      <c r="G2876">
        <v>301195138</v>
      </c>
      <c r="H2876">
        <v>251551359</v>
      </c>
      <c r="I2876">
        <v>188439945</v>
      </c>
      <c r="J2876">
        <v>171918883</v>
      </c>
      <c r="K2876">
        <v>162210435</v>
      </c>
      <c r="L2876">
        <v>129010324</v>
      </c>
      <c r="M2876">
        <v>148534273</v>
      </c>
      <c r="N2876">
        <v>182979558</v>
      </c>
      <c r="O2876">
        <v>132172895</v>
      </c>
      <c r="P2876">
        <v>230</v>
      </c>
      <c r="Q2876" t="s">
        <v>6079</v>
      </c>
    </row>
    <row r="2877" spans="1:17" x14ac:dyDescent="0.3">
      <c r="A2877" t="s">
        <v>73</v>
      </c>
      <c r="B2877" t="str">
        <f>"000042"</f>
        <v>000042</v>
      </c>
      <c r="C2877" t="s">
        <v>6080</v>
      </c>
      <c r="D2877" t="s">
        <v>27</v>
      </c>
      <c r="E2877">
        <v>254891385</v>
      </c>
      <c r="F2877">
        <v>153411327</v>
      </c>
      <c r="G2877">
        <v>140969712</v>
      </c>
      <c r="H2877">
        <v>124070604</v>
      </c>
      <c r="I2877">
        <v>110334505</v>
      </c>
      <c r="J2877">
        <v>77687262</v>
      </c>
      <c r="K2877">
        <v>103736537</v>
      </c>
      <c r="L2877">
        <v>13044322</v>
      </c>
      <c r="M2877">
        <v>10097181</v>
      </c>
      <c r="N2877">
        <v>10839372</v>
      </c>
      <c r="O2877">
        <v>12507570</v>
      </c>
      <c r="P2877">
        <v>121</v>
      </c>
      <c r="Q2877" t="s">
        <v>6081</v>
      </c>
    </row>
    <row r="2878" spans="1:17" x14ac:dyDescent="0.3">
      <c r="A2878" t="s">
        <v>73</v>
      </c>
      <c r="B2878" t="str">
        <f>"002530"</f>
        <v>002530</v>
      </c>
      <c r="C2878" t="s">
        <v>6082</v>
      </c>
      <c r="D2878" t="s">
        <v>302</v>
      </c>
      <c r="E2878">
        <v>254562959</v>
      </c>
      <c r="F2878">
        <v>443658664</v>
      </c>
      <c r="G2878">
        <v>652436449</v>
      </c>
      <c r="H2878">
        <v>590400321</v>
      </c>
      <c r="I2878">
        <v>410543754</v>
      </c>
      <c r="J2878">
        <v>258450569</v>
      </c>
      <c r="K2878">
        <v>141504822</v>
      </c>
      <c r="L2878">
        <v>137948661</v>
      </c>
      <c r="M2878">
        <v>132345952</v>
      </c>
      <c r="N2878">
        <v>94936399</v>
      </c>
      <c r="O2878">
        <v>84471400</v>
      </c>
      <c r="P2878">
        <v>135</v>
      </c>
      <c r="Q2878" t="s">
        <v>6083</v>
      </c>
    </row>
    <row r="2879" spans="1:17" x14ac:dyDescent="0.3">
      <c r="A2879" t="s">
        <v>73</v>
      </c>
      <c r="B2879" t="str">
        <f>"002983"</f>
        <v>002983</v>
      </c>
      <c r="C2879" t="s">
        <v>6084</v>
      </c>
      <c r="D2879" t="s">
        <v>737</v>
      </c>
      <c r="E2879">
        <v>254545506</v>
      </c>
      <c r="F2879">
        <v>203162323</v>
      </c>
      <c r="G2879">
        <v>152881579</v>
      </c>
      <c r="P2879">
        <v>109</v>
      </c>
      <c r="Q2879" t="s">
        <v>6085</v>
      </c>
    </row>
    <row r="2880" spans="1:17" x14ac:dyDescent="0.3">
      <c r="A2880" t="s">
        <v>17</v>
      </c>
      <c r="B2880" t="str">
        <f>"600232"</f>
        <v>600232</v>
      </c>
      <c r="C2880" t="s">
        <v>6086</v>
      </c>
      <c r="D2880" t="s">
        <v>792</v>
      </c>
      <c r="E2880">
        <v>254393566</v>
      </c>
      <c r="F2880">
        <v>306071079</v>
      </c>
      <c r="G2880">
        <v>305178816</v>
      </c>
      <c r="H2880">
        <v>255152973</v>
      </c>
      <c r="I2880">
        <v>262582277</v>
      </c>
      <c r="J2880">
        <v>212941902</v>
      </c>
      <c r="K2880">
        <v>191990236</v>
      </c>
      <c r="L2880">
        <v>171850493</v>
      </c>
      <c r="M2880">
        <v>179348613</v>
      </c>
      <c r="N2880">
        <v>180878410</v>
      </c>
      <c r="O2880">
        <v>172116269</v>
      </c>
      <c r="P2880">
        <v>89</v>
      </c>
      <c r="Q2880" t="s">
        <v>6087</v>
      </c>
    </row>
    <row r="2881" spans="1:17" x14ac:dyDescent="0.3">
      <c r="A2881" t="s">
        <v>17</v>
      </c>
      <c r="B2881" t="str">
        <f>"605198"</f>
        <v>605198</v>
      </c>
      <c r="C2881" t="s">
        <v>6088</v>
      </c>
      <c r="D2881" t="s">
        <v>5070</v>
      </c>
      <c r="E2881">
        <v>254059801</v>
      </c>
      <c r="F2881">
        <v>139616338</v>
      </c>
      <c r="P2881">
        <v>47</v>
      </c>
      <c r="Q2881" t="s">
        <v>6089</v>
      </c>
    </row>
    <row r="2882" spans="1:17" x14ac:dyDescent="0.3">
      <c r="A2882" t="s">
        <v>17</v>
      </c>
      <c r="B2882" t="str">
        <f>"688081"</f>
        <v>688081</v>
      </c>
      <c r="C2882" t="s">
        <v>6090</v>
      </c>
      <c r="D2882" t="s">
        <v>502</v>
      </c>
      <c r="E2882">
        <v>253950058</v>
      </c>
      <c r="F2882">
        <v>235233630</v>
      </c>
      <c r="G2882">
        <v>169853763</v>
      </c>
      <c r="P2882">
        <v>55</v>
      </c>
      <c r="Q2882" t="s">
        <v>6091</v>
      </c>
    </row>
    <row r="2883" spans="1:17" x14ac:dyDescent="0.3">
      <c r="A2883" t="s">
        <v>17</v>
      </c>
      <c r="B2883" t="str">
        <f>"603739"</f>
        <v>603739</v>
      </c>
      <c r="C2883" t="s">
        <v>6092</v>
      </c>
      <c r="D2883" t="s">
        <v>2849</v>
      </c>
      <c r="E2883">
        <v>253850399</v>
      </c>
      <c r="F2883">
        <v>202427019</v>
      </c>
      <c r="G2883">
        <v>183993087</v>
      </c>
      <c r="H2883">
        <v>155662390</v>
      </c>
      <c r="P2883">
        <v>123</v>
      </c>
      <c r="Q2883" t="s">
        <v>6093</v>
      </c>
    </row>
    <row r="2884" spans="1:17" x14ac:dyDescent="0.3">
      <c r="A2884" t="s">
        <v>73</v>
      </c>
      <c r="B2884" t="str">
        <f>"002423"</f>
        <v>002423</v>
      </c>
      <c r="C2884" t="s">
        <v>6094</v>
      </c>
      <c r="D2884" t="s">
        <v>3243</v>
      </c>
      <c r="E2884">
        <v>253822188</v>
      </c>
      <c r="F2884">
        <v>100729534</v>
      </c>
      <c r="G2884">
        <v>88902529</v>
      </c>
      <c r="H2884">
        <v>69261060</v>
      </c>
      <c r="I2884">
        <v>289619826</v>
      </c>
      <c r="J2884">
        <v>423530541</v>
      </c>
      <c r="K2884">
        <v>483102211</v>
      </c>
      <c r="L2884">
        <v>458814727</v>
      </c>
      <c r="M2884">
        <v>342299585</v>
      </c>
      <c r="N2884">
        <v>284291561</v>
      </c>
      <c r="O2884">
        <v>343050569</v>
      </c>
      <c r="P2884">
        <v>145</v>
      </c>
      <c r="Q2884" t="s">
        <v>6095</v>
      </c>
    </row>
    <row r="2885" spans="1:17" x14ac:dyDescent="0.3">
      <c r="A2885" t="s">
        <v>17</v>
      </c>
      <c r="B2885" t="str">
        <f>"603662"</f>
        <v>603662</v>
      </c>
      <c r="C2885" t="s">
        <v>6096</v>
      </c>
      <c r="D2885" t="s">
        <v>2280</v>
      </c>
      <c r="E2885">
        <v>253499966</v>
      </c>
      <c r="F2885">
        <v>174757182</v>
      </c>
      <c r="G2885">
        <v>135880396</v>
      </c>
      <c r="H2885">
        <v>0</v>
      </c>
      <c r="P2885">
        <v>125</v>
      </c>
      <c r="Q2885" t="s">
        <v>6097</v>
      </c>
    </row>
    <row r="2886" spans="1:17" x14ac:dyDescent="0.3">
      <c r="A2886" t="s">
        <v>73</v>
      </c>
      <c r="B2886" t="str">
        <f>"300199"</f>
        <v>300199</v>
      </c>
      <c r="C2886" t="s">
        <v>6098</v>
      </c>
      <c r="D2886" t="s">
        <v>348</v>
      </c>
      <c r="E2886">
        <v>253467596</v>
      </c>
      <c r="F2886">
        <v>320873379</v>
      </c>
      <c r="G2886">
        <v>838960700</v>
      </c>
      <c r="H2886">
        <v>1216434788</v>
      </c>
      <c r="I2886">
        <v>1085463360</v>
      </c>
      <c r="J2886">
        <v>802689099</v>
      </c>
      <c r="K2886">
        <v>693913433</v>
      </c>
      <c r="L2886">
        <v>242263412</v>
      </c>
      <c r="M2886">
        <v>167986143</v>
      </c>
      <c r="N2886">
        <v>120200324</v>
      </c>
      <c r="O2886">
        <v>72568475</v>
      </c>
      <c r="P2886">
        <v>242</v>
      </c>
      <c r="Q2886" t="s">
        <v>6099</v>
      </c>
    </row>
    <row r="2887" spans="1:17" x14ac:dyDescent="0.3">
      <c r="A2887" t="s">
        <v>73</v>
      </c>
      <c r="B2887" t="str">
        <f>"300710"</f>
        <v>300710</v>
      </c>
      <c r="C2887" t="s">
        <v>6100</v>
      </c>
      <c r="D2887" t="s">
        <v>189</v>
      </c>
      <c r="E2887">
        <v>253420382</v>
      </c>
      <c r="F2887">
        <v>260543473</v>
      </c>
      <c r="G2887">
        <v>326243258</v>
      </c>
      <c r="H2887">
        <v>276814499</v>
      </c>
      <c r="I2887">
        <v>259982338</v>
      </c>
      <c r="J2887">
        <v>0</v>
      </c>
      <c r="P2887">
        <v>107</v>
      </c>
      <c r="Q2887" t="s">
        <v>6101</v>
      </c>
    </row>
    <row r="2888" spans="1:17" x14ac:dyDescent="0.3">
      <c r="A2888" t="s">
        <v>17</v>
      </c>
      <c r="B2888" t="str">
        <f>"600759"</f>
        <v>600759</v>
      </c>
      <c r="C2888" t="s">
        <v>6102</v>
      </c>
      <c r="D2888" t="s">
        <v>1930</v>
      </c>
      <c r="E2888">
        <v>253265266</v>
      </c>
      <c r="F2888">
        <v>244186638</v>
      </c>
      <c r="G2888">
        <v>139930105</v>
      </c>
      <c r="H2888">
        <v>245480648</v>
      </c>
      <c r="I2888">
        <v>265008093</v>
      </c>
      <c r="J2888">
        <v>283421775</v>
      </c>
      <c r="K2888">
        <v>109238069</v>
      </c>
      <c r="L2888">
        <v>125991048</v>
      </c>
      <c r="M2888">
        <v>56032625</v>
      </c>
      <c r="N2888">
        <v>161381855</v>
      </c>
      <c r="O2888">
        <v>59158594</v>
      </c>
      <c r="P2888">
        <v>125</v>
      </c>
      <c r="Q2888" t="s">
        <v>6103</v>
      </c>
    </row>
    <row r="2889" spans="1:17" x14ac:dyDescent="0.3">
      <c r="A2889" t="s">
        <v>73</v>
      </c>
      <c r="B2889" t="str">
        <f>"000815"</f>
        <v>000815</v>
      </c>
      <c r="C2889" t="s">
        <v>6104</v>
      </c>
      <c r="D2889" t="s">
        <v>644</v>
      </c>
      <c r="E2889">
        <v>253237576</v>
      </c>
      <c r="F2889">
        <v>251032086</v>
      </c>
      <c r="G2889">
        <v>127923298</v>
      </c>
      <c r="H2889">
        <v>90240737</v>
      </c>
      <c r="I2889">
        <v>77428903</v>
      </c>
      <c r="J2889">
        <v>51163900</v>
      </c>
      <c r="K2889">
        <v>63526180</v>
      </c>
      <c r="L2889">
        <v>93757012</v>
      </c>
      <c r="M2889">
        <v>134738140</v>
      </c>
      <c r="N2889">
        <v>165926625</v>
      </c>
      <c r="O2889">
        <v>375189022</v>
      </c>
      <c r="P2889">
        <v>125</v>
      </c>
      <c r="Q2889" t="s">
        <v>6105</v>
      </c>
    </row>
    <row r="2890" spans="1:17" x14ac:dyDescent="0.3">
      <c r="A2890" t="s">
        <v>17</v>
      </c>
      <c r="B2890" t="str">
        <f>"603366"</f>
        <v>603366</v>
      </c>
      <c r="C2890" t="s">
        <v>6106</v>
      </c>
      <c r="D2890" t="s">
        <v>2222</v>
      </c>
      <c r="E2890">
        <v>252395651</v>
      </c>
      <c r="F2890">
        <v>224584682</v>
      </c>
      <c r="G2890">
        <v>251525558</v>
      </c>
      <c r="H2890">
        <v>155456695</v>
      </c>
      <c r="I2890">
        <v>95888412</v>
      </c>
      <c r="J2890">
        <v>35756111</v>
      </c>
      <c r="K2890">
        <v>30514481</v>
      </c>
      <c r="L2890">
        <v>50094960</v>
      </c>
      <c r="M2890">
        <v>38839586</v>
      </c>
      <c r="N2890">
        <v>40665626</v>
      </c>
      <c r="O2890">
        <v>0</v>
      </c>
      <c r="P2890">
        <v>121</v>
      </c>
      <c r="Q2890" t="s">
        <v>6107</v>
      </c>
    </row>
    <row r="2891" spans="1:17" x14ac:dyDescent="0.3">
      <c r="A2891" t="s">
        <v>17</v>
      </c>
      <c r="B2891" t="str">
        <f>"603015"</f>
        <v>603015</v>
      </c>
      <c r="C2891" t="s">
        <v>6108</v>
      </c>
      <c r="D2891" t="s">
        <v>626</v>
      </c>
      <c r="E2891">
        <v>252209609</v>
      </c>
      <c r="F2891">
        <v>278678147</v>
      </c>
      <c r="G2891">
        <v>207579849</v>
      </c>
      <c r="H2891">
        <v>190230902</v>
      </c>
      <c r="I2891">
        <v>253959454</v>
      </c>
      <c r="J2891">
        <v>230356431</v>
      </c>
      <c r="K2891">
        <v>155351704</v>
      </c>
      <c r="L2891">
        <v>140176017</v>
      </c>
      <c r="M2891">
        <v>0</v>
      </c>
      <c r="P2891">
        <v>91</v>
      </c>
      <c r="Q2891" t="s">
        <v>6109</v>
      </c>
    </row>
    <row r="2892" spans="1:17" x14ac:dyDescent="0.3">
      <c r="A2892" t="s">
        <v>17</v>
      </c>
      <c r="B2892" t="str">
        <f>"600995"</f>
        <v>600995</v>
      </c>
      <c r="C2892" t="s">
        <v>6110</v>
      </c>
      <c r="D2892" t="s">
        <v>314</v>
      </c>
      <c r="E2892">
        <v>252114025</v>
      </c>
      <c r="F2892">
        <v>208820072</v>
      </c>
      <c r="G2892">
        <v>207783520</v>
      </c>
      <c r="H2892">
        <v>61273340</v>
      </c>
      <c r="I2892">
        <v>32998186</v>
      </c>
      <c r="J2892">
        <v>1898879</v>
      </c>
      <c r="K2892">
        <v>64573889</v>
      </c>
      <c r="L2892">
        <v>78552799</v>
      </c>
      <c r="M2892">
        <v>63335034</v>
      </c>
      <c r="N2892">
        <v>173724947</v>
      </c>
      <c r="O2892">
        <v>117443756</v>
      </c>
      <c r="P2892">
        <v>267</v>
      </c>
      <c r="Q2892" t="s">
        <v>6111</v>
      </c>
    </row>
    <row r="2893" spans="1:17" x14ac:dyDescent="0.3">
      <c r="A2893" t="s">
        <v>17</v>
      </c>
      <c r="B2893" t="str">
        <f>"605178"</f>
        <v>605178</v>
      </c>
      <c r="C2893" t="s">
        <v>6112</v>
      </c>
      <c r="D2893" t="s">
        <v>258</v>
      </c>
      <c r="E2893">
        <v>251915520</v>
      </c>
      <c r="F2893">
        <v>250056173</v>
      </c>
      <c r="H2893">
        <v>0</v>
      </c>
      <c r="P2893">
        <v>49</v>
      </c>
      <c r="Q2893" t="s">
        <v>6113</v>
      </c>
    </row>
    <row r="2894" spans="1:17" x14ac:dyDescent="0.3">
      <c r="A2894" t="s">
        <v>17</v>
      </c>
      <c r="B2894" t="str">
        <f>"601882"</f>
        <v>601882</v>
      </c>
      <c r="C2894" t="s">
        <v>6114</v>
      </c>
      <c r="D2894" t="s">
        <v>2332</v>
      </c>
      <c r="E2894">
        <v>251764644</v>
      </c>
      <c r="F2894">
        <v>180229329</v>
      </c>
      <c r="G2894">
        <v>142498910</v>
      </c>
      <c r="H2894">
        <v>56547651</v>
      </c>
      <c r="I2894">
        <v>85346464</v>
      </c>
      <c r="J2894">
        <v>131493735</v>
      </c>
      <c r="P2894">
        <v>188</v>
      </c>
      <c r="Q2894" t="s">
        <v>6115</v>
      </c>
    </row>
    <row r="2895" spans="1:17" x14ac:dyDescent="0.3">
      <c r="A2895" t="s">
        <v>73</v>
      </c>
      <c r="B2895" t="str">
        <f>"300087"</f>
        <v>300087</v>
      </c>
      <c r="C2895" t="s">
        <v>6116</v>
      </c>
      <c r="D2895" t="s">
        <v>3172</v>
      </c>
      <c r="E2895">
        <v>251571512</v>
      </c>
      <c r="F2895">
        <v>243477331</v>
      </c>
      <c r="G2895">
        <v>136981961</v>
      </c>
      <c r="H2895">
        <v>54976181</v>
      </c>
      <c r="I2895">
        <v>84758159</v>
      </c>
      <c r="J2895">
        <v>73132450</v>
      </c>
      <c r="K2895">
        <v>41959502</v>
      </c>
      <c r="L2895">
        <v>36891874</v>
      </c>
      <c r="M2895">
        <v>31573161</v>
      </c>
      <c r="N2895">
        <v>38132569</v>
      </c>
      <c r="O2895">
        <v>40305258</v>
      </c>
      <c r="P2895">
        <v>231</v>
      </c>
      <c r="Q2895" t="s">
        <v>6117</v>
      </c>
    </row>
    <row r="2896" spans="1:17" x14ac:dyDescent="0.3">
      <c r="A2896" t="s">
        <v>73</v>
      </c>
      <c r="B2896" t="str">
        <f>"300931"</f>
        <v>300931</v>
      </c>
      <c r="C2896" t="s">
        <v>6118</v>
      </c>
      <c r="D2896" t="s">
        <v>744</v>
      </c>
      <c r="E2896">
        <v>251277898</v>
      </c>
      <c r="F2896">
        <v>221284462</v>
      </c>
      <c r="G2896">
        <v>219283253</v>
      </c>
      <c r="P2896">
        <v>31</v>
      </c>
      <c r="Q2896" t="s">
        <v>6119</v>
      </c>
    </row>
    <row r="2897" spans="1:17" x14ac:dyDescent="0.3">
      <c r="A2897" t="s">
        <v>73</v>
      </c>
      <c r="B2897" t="str">
        <f>"301009"</f>
        <v>301009</v>
      </c>
      <c r="C2897" t="s">
        <v>6120</v>
      </c>
      <c r="D2897" t="s">
        <v>2759</v>
      </c>
      <c r="E2897">
        <v>250953564</v>
      </c>
      <c r="F2897">
        <v>252957814</v>
      </c>
      <c r="P2897">
        <v>59</v>
      </c>
      <c r="Q2897" t="s">
        <v>6121</v>
      </c>
    </row>
    <row r="2898" spans="1:17" x14ac:dyDescent="0.3">
      <c r="A2898" t="s">
        <v>17</v>
      </c>
      <c r="B2898" t="str">
        <f>"688246"</f>
        <v>688246</v>
      </c>
      <c r="C2898" t="s">
        <v>6122</v>
      </c>
      <c r="D2898" t="s">
        <v>795</v>
      </c>
      <c r="E2898">
        <v>250937633</v>
      </c>
      <c r="G2898">
        <v>147365381</v>
      </c>
      <c r="P2898">
        <v>12</v>
      </c>
      <c r="Q2898" t="s">
        <v>6123</v>
      </c>
    </row>
    <row r="2899" spans="1:17" x14ac:dyDescent="0.3">
      <c r="A2899" t="s">
        <v>17</v>
      </c>
      <c r="B2899" t="str">
        <f>"600836"</f>
        <v>600836</v>
      </c>
      <c r="C2899" t="s">
        <v>6124</v>
      </c>
      <c r="D2899" t="s">
        <v>4179</v>
      </c>
      <c r="E2899">
        <v>250924824</v>
      </c>
      <c r="F2899">
        <v>219591340</v>
      </c>
      <c r="G2899">
        <v>350846954</v>
      </c>
      <c r="H2899">
        <v>223382984</v>
      </c>
      <c r="I2899">
        <v>212573264</v>
      </c>
      <c r="J2899">
        <v>225125986</v>
      </c>
      <c r="K2899">
        <v>252517190</v>
      </c>
      <c r="L2899">
        <v>215637990</v>
      </c>
      <c r="M2899">
        <v>231247794</v>
      </c>
      <c r="N2899">
        <v>229510577</v>
      </c>
      <c r="O2899">
        <v>224898963</v>
      </c>
      <c r="P2899">
        <v>70</v>
      </c>
      <c r="Q2899" t="s">
        <v>6125</v>
      </c>
    </row>
    <row r="2900" spans="1:17" x14ac:dyDescent="0.3">
      <c r="A2900" t="s">
        <v>73</v>
      </c>
      <c r="B2900" t="str">
        <f>"300718"</f>
        <v>300718</v>
      </c>
      <c r="C2900" t="s">
        <v>6126</v>
      </c>
      <c r="D2900" t="s">
        <v>2394</v>
      </c>
      <c r="E2900">
        <v>250790394</v>
      </c>
      <c r="F2900">
        <v>194117243</v>
      </c>
      <c r="G2900">
        <v>121018323</v>
      </c>
      <c r="H2900">
        <v>135211430</v>
      </c>
      <c r="I2900">
        <v>127168131</v>
      </c>
      <c r="J2900">
        <v>0</v>
      </c>
      <c r="P2900">
        <v>100</v>
      </c>
      <c r="Q2900" t="s">
        <v>6127</v>
      </c>
    </row>
    <row r="2901" spans="1:17" x14ac:dyDescent="0.3">
      <c r="A2901" t="s">
        <v>73</v>
      </c>
      <c r="B2901" t="str">
        <f>"300162"</f>
        <v>300162</v>
      </c>
      <c r="C2901" t="s">
        <v>6128</v>
      </c>
      <c r="D2901" t="s">
        <v>737</v>
      </c>
      <c r="E2901">
        <v>250233401</v>
      </c>
      <c r="F2901">
        <v>186732770</v>
      </c>
      <c r="G2901">
        <v>295805258</v>
      </c>
      <c r="H2901">
        <v>226577969</v>
      </c>
      <c r="I2901">
        <v>230229492</v>
      </c>
      <c r="J2901">
        <v>193588371</v>
      </c>
      <c r="K2901">
        <v>173048035</v>
      </c>
      <c r="L2901">
        <v>138894153</v>
      </c>
      <c r="M2901">
        <v>129628616</v>
      </c>
      <c r="N2901">
        <v>107134257</v>
      </c>
      <c r="O2901">
        <v>46149526</v>
      </c>
      <c r="P2901">
        <v>76</v>
      </c>
      <c r="Q2901" t="s">
        <v>6129</v>
      </c>
    </row>
    <row r="2902" spans="1:17" x14ac:dyDescent="0.3">
      <c r="A2902" t="s">
        <v>73</v>
      </c>
      <c r="B2902" t="str">
        <f>"002691"</f>
        <v>002691</v>
      </c>
      <c r="C2902" t="s">
        <v>6130</v>
      </c>
      <c r="D2902" t="s">
        <v>311</v>
      </c>
      <c r="E2902">
        <v>250072249</v>
      </c>
      <c r="F2902">
        <v>213344232</v>
      </c>
      <c r="G2902">
        <v>305367695</v>
      </c>
      <c r="H2902">
        <v>301690608</v>
      </c>
      <c r="I2902">
        <v>304035651</v>
      </c>
      <c r="J2902">
        <v>234533142</v>
      </c>
      <c r="K2902">
        <v>289508608</v>
      </c>
      <c r="L2902">
        <v>209500167</v>
      </c>
      <c r="M2902">
        <v>194230608</v>
      </c>
      <c r="N2902">
        <v>188241023</v>
      </c>
      <c r="O2902">
        <v>126099356</v>
      </c>
      <c r="P2902">
        <v>54</v>
      </c>
      <c r="Q2902" t="s">
        <v>6131</v>
      </c>
    </row>
    <row r="2903" spans="1:17" x14ac:dyDescent="0.3">
      <c r="A2903" t="s">
        <v>17</v>
      </c>
      <c r="B2903" t="str">
        <f>"600387"</f>
        <v>600387</v>
      </c>
      <c r="C2903" t="s">
        <v>6132</v>
      </c>
      <c r="D2903" t="s">
        <v>1267</v>
      </c>
      <c r="E2903">
        <v>250042576</v>
      </c>
      <c r="F2903">
        <v>157284019</v>
      </c>
      <c r="G2903">
        <v>147300481</v>
      </c>
      <c r="H2903">
        <v>558719625</v>
      </c>
      <c r="I2903">
        <v>399346263</v>
      </c>
      <c r="J2903">
        <v>18916656</v>
      </c>
      <c r="K2903">
        <v>7923677</v>
      </c>
      <c r="L2903">
        <v>44108133</v>
      </c>
      <c r="M2903">
        <v>19414955</v>
      </c>
      <c r="N2903">
        <v>17243702</v>
      </c>
      <c r="O2903">
        <v>8432340</v>
      </c>
      <c r="P2903">
        <v>116</v>
      </c>
      <c r="Q2903" t="s">
        <v>6133</v>
      </c>
    </row>
    <row r="2904" spans="1:17" x14ac:dyDescent="0.3">
      <c r="A2904" t="s">
        <v>73</v>
      </c>
      <c r="B2904" t="str">
        <f>"300901"</f>
        <v>300901</v>
      </c>
      <c r="C2904" t="s">
        <v>6134</v>
      </c>
      <c r="D2904" t="s">
        <v>991</v>
      </c>
      <c r="E2904">
        <v>250032302</v>
      </c>
      <c r="F2904">
        <v>114778682</v>
      </c>
      <c r="G2904">
        <v>0</v>
      </c>
      <c r="P2904">
        <v>45</v>
      </c>
      <c r="Q2904" t="s">
        <v>6135</v>
      </c>
    </row>
    <row r="2905" spans="1:17" x14ac:dyDescent="0.3">
      <c r="A2905" t="s">
        <v>73</v>
      </c>
      <c r="B2905" t="str">
        <f>"002591"</f>
        <v>002591</v>
      </c>
      <c r="C2905" t="s">
        <v>6136</v>
      </c>
      <c r="D2905" t="s">
        <v>425</v>
      </c>
      <c r="E2905">
        <v>249986123</v>
      </c>
      <c r="F2905">
        <v>173113344</v>
      </c>
      <c r="G2905">
        <v>310186343</v>
      </c>
      <c r="H2905">
        <v>280262445</v>
      </c>
      <c r="I2905">
        <v>183007986</v>
      </c>
      <c r="J2905">
        <v>158924550</v>
      </c>
      <c r="K2905">
        <v>198299812</v>
      </c>
      <c r="L2905">
        <v>287318829</v>
      </c>
      <c r="M2905">
        <v>272328595</v>
      </c>
      <c r="N2905">
        <v>208064078</v>
      </c>
      <c r="O2905">
        <v>187430453</v>
      </c>
      <c r="P2905">
        <v>113</v>
      </c>
      <c r="Q2905" t="s">
        <v>6137</v>
      </c>
    </row>
    <row r="2906" spans="1:17" x14ac:dyDescent="0.3">
      <c r="A2906" t="s">
        <v>73</v>
      </c>
      <c r="B2906" t="str">
        <f>"300871"</f>
        <v>300871</v>
      </c>
      <c r="C2906" t="s">
        <v>6138</v>
      </c>
      <c r="D2906" t="s">
        <v>2849</v>
      </c>
      <c r="E2906">
        <v>249964033</v>
      </c>
      <c r="F2906">
        <v>249114595</v>
      </c>
      <c r="P2906">
        <v>83</v>
      </c>
      <c r="Q2906" t="s">
        <v>6139</v>
      </c>
    </row>
    <row r="2907" spans="1:17" x14ac:dyDescent="0.3">
      <c r="A2907" t="s">
        <v>17</v>
      </c>
      <c r="B2907" t="str">
        <f>"600313"</f>
        <v>600313</v>
      </c>
      <c r="C2907" t="s">
        <v>6140</v>
      </c>
      <c r="D2907" t="s">
        <v>3172</v>
      </c>
      <c r="E2907">
        <v>249927150</v>
      </c>
      <c r="F2907">
        <v>227054081</v>
      </c>
      <c r="G2907">
        <v>218388629</v>
      </c>
      <c r="H2907">
        <v>154984931</v>
      </c>
      <c r="I2907">
        <v>153409907</v>
      </c>
      <c r="J2907">
        <v>535488475</v>
      </c>
      <c r="K2907">
        <v>428677492</v>
      </c>
      <c r="L2907">
        <v>228887514</v>
      </c>
      <c r="M2907">
        <v>178212667</v>
      </c>
      <c r="N2907">
        <v>95486759</v>
      </c>
      <c r="O2907">
        <v>22874173</v>
      </c>
      <c r="P2907">
        <v>173</v>
      </c>
      <c r="Q2907" t="s">
        <v>6141</v>
      </c>
    </row>
    <row r="2908" spans="1:17" x14ac:dyDescent="0.3">
      <c r="A2908" t="s">
        <v>73</v>
      </c>
      <c r="B2908" t="str">
        <f>"002341"</f>
        <v>002341</v>
      </c>
      <c r="C2908" t="s">
        <v>6142</v>
      </c>
      <c r="D2908" t="s">
        <v>2271</v>
      </c>
      <c r="E2908">
        <v>249877192</v>
      </c>
      <c r="F2908">
        <v>466190633</v>
      </c>
      <c r="G2908">
        <v>988948003</v>
      </c>
      <c r="H2908">
        <v>1517612609</v>
      </c>
      <c r="I2908">
        <v>1042656230</v>
      </c>
      <c r="J2908">
        <v>1135629768</v>
      </c>
      <c r="K2908">
        <v>726908573</v>
      </c>
      <c r="L2908">
        <v>860874784</v>
      </c>
      <c r="M2908">
        <v>828823468</v>
      </c>
      <c r="N2908">
        <v>713466076</v>
      </c>
      <c r="O2908">
        <v>399921607</v>
      </c>
      <c r="P2908">
        <v>276</v>
      </c>
      <c r="Q2908" t="s">
        <v>6143</v>
      </c>
    </row>
    <row r="2909" spans="1:17" x14ac:dyDescent="0.3">
      <c r="A2909" t="s">
        <v>17</v>
      </c>
      <c r="B2909" t="str">
        <f>"600658"</f>
        <v>600658</v>
      </c>
      <c r="C2909" t="s">
        <v>6144</v>
      </c>
      <c r="D2909" t="s">
        <v>61</v>
      </c>
      <c r="E2909">
        <v>249782753</v>
      </c>
      <c r="F2909">
        <v>138224324</v>
      </c>
      <c r="G2909">
        <v>601216320</v>
      </c>
      <c r="H2909">
        <v>72414464</v>
      </c>
      <c r="I2909">
        <v>43148410</v>
      </c>
      <c r="J2909">
        <v>72202374</v>
      </c>
      <c r="K2909">
        <v>53443567</v>
      </c>
      <c r="L2909">
        <v>68775766</v>
      </c>
      <c r="M2909">
        <v>57653866</v>
      </c>
      <c r="N2909">
        <v>93977914</v>
      </c>
      <c r="O2909">
        <v>22600988</v>
      </c>
      <c r="P2909">
        <v>136</v>
      </c>
      <c r="Q2909" t="s">
        <v>6145</v>
      </c>
    </row>
    <row r="2910" spans="1:17" x14ac:dyDescent="0.3">
      <c r="A2910" t="s">
        <v>73</v>
      </c>
      <c r="B2910" t="str">
        <f>"001206"</f>
        <v>001206</v>
      </c>
      <c r="C2910" t="s">
        <v>6146</v>
      </c>
      <c r="D2910" t="s">
        <v>2759</v>
      </c>
      <c r="E2910">
        <v>249743919</v>
      </c>
      <c r="F2910">
        <v>215349890</v>
      </c>
      <c r="P2910">
        <v>53</v>
      </c>
      <c r="Q2910" t="s">
        <v>6147</v>
      </c>
    </row>
    <row r="2911" spans="1:17" x14ac:dyDescent="0.3">
      <c r="A2911" t="s">
        <v>73</v>
      </c>
      <c r="B2911" t="str">
        <f>"002344"</f>
        <v>002344</v>
      </c>
      <c r="C2911" t="s">
        <v>6148</v>
      </c>
      <c r="D2911" t="s">
        <v>1463</v>
      </c>
      <c r="E2911">
        <v>249581908</v>
      </c>
      <c r="F2911">
        <v>2264316</v>
      </c>
      <c r="G2911">
        <v>3480169</v>
      </c>
      <c r="H2911">
        <v>7424971</v>
      </c>
      <c r="I2911">
        <v>12788766</v>
      </c>
      <c r="J2911">
        <v>100078658</v>
      </c>
      <c r="K2911">
        <v>143306061</v>
      </c>
      <c r="L2911">
        <v>202181455</v>
      </c>
      <c r="M2911">
        <v>123174009</v>
      </c>
      <c r="N2911">
        <v>59163722</v>
      </c>
      <c r="O2911">
        <v>66049221</v>
      </c>
      <c r="P2911">
        <v>145</v>
      </c>
      <c r="Q2911" t="s">
        <v>6149</v>
      </c>
    </row>
    <row r="2912" spans="1:17" x14ac:dyDescent="0.3">
      <c r="A2912" t="s">
        <v>17</v>
      </c>
      <c r="B2912" t="str">
        <f>"688007"</f>
        <v>688007</v>
      </c>
      <c r="C2912" t="s">
        <v>6150</v>
      </c>
      <c r="D2912" t="s">
        <v>1937</v>
      </c>
      <c r="E2912">
        <v>249432126</v>
      </c>
      <c r="F2912">
        <v>188974089</v>
      </c>
      <c r="G2912">
        <v>138433482</v>
      </c>
      <c r="H2912">
        <v>0</v>
      </c>
      <c r="P2912">
        <v>123</v>
      </c>
      <c r="Q2912" t="s">
        <v>6151</v>
      </c>
    </row>
    <row r="2913" spans="1:17" x14ac:dyDescent="0.3">
      <c r="A2913" t="s">
        <v>73</v>
      </c>
      <c r="B2913" t="str">
        <f>"300592"</f>
        <v>300592</v>
      </c>
      <c r="C2913" t="s">
        <v>6152</v>
      </c>
      <c r="D2913" t="s">
        <v>258</v>
      </c>
      <c r="E2913">
        <v>249425498</v>
      </c>
      <c r="F2913">
        <v>196610999</v>
      </c>
      <c r="G2913">
        <v>241451285</v>
      </c>
      <c r="H2913">
        <v>230464397</v>
      </c>
      <c r="I2913">
        <v>267610860</v>
      </c>
      <c r="J2913">
        <v>179943448</v>
      </c>
      <c r="P2913">
        <v>65</v>
      </c>
      <c r="Q2913" t="s">
        <v>6153</v>
      </c>
    </row>
    <row r="2914" spans="1:17" x14ac:dyDescent="0.3">
      <c r="A2914" t="s">
        <v>73</v>
      </c>
      <c r="B2914" t="str">
        <f>"002806"</f>
        <v>002806</v>
      </c>
      <c r="C2914" t="s">
        <v>6154</v>
      </c>
      <c r="D2914" t="s">
        <v>616</v>
      </c>
      <c r="E2914">
        <v>249256629</v>
      </c>
      <c r="F2914">
        <v>197795476</v>
      </c>
      <c r="G2914">
        <v>346529229</v>
      </c>
      <c r="H2914">
        <v>283446203</v>
      </c>
      <c r="I2914">
        <v>138181741</v>
      </c>
      <c r="J2914">
        <v>129835926</v>
      </c>
      <c r="K2914">
        <v>111943522</v>
      </c>
      <c r="L2914">
        <v>0</v>
      </c>
      <c r="P2914">
        <v>100</v>
      </c>
      <c r="Q2914" t="s">
        <v>6155</v>
      </c>
    </row>
    <row r="2915" spans="1:17" x14ac:dyDescent="0.3">
      <c r="A2915" t="s">
        <v>17</v>
      </c>
      <c r="B2915" t="str">
        <f>"603990"</f>
        <v>603990</v>
      </c>
      <c r="C2915" t="s">
        <v>6156</v>
      </c>
      <c r="D2915" t="s">
        <v>795</v>
      </c>
      <c r="E2915">
        <v>249229089</v>
      </c>
      <c r="F2915">
        <v>235677176</v>
      </c>
      <c r="G2915">
        <v>265393853</v>
      </c>
      <c r="H2915">
        <v>222588191</v>
      </c>
      <c r="I2915">
        <v>200433243</v>
      </c>
      <c r="J2915">
        <v>146312186</v>
      </c>
      <c r="P2915">
        <v>143</v>
      </c>
      <c r="Q2915" t="s">
        <v>6157</v>
      </c>
    </row>
    <row r="2916" spans="1:17" x14ac:dyDescent="0.3">
      <c r="A2916" t="s">
        <v>73</v>
      </c>
      <c r="B2916" t="str">
        <f>"300555"</f>
        <v>300555</v>
      </c>
      <c r="C2916" t="s">
        <v>6158</v>
      </c>
      <c r="D2916" t="s">
        <v>332</v>
      </c>
      <c r="E2916">
        <v>249187370</v>
      </c>
      <c r="F2916">
        <v>245244519</v>
      </c>
      <c r="G2916">
        <v>278059986</v>
      </c>
      <c r="H2916">
        <v>383591847</v>
      </c>
      <c r="I2916">
        <v>378142470</v>
      </c>
      <c r="J2916">
        <v>343910457</v>
      </c>
      <c r="P2916">
        <v>72</v>
      </c>
      <c r="Q2916" t="s">
        <v>6159</v>
      </c>
    </row>
    <row r="2917" spans="1:17" x14ac:dyDescent="0.3">
      <c r="A2917" t="s">
        <v>73</v>
      </c>
      <c r="B2917" t="str">
        <f>"300151"</f>
        <v>300151</v>
      </c>
      <c r="C2917" t="s">
        <v>6160</v>
      </c>
      <c r="D2917" t="s">
        <v>1451</v>
      </c>
      <c r="E2917">
        <v>248726286</v>
      </c>
      <c r="F2917">
        <v>194443827</v>
      </c>
      <c r="G2917">
        <v>157392060</v>
      </c>
      <c r="H2917">
        <v>132944028</v>
      </c>
      <c r="I2917">
        <v>115468114</v>
      </c>
      <c r="J2917">
        <v>114114731</v>
      </c>
      <c r="K2917">
        <v>99822478</v>
      </c>
      <c r="L2917">
        <v>98243303</v>
      </c>
      <c r="M2917">
        <v>101531884</v>
      </c>
      <c r="N2917">
        <v>96885441</v>
      </c>
      <c r="O2917">
        <v>106090980</v>
      </c>
      <c r="P2917">
        <v>155</v>
      </c>
      <c r="Q2917" t="s">
        <v>6161</v>
      </c>
    </row>
    <row r="2918" spans="1:17" x14ac:dyDescent="0.3">
      <c r="A2918" t="s">
        <v>73</v>
      </c>
      <c r="B2918" t="str">
        <f>"300013"</f>
        <v>300013</v>
      </c>
      <c r="C2918" t="s">
        <v>6162</v>
      </c>
      <c r="D2918" t="s">
        <v>233</v>
      </c>
      <c r="E2918">
        <v>247511498</v>
      </c>
      <c r="F2918">
        <v>259768338</v>
      </c>
      <c r="G2918">
        <v>521730159</v>
      </c>
      <c r="H2918">
        <v>596894445</v>
      </c>
      <c r="I2918">
        <v>460583931</v>
      </c>
      <c r="J2918">
        <v>388221870</v>
      </c>
      <c r="K2918">
        <v>355739398</v>
      </c>
      <c r="L2918">
        <v>95113738</v>
      </c>
      <c r="M2918">
        <v>85696591</v>
      </c>
      <c r="N2918">
        <v>83668161</v>
      </c>
      <c r="O2918">
        <v>61829800</v>
      </c>
      <c r="P2918">
        <v>70</v>
      </c>
      <c r="Q2918" t="s">
        <v>6163</v>
      </c>
    </row>
    <row r="2919" spans="1:17" x14ac:dyDescent="0.3">
      <c r="A2919" t="s">
        <v>73</v>
      </c>
      <c r="B2919" t="str">
        <f>"002865"</f>
        <v>002865</v>
      </c>
      <c r="C2919" t="s">
        <v>6164</v>
      </c>
      <c r="D2919" t="s">
        <v>106</v>
      </c>
      <c r="E2919">
        <v>247413094</v>
      </c>
      <c r="F2919">
        <v>212947987</v>
      </c>
      <c r="G2919">
        <v>252716432</v>
      </c>
      <c r="H2919">
        <v>242073912</v>
      </c>
      <c r="I2919">
        <v>214164825</v>
      </c>
      <c r="J2919">
        <v>192163929</v>
      </c>
      <c r="P2919">
        <v>111</v>
      </c>
      <c r="Q2919" t="s">
        <v>6165</v>
      </c>
    </row>
    <row r="2920" spans="1:17" x14ac:dyDescent="0.3">
      <c r="A2920" t="s">
        <v>73</v>
      </c>
      <c r="B2920" t="str">
        <f>"300218"</f>
        <v>300218</v>
      </c>
      <c r="C2920" t="s">
        <v>6166</v>
      </c>
      <c r="D2920" t="s">
        <v>3079</v>
      </c>
      <c r="E2920">
        <v>247386624</v>
      </c>
      <c r="F2920">
        <v>210665837</v>
      </c>
      <c r="G2920">
        <v>182758623</v>
      </c>
      <c r="H2920">
        <v>209499881</v>
      </c>
      <c r="I2920">
        <v>155039338</v>
      </c>
      <c r="J2920">
        <v>142899127</v>
      </c>
      <c r="K2920">
        <v>125534391</v>
      </c>
      <c r="L2920">
        <v>106974917</v>
      </c>
      <c r="M2920">
        <v>105885829</v>
      </c>
      <c r="N2920">
        <v>63717829</v>
      </c>
      <c r="O2920">
        <v>50436169</v>
      </c>
      <c r="P2920">
        <v>108</v>
      </c>
      <c r="Q2920" t="s">
        <v>6167</v>
      </c>
    </row>
    <row r="2921" spans="1:17" x14ac:dyDescent="0.3">
      <c r="A2921" t="s">
        <v>73</v>
      </c>
      <c r="B2921" t="str">
        <f>"000697"</f>
        <v>000697</v>
      </c>
      <c r="C2921" t="s">
        <v>6168</v>
      </c>
      <c r="D2921" t="s">
        <v>130</v>
      </c>
      <c r="E2921">
        <v>247126346</v>
      </c>
      <c r="F2921">
        <v>257809084</v>
      </c>
      <c r="G2921">
        <v>385577066</v>
      </c>
      <c r="H2921">
        <v>446002574</v>
      </c>
      <c r="I2921">
        <v>348814367</v>
      </c>
      <c r="J2921">
        <v>287850</v>
      </c>
      <c r="K2921">
        <v>0</v>
      </c>
      <c r="L2921">
        <v>46420888</v>
      </c>
      <c r="M2921">
        <v>78421650</v>
      </c>
      <c r="N2921">
        <v>135046150</v>
      </c>
      <c r="O2921">
        <v>37110121</v>
      </c>
      <c r="P2921">
        <v>110</v>
      </c>
      <c r="Q2921" t="s">
        <v>6169</v>
      </c>
    </row>
    <row r="2922" spans="1:17" x14ac:dyDescent="0.3">
      <c r="A2922" t="s">
        <v>17</v>
      </c>
      <c r="B2922" t="str">
        <f>"688280"</f>
        <v>688280</v>
      </c>
      <c r="C2922" t="s">
        <v>6170</v>
      </c>
      <c r="D2922" t="s">
        <v>122</v>
      </c>
      <c r="E2922">
        <v>246965068</v>
      </c>
      <c r="P2922">
        <v>22</v>
      </c>
      <c r="Q2922" t="s">
        <v>6171</v>
      </c>
    </row>
    <row r="2923" spans="1:17" x14ac:dyDescent="0.3">
      <c r="A2923" t="s">
        <v>73</v>
      </c>
      <c r="B2923" t="str">
        <f>"002209"</f>
        <v>002209</v>
      </c>
      <c r="C2923" t="s">
        <v>6172</v>
      </c>
      <c r="D2923" t="s">
        <v>2099</v>
      </c>
      <c r="E2923">
        <v>246959682</v>
      </c>
      <c r="F2923">
        <v>271675290</v>
      </c>
      <c r="G2923">
        <v>298184040</v>
      </c>
      <c r="H2923">
        <v>437182006</v>
      </c>
      <c r="I2923">
        <v>450962940</v>
      </c>
      <c r="J2923">
        <v>376454650</v>
      </c>
      <c r="K2923">
        <v>390443732</v>
      </c>
      <c r="L2923">
        <v>421722664</v>
      </c>
      <c r="M2923">
        <v>345550040</v>
      </c>
      <c r="N2923">
        <v>312784714</v>
      </c>
      <c r="O2923">
        <v>232363981</v>
      </c>
      <c r="P2923">
        <v>75</v>
      </c>
      <c r="Q2923" t="s">
        <v>6173</v>
      </c>
    </row>
    <row r="2924" spans="1:17" x14ac:dyDescent="0.3">
      <c r="A2924" t="s">
        <v>73</v>
      </c>
      <c r="B2924" t="str">
        <f>"002801"</f>
        <v>002801</v>
      </c>
      <c r="C2924" t="s">
        <v>6174</v>
      </c>
      <c r="D2924" t="s">
        <v>689</v>
      </c>
      <c r="E2924">
        <v>246719622</v>
      </c>
      <c r="F2924">
        <v>203736706</v>
      </c>
      <c r="G2924">
        <v>203776952</v>
      </c>
      <c r="H2924">
        <v>188470205</v>
      </c>
      <c r="I2924">
        <v>102724596</v>
      </c>
      <c r="J2924">
        <v>86815106</v>
      </c>
      <c r="K2924">
        <v>77402311</v>
      </c>
      <c r="L2924">
        <v>0</v>
      </c>
      <c r="P2924">
        <v>201</v>
      </c>
      <c r="Q2924" t="s">
        <v>6175</v>
      </c>
    </row>
    <row r="2925" spans="1:17" x14ac:dyDescent="0.3">
      <c r="A2925" t="s">
        <v>17</v>
      </c>
      <c r="B2925" t="str">
        <f>"688085"</f>
        <v>688085</v>
      </c>
      <c r="C2925" t="s">
        <v>6176</v>
      </c>
      <c r="D2925" t="s">
        <v>1523</v>
      </c>
      <c r="E2925">
        <v>246465714</v>
      </c>
      <c r="F2925">
        <v>223871626</v>
      </c>
      <c r="G2925">
        <v>141899595</v>
      </c>
      <c r="P2925">
        <v>197</v>
      </c>
      <c r="Q2925" t="s">
        <v>6177</v>
      </c>
    </row>
    <row r="2926" spans="1:17" x14ac:dyDescent="0.3">
      <c r="A2926" t="s">
        <v>73</v>
      </c>
      <c r="B2926" t="str">
        <f>"301100"</f>
        <v>301100</v>
      </c>
      <c r="C2926" t="s">
        <v>6178</v>
      </c>
      <c r="D2926" t="s">
        <v>588</v>
      </c>
      <c r="E2926">
        <v>246439121</v>
      </c>
      <c r="P2926">
        <v>11</v>
      </c>
      <c r="Q2926" t="s">
        <v>6179</v>
      </c>
    </row>
    <row r="2927" spans="1:17" x14ac:dyDescent="0.3">
      <c r="A2927" t="s">
        <v>73</v>
      </c>
      <c r="B2927" t="str">
        <f>"300605"</f>
        <v>300605</v>
      </c>
      <c r="C2927" t="s">
        <v>6180</v>
      </c>
      <c r="D2927" t="s">
        <v>795</v>
      </c>
      <c r="E2927">
        <v>245805978</v>
      </c>
      <c r="F2927">
        <v>260933151</v>
      </c>
      <c r="G2927">
        <v>121291034</v>
      </c>
      <c r="H2927">
        <v>105389032</v>
      </c>
      <c r="I2927">
        <v>94694041</v>
      </c>
      <c r="J2927">
        <v>66846593</v>
      </c>
      <c r="K2927">
        <v>0</v>
      </c>
      <c r="P2927">
        <v>93</v>
      </c>
      <c r="Q2927" t="s">
        <v>6181</v>
      </c>
    </row>
    <row r="2928" spans="1:17" x14ac:dyDescent="0.3">
      <c r="A2928" t="s">
        <v>73</v>
      </c>
      <c r="B2928" t="str">
        <f>"000695"</f>
        <v>000695</v>
      </c>
      <c r="C2928" t="s">
        <v>6182</v>
      </c>
      <c r="D2928" t="s">
        <v>4179</v>
      </c>
      <c r="E2928">
        <v>245626662</v>
      </c>
      <c r="F2928">
        <v>295260742</v>
      </c>
      <c r="G2928">
        <v>284582532</v>
      </c>
      <c r="H2928">
        <v>189902651</v>
      </c>
      <c r="I2928">
        <v>482648947</v>
      </c>
      <c r="J2928">
        <v>233774746</v>
      </c>
      <c r="K2928">
        <v>208678463</v>
      </c>
      <c r="L2928">
        <v>265251553</v>
      </c>
      <c r="M2928">
        <v>284378467</v>
      </c>
      <c r="N2928">
        <v>266879767</v>
      </c>
      <c r="O2928">
        <v>467353107</v>
      </c>
      <c r="P2928">
        <v>82</v>
      </c>
      <c r="Q2928" t="s">
        <v>6183</v>
      </c>
    </row>
    <row r="2929" spans="1:17" x14ac:dyDescent="0.3">
      <c r="A2929" t="s">
        <v>73</v>
      </c>
      <c r="B2929" t="str">
        <f>"300096"</f>
        <v>300096</v>
      </c>
      <c r="C2929" t="s">
        <v>6184</v>
      </c>
      <c r="D2929" t="s">
        <v>302</v>
      </c>
      <c r="E2929">
        <v>245551978</v>
      </c>
      <c r="F2929">
        <v>269189183</v>
      </c>
      <c r="G2929">
        <v>356508731</v>
      </c>
      <c r="H2929">
        <v>751807441</v>
      </c>
      <c r="I2929">
        <v>673648875</v>
      </c>
      <c r="J2929">
        <v>643875108</v>
      </c>
      <c r="K2929">
        <v>238603484</v>
      </c>
      <c r="L2929">
        <v>219476886</v>
      </c>
      <c r="M2929">
        <v>211523468</v>
      </c>
      <c r="N2929">
        <v>230130566</v>
      </c>
      <c r="O2929">
        <v>222844869</v>
      </c>
      <c r="P2929">
        <v>169</v>
      </c>
      <c r="Q2929" t="s">
        <v>6185</v>
      </c>
    </row>
    <row r="2930" spans="1:17" x14ac:dyDescent="0.3">
      <c r="A2930" t="s">
        <v>73</v>
      </c>
      <c r="B2930" t="str">
        <f>"002412"</f>
        <v>002412</v>
      </c>
      <c r="C2930" t="s">
        <v>6186</v>
      </c>
      <c r="D2930" t="s">
        <v>215</v>
      </c>
      <c r="E2930">
        <v>245321782</v>
      </c>
      <c r="F2930">
        <v>245125249</v>
      </c>
      <c r="G2930">
        <v>298847777</v>
      </c>
      <c r="H2930">
        <v>293824930</v>
      </c>
      <c r="I2930">
        <v>226019075</v>
      </c>
      <c r="J2930">
        <v>187389544</v>
      </c>
      <c r="K2930">
        <v>171129545</v>
      </c>
      <c r="L2930">
        <v>151089165</v>
      </c>
      <c r="M2930">
        <v>126584738</v>
      </c>
      <c r="N2930">
        <v>87839775</v>
      </c>
      <c r="O2930">
        <v>91257055</v>
      </c>
      <c r="P2930">
        <v>155</v>
      </c>
      <c r="Q2930" t="s">
        <v>6187</v>
      </c>
    </row>
    <row r="2931" spans="1:17" x14ac:dyDescent="0.3">
      <c r="A2931" t="s">
        <v>17</v>
      </c>
      <c r="B2931" t="str">
        <f>"688003"</f>
        <v>688003</v>
      </c>
      <c r="C2931" t="s">
        <v>6188</v>
      </c>
      <c r="D2931" t="s">
        <v>1967</v>
      </c>
      <c r="E2931">
        <v>245320071</v>
      </c>
      <c r="F2931">
        <v>132836032</v>
      </c>
      <c r="G2931">
        <v>144005928</v>
      </c>
      <c r="H2931">
        <v>0</v>
      </c>
      <c r="I2931">
        <v>0</v>
      </c>
      <c r="P2931">
        <v>141</v>
      </c>
      <c r="Q2931" t="s">
        <v>6189</v>
      </c>
    </row>
    <row r="2932" spans="1:17" x14ac:dyDescent="0.3">
      <c r="A2932" t="s">
        <v>73</v>
      </c>
      <c r="B2932" t="str">
        <f>"000681"</f>
        <v>000681</v>
      </c>
      <c r="C2932" t="s">
        <v>6190</v>
      </c>
      <c r="D2932" t="s">
        <v>6191</v>
      </c>
      <c r="E2932">
        <v>245317617</v>
      </c>
      <c r="F2932">
        <v>225214082</v>
      </c>
      <c r="G2932">
        <v>180590461</v>
      </c>
      <c r="H2932">
        <v>0</v>
      </c>
      <c r="I2932">
        <v>315757737</v>
      </c>
      <c r="J2932">
        <v>319637233</v>
      </c>
      <c r="K2932">
        <v>283487243</v>
      </c>
      <c r="L2932">
        <v>158323252</v>
      </c>
      <c r="M2932">
        <v>29102319</v>
      </c>
      <c r="N2932">
        <v>8324657</v>
      </c>
      <c r="O2932">
        <v>3287866</v>
      </c>
      <c r="P2932">
        <v>449</v>
      </c>
      <c r="Q2932" t="s">
        <v>6192</v>
      </c>
    </row>
    <row r="2933" spans="1:17" x14ac:dyDescent="0.3">
      <c r="A2933" t="s">
        <v>73</v>
      </c>
      <c r="B2933" t="str">
        <f>"002976"</f>
        <v>002976</v>
      </c>
      <c r="C2933" t="s">
        <v>6193</v>
      </c>
      <c r="D2933" t="s">
        <v>42</v>
      </c>
      <c r="E2933">
        <v>244911044</v>
      </c>
      <c r="F2933">
        <v>206342976</v>
      </c>
      <c r="G2933">
        <v>145617213</v>
      </c>
      <c r="P2933">
        <v>104</v>
      </c>
      <c r="Q2933" t="s">
        <v>6194</v>
      </c>
    </row>
    <row r="2934" spans="1:17" x14ac:dyDescent="0.3">
      <c r="A2934" t="s">
        <v>73</v>
      </c>
      <c r="B2934" t="str">
        <f>"002825"</f>
        <v>002825</v>
      </c>
      <c r="C2934" t="s">
        <v>6195</v>
      </c>
      <c r="D2934" t="s">
        <v>3079</v>
      </c>
      <c r="E2934">
        <v>244727326</v>
      </c>
      <c r="F2934">
        <v>143633848</v>
      </c>
      <c r="G2934">
        <v>110821350</v>
      </c>
      <c r="H2934">
        <v>77179523</v>
      </c>
      <c r="I2934">
        <v>57595938</v>
      </c>
      <c r="J2934">
        <v>50947427</v>
      </c>
      <c r="P2934">
        <v>100</v>
      </c>
      <c r="Q2934" t="s">
        <v>6196</v>
      </c>
    </row>
    <row r="2935" spans="1:17" x14ac:dyDescent="0.3">
      <c r="A2935" t="s">
        <v>73</v>
      </c>
      <c r="B2935" t="str">
        <f>"002155"</f>
        <v>002155</v>
      </c>
      <c r="C2935" t="s">
        <v>6197</v>
      </c>
      <c r="D2935" t="s">
        <v>6198</v>
      </c>
      <c r="E2935">
        <v>244285006</v>
      </c>
      <c r="F2935">
        <v>156873509</v>
      </c>
      <c r="G2935">
        <v>193951125</v>
      </c>
      <c r="H2935">
        <v>272282590</v>
      </c>
      <c r="I2935">
        <v>223617433</v>
      </c>
      <c r="J2935">
        <v>168718715</v>
      </c>
      <c r="K2935">
        <v>168110538</v>
      </c>
      <c r="L2935">
        <v>215070084</v>
      </c>
      <c r="M2935">
        <v>188697154</v>
      </c>
      <c r="N2935">
        <v>121392126</v>
      </c>
      <c r="O2935">
        <v>104965967</v>
      </c>
      <c r="P2935">
        <v>219</v>
      </c>
      <c r="Q2935" t="s">
        <v>6199</v>
      </c>
    </row>
    <row r="2936" spans="1:17" x14ac:dyDescent="0.3">
      <c r="A2936" t="s">
        <v>73</v>
      </c>
      <c r="B2936" t="str">
        <f>"002265"</f>
        <v>002265</v>
      </c>
      <c r="C2936" t="s">
        <v>6200</v>
      </c>
      <c r="D2936" t="s">
        <v>122</v>
      </c>
      <c r="E2936">
        <v>243959583</v>
      </c>
      <c r="F2936">
        <v>243829954</v>
      </c>
      <c r="G2936">
        <v>199235554</v>
      </c>
      <c r="H2936">
        <v>217691365</v>
      </c>
      <c r="I2936">
        <v>226962757</v>
      </c>
      <c r="J2936">
        <v>235835992</v>
      </c>
      <c r="K2936">
        <v>139547741</v>
      </c>
      <c r="L2936">
        <v>148211287</v>
      </c>
      <c r="M2936">
        <v>125749404</v>
      </c>
      <c r="N2936">
        <v>111121977</v>
      </c>
      <c r="O2936">
        <v>124057682</v>
      </c>
      <c r="P2936">
        <v>86</v>
      </c>
      <c r="Q2936" t="s">
        <v>6201</v>
      </c>
    </row>
    <row r="2937" spans="1:17" x14ac:dyDescent="0.3">
      <c r="A2937" t="s">
        <v>73</v>
      </c>
      <c r="B2937" t="str">
        <f>"002756"</f>
        <v>002756</v>
      </c>
      <c r="C2937" t="s">
        <v>6202</v>
      </c>
      <c r="D2937" t="s">
        <v>928</v>
      </c>
      <c r="E2937">
        <v>243931322</v>
      </c>
      <c r="F2937">
        <v>188874847</v>
      </c>
      <c r="G2937">
        <v>176938102</v>
      </c>
      <c r="H2937">
        <v>166075311</v>
      </c>
      <c r="I2937">
        <v>100186755</v>
      </c>
      <c r="J2937">
        <v>85658219</v>
      </c>
      <c r="K2937">
        <v>95447262</v>
      </c>
      <c r="L2937">
        <v>52949975</v>
      </c>
      <c r="M2937">
        <v>0</v>
      </c>
      <c r="P2937">
        <v>307</v>
      </c>
      <c r="Q2937" t="s">
        <v>6203</v>
      </c>
    </row>
    <row r="2938" spans="1:17" x14ac:dyDescent="0.3">
      <c r="A2938" t="s">
        <v>17</v>
      </c>
      <c r="B2938" t="str">
        <f>"688528"</f>
        <v>688528</v>
      </c>
      <c r="C2938" t="s">
        <v>6204</v>
      </c>
      <c r="D2938" t="s">
        <v>2280</v>
      </c>
      <c r="E2938">
        <v>243382614</v>
      </c>
      <c r="F2938">
        <v>234730982</v>
      </c>
      <c r="G2938">
        <v>193781638</v>
      </c>
      <c r="P2938">
        <v>42</v>
      </c>
      <c r="Q2938" t="s">
        <v>6205</v>
      </c>
    </row>
    <row r="2939" spans="1:17" x14ac:dyDescent="0.3">
      <c r="A2939" t="s">
        <v>17</v>
      </c>
      <c r="B2939" t="str">
        <f>"600243"</f>
        <v>600243</v>
      </c>
      <c r="C2939" t="s">
        <v>6206</v>
      </c>
      <c r="D2939" t="s">
        <v>873</v>
      </c>
      <c r="E2939">
        <v>242771786</v>
      </c>
      <c r="F2939">
        <v>97232903</v>
      </c>
      <c r="G2939">
        <v>235433042</v>
      </c>
      <c r="H2939">
        <v>338488976</v>
      </c>
      <c r="I2939">
        <v>531023501</v>
      </c>
      <c r="J2939">
        <v>801373872</v>
      </c>
      <c r="K2939">
        <v>605939131</v>
      </c>
      <c r="L2939">
        <v>547250070</v>
      </c>
      <c r="M2939">
        <v>461792139</v>
      </c>
      <c r="N2939">
        <v>368787231</v>
      </c>
      <c r="O2939">
        <v>391517335</v>
      </c>
      <c r="P2939">
        <v>72</v>
      </c>
      <c r="Q2939" t="s">
        <v>6207</v>
      </c>
    </row>
    <row r="2940" spans="1:17" x14ac:dyDescent="0.3">
      <c r="A2940" t="s">
        <v>17</v>
      </c>
      <c r="B2940" t="str">
        <f>"688687"</f>
        <v>688687</v>
      </c>
      <c r="C2940" t="s">
        <v>6208</v>
      </c>
      <c r="D2940" t="s">
        <v>1505</v>
      </c>
      <c r="E2940">
        <v>242363139</v>
      </c>
      <c r="F2940">
        <v>154508798</v>
      </c>
      <c r="G2940">
        <v>0</v>
      </c>
      <c r="H2940">
        <v>0</v>
      </c>
      <c r="P2940">
        <v>41</v>
      </c>
      <c r="Q2940" t="s">
        <v>6209</v>
      </c>
    </row>
    <row r="2941" spans="1:17" x14ac:dyDescent="0.3">
      <c r="A2941" t="s">
        <v>73</v>
      </c>
      <c r="B2941" t="str">
        <f>"002832"</f>
        <v>002832</v>
      </c>
      <c r="C2941" t="s">
        <v>6210</v>
      </c>
      <c r="D2941" t="s">
        <v>991</v>
      </c>
      <c r="E2941">
        <v>241618220</v>
      </c>
      <c r="F2941">
        <v>133286812</v>
      </c>
      <c r="G2941">
        <v>150032524</v>
      </c>
      <c r="H2941">
        <v>99947334</v>
      </c>
      <c r="I2941">
        <v>90681143</v>
      </c>
      <c r="J2941">
        <v>71208950</v>
      </c>
      <c r="P2941">
        <v>636</v>
      </c>
      <c r="Q2941" t="s">
        <v>6211</v>
      </c>
    </row>
    <row r="2942" spans="1:17" x14ac:dyDescent="0.3">
      <c r="A2942" t="s">
        <v>17</v>
      </c>
      <c r="B2942" t="str">
        <f>"688027"</f>
        <v>688027</v>
      </c>
      <c r="C2942" t="s">
        <v>6212</v>
      </c>
      <c r="D2942" t="s">
        <v>332</v>
      </c>
      <c r="E2942">
        <v>241512771</v>
      </c>
      <c r="F2942">
        <v>215131439</v>
      </c>
      <c r="G2942">
        <v>258410890</v>
      </c>
      <c r="H2942">
        <v>0</v>
      </c>
      <c r="P2942">
        <v>98</v>
      </c>
      <c r="Q2942" t="s">
        <v>6213</v>
      </c>
    </row>
    <row r="2943" spans="1:17" x14ac:dyDescent="0.3">
      <c r="A2943" t="s">
        <v>17</v>
      </c>
      <c r="B2943" t="str">
        <f>"688207"</f>
        <v>688207</v>
      </c>
      <c r="C2943" t="s">
        <v>6214</v>
      </c>
      <c r="E2943">
        <v>241460383</v>
      </c>
      <c r="P2943">
        <v>7</v>
      </c>
      <c r="Q2943" t="s">
        <v>6215</v>
      </c>
    </row>
    <row r="2944" spans="1:17" x14ac:dyDescent="0.3">
      <c r="A2944" t="s">
        <v>73</v>
      </c>
      <c r="B2944" t="str">
        <f>"300426"</f>
        <v>300426</v>
      </c>
      <c r="C2944" t="s">
        <v>6216</v>
      </c>
      <c r="D2944" t="s">
        <v>1306</v>
      </c>
      <c r="E2944">
        <v>241431078</v>
      </c>
      <c r="F2944">
        <v>221345069</v>
      </c>
      <c r="G2944">
        <v>358461553</v>
      </c>
      <c r="H2944">
        <v>585807146</v>
      </c>
      <c r="I2944">
        <v>1303996032</v>
      </c>
      <c r="J2944">
        <v>393441552</v>
      </c>
      <c r="K2944">
        <v>384763802</v>
      </c>
      <c r="L2944">
        <v>387638219</v>
      </c>
      <c r="M2944">
        <v>0</v>
      </c>
      <c r="P2944">
        <v>130</v>
      </c>
      <c r="Q2944" t="s">
        <v>6217</v>
      </c>
    </row>
    <row r="2945" spans="1:17" x14ac:dyDescent="0.3">
      <c r="A2945" t="s">
        <v>73</v>
      </c>
      <c r="B2945" t="str">
        <f>"300798"</f>
        <v>300798</v>
      </c>
      <c r="C2945" t="s">
        <v>6218</v>
      </c>
      <c r="D2945" t="s">
        <v>1001</v>
      </c>
      <c r="E2945">
        <v>241354162</v>
      </c>
      <c r="F2945">
        <v>250847363</v>
      </c>
      <c r="G2945">
        <v>255737828</v>
      </c>
      <c r="H2945">
        <v>0</v>
      </c>
      <c r="P2945">
        <v>55</v>
      </c>
      <c r="Q2945" t="s">
        <v>6219</v>
      </c>
    </row>
    <row r="2946" spans="1:17" x14ac:dyDescent="0.3">
      <c r="A2946" t="s">
        <v>73</v>
      </c>
      <c r="B2946" t="str">
        <f>"301167"</f>
        <v>301167</v>
      </c>
      <c r="C2946" t="s">
        <v>6220</v>
      </c>
      <c r="D2946" t="s">
        <v>661</v>
      </c>
      <c r="E2946">
        <v>240674311</v>
      </c>
      <c r="P2946">
        <v>17</v>
      </c>
      <c r="Q2946" t="s">
        <v>6221</v>
      </c>
    </row>
    <row r="2947" spans="1:17" x14ac:dyDescent="0.3">
      <c r="A2947" t="s">
        <v>73</v>
      </c>
      <c r="B2947" t="str">
        <f>"002915"</f>
        <v>002915</v>
      </c>
      <c r="C2947" t="s">
        <v>6222</v>
      </c>
      <c r="D2947" t="s">
        <v>1726</v>
      </c>
      <c r="E2947">
        <v>240656423</v>
      </c>
      <c r="F2947">
        <v>205996011</v>
      </c>
      <c r="G2947">
        <v>135735430</v>
      </c>
      <c r="H2947">
        <v>111412911</v>
      </c>
      <c r="I2947">
        <v>97805163</v>
      </c>
      <c r="P2947">
        <v>90</v>
      </c>
      <c r="Q2947" t="s">
        <v>6223</v>
      </c>
    </row>
    <row r="2948" spans="1:17" x14ac:dyDescent="0.3">
      <c r="A2948" t="s">
        <v>17</v>
      </c>
      <c r="B2948" t="str">
        <f>"688058"</f>
        <v>688058</v>
      </c>
      <c r="C2948" t="s">
        <v>6224</v>
      </c>
      <c r="D2948" t="s">
        <v>404</v>
      </c>
      <c r="E2948">
        <v>240575147</v>
      </c>
      <c r="F2948">
        <v>174573867</v>
      </c>
      <c r="G2948">
        <v>137468371</v>
      </c>
      <c r="P2948">
        <v>96</v>
      </c>
      <c r="Q2948" t="s">
        <v>6225</v>
      </c>
    </row>
    <row r="2949" spans="1:17" x14ac:dyDescent="0.3">
      <c r="A2949" t="s">
        <v>73</v>
      </c>
      <c r="B2949" t="str">
        <f>"300234"</f>
        <v>300234</v>
      </c>
      <c r="C2949" t="s">
        <v>6226</v>
      </c>
      <c r="D2949" t="s">
        <v>808</v>
      </c>
      <c r="E2949">
        <v>240510678</v>
      </c>
      <c r="F2949">
        <v>184415100</v>
      </c>
      <c r="G2949">
        <v>144400648</v>
      </c>
      <c r="H2949">
        <v>223382280</v>
      </c>
      <c r="I2949">
        <v>233232487</v>
      </c>
      <c r="J2949">
        <v>265557094</v>
      </c>
      <c r="K2949">
        <v>304979501</v>
      </c>
      <c r="L2949">
        <v>306355670</v>
      </c>
      <c r="M2949">
        <v>148717898</v>
      </c>
      <c r="N2949">
        <v>73579356</v>
      </c>
      <c r="O2949">
        <v>68408058</v>
      </c>
      <c r="P2949">
        <v>111</v>
      </c>
      <c r="Q2949" t="s">
        <v>6227</v>
      </c>
    </row>
    <row r="2950" spans="1:17" x14ac:dyDescent="0.3">
      <c r="A2950" t="s">
        <v>73</v>
      </c>
      <c r="B2950" t="str">
        <f>"002166"</f>
        <v>002166</v>
      </c>
      <c r="C2950" t="s">
        <v>6228</v>
      </c>
      <c r="D2950" t="s">
        <v>215</v>
      </c>
      <c r="E2950">
        <v>240300877</v>
      </c>
      <c r="F2950">
        <v>195003934</v>
      </c>
      <c r="G2950">
        <v>123143253</v>
      </c>
      <c r="H2950">
        <v>82388286</v>
      </c>
      <c r="I2950">
        <v>67973665</v>
      </c>
      <c r="J2950">
        <v>49338073</v>
      </c>
      <c r="K2950">
        <v>57836510</v>
      </c>
      <c r="L2950">
        <v>58772022</v>
      </c>
      <c r="M2950">
        <v>72553611</v>
      </c>
      <c r="N2950">
        <v>78523457</v>
      </c>
      <c r="O2950">
        <v>46663156</v>
      </c>
      <c r="P2950">
        <v>200</v>
      </c>
      <c r="Q2950" t="s">
        <v>6229</v>
      </c>
    </row>
    <row r="2951" spans="1:17" x14ac:dyDescent="0.3">
      <c r="A2951" t="s">
        <v>17</v>
      </c>
      <c r="B2951" t="str">
        <f>"603738"</f>
        <v>603738</v>
      </c>
      <c r="C2951" t="s">
        <v>6230</v>
      </c>
      <c r="D2951" t="s">
        <v>1944</v>
      </c>
      <c r="E2951">
        <v>240081484</v>
      </c>
      <c r="F2951">
        <v>250775805</v>
      </c>
      <c r="G2951">
        <v>188664949</v>
      </c>
      <c r="H2951">
        <v>246629561</v>
      </c>
      <c r="I2951">
        <v>216760222</v>
      </c>
      <c r="J2951">
        <v>188516146</v>
      </c>
      <c r="P2951">
        <v>246</v>
      </c>
      <c r="Q2951" t="s">
        <v>6231</v>
      </c>
    </row>
    <row r="2952" spans="1:17" x14ac:dyDescent="0.3">
      <c r="A2952" t="s">
        <v>17</v>
      </c>
      <c r="B2952" t="str">
        <f>"603729"</f>
        <v>603729</v>
      </c>
      <c r="C2952" t="s">
        <v>6232</v>
      </c>
      <c r="D2952" t="s">
        <v>425</v>
      </c>
      <c r="E2952">
        <v>240007729</v>
      </c>
      <c r="F2952">
        <v>238595011</v>
      </c>
      <c r="G2952">
        <v>315418317</v>
      </c>
      <c r="H2952">
        <v>253603366</v>
      </c>
      <c r="I2952">
        <v>417353412</v>
      </c>
      <c r="J2952">
        <v>231522102</v>
      </c>
      <c r="K2952">
        <v>371426983</v>
      </c>
      <c r="L2952">
        <v>478229582</v>
      </c>
      <c r="M2952">
        <v>0</v>
      </c>
      <c r="P2952">
        <v>51</v>
      </c>
      <c r="Q2952" t="s">
        <v>6233</v>
      </c>
    </row>
    <row r="2953" spans="1:17" x14ac:dyDescent="0.3">
      <c r="A2953" t="s">
        <v>73</v>
      </c>
      <c r="B2953" t="str">
        <f>"001211"</f>
        <v>001211</v>
      </c>
      <c r="C2953" t="s">
        <v>6234</v>
      </c>
      <c r="D2953" t="s">
        <v>3902</v>
      </c>
      <c r="E2953">
        <v>239107337</v>
      </c>
      <c r="F2953">
        <v>182846406</v>
      </c>
      <c r="P2953">
        <v>13</v>
      </c>
      <c r="Q2953" t="s">
        <v>6235</v>
      </c>
    </row>
    <row r="2954" spans="1:17" x14ac:dyDescent="0.3">
      <c r="A2954" t="s">
        <v>17</v>
      </c>
      <c r="B2954" t="str">
        <f>"601107"</f>
        <v>601107</v>
      </c>
      <c r="C2954" t="s">
        <v>6236</v>
      </c>
      <c r="D2954" t="s">
        <v>1592</v>
      </c>
      <c r="E2954">
        <v>239064278</v>
      </c>
      <c r="F2954">
        <v>299677770</v>
      </c>
      <c r="G2954">
        <v>496600426</v>
      </c>
      <c r="H2954">
        <v>202504326</v>
      </c>
      <c r="I2954">
        <v>192019657</v>
      </c>
      <c r="J2954">
        <v>463941285</v>
      </c>
      <c r="K2954">
        <v>238833162</v>
      </c>
      <c r="L2954">
        <v>245084038</v>
      </c>
      <c r="M2954">
        <v>276141371</v>
      </c>
      <c r="N2954">
        <v>70730540</v>
      </c>
      <c r="O2954">
        <v>63484705</v>
      </c>
      <c r="P2954">
        <v>231</v>
      </c>
      <c r="Q2954" t="s">
        <v>6237</v>
      </c>
    </row>
    <row r="2955" spans="1:17" x14ac:dyDescent="0.3">
      <c r="A2955" t="s">
        <v>73</v>
      </c>
      <c r="B2955" t="str">
        <f>"300836"</f>
        <v>300836</v>
      </c>
      <c r="C2955" t="s">
        <v>6238</v>
      </c>
      <c r="D2955" t="s">
        <v>1451</v>
      </c>
      <c r="E2955">
        <v>239060136</v>
      </c>
      <c r="F2955">
        <v>232547674</v>
      </c>
      <c r="G2955">
        <v>161404795</v>
      </c>
      <c r="H2955">
        <v>0</v>
      </c>
      <c r="P2955">
        <v>61</v>
      </c>
      <c r="Q2955" t="s">
        <v>6239</v>
      </c>
    </row>
    <row r="2956" spans="1:17" x14ac:dyDescent="0.3">
      <c r="A2956" t="s">
        <v>17</v>
      </c>
      <c r="B2956" t="str">
        <f>"603399"</f>
        <v>603399</v>
      </c>
      <c r="C2956" t="s">
        <v>6240</v>
      </c>
      <c r="D2956" t="s">
        <v>2580</v>
      </c>
      <c r="E2956">
        <v>238987185</v>
      </c>
      <c r="F2956">
        <v>425044456</v>
      </c>
      <c r="G2956">
        <v>474360085</v>
      </c>
      <c r="H2956">
        <v>684349735</v>
      </c>
      <c r="I2956">
        <v>783182268</v>
      </c>
      <c r="J2956">
        <v>211835826</v>
      </c>
      <c r="K2956">
        <v>300841496</v>
      </c>
      <c r="L2956">
        <v>496389555</v>
      </c>
      <c r="M2956">
        <v>377772309</v>
      </c>
      <c r="N2956">
        <v>270969261</v>
      </c>
      <c r="O2956">
        <v>0</v>
      </c>
      <c r="P2956">
        <v>72</v>
      </c>
      <c r="Q2956" t="s">
        <v>6241</v>
      </c>
    </row>
    <row r="2957" spans="1:17" x14ac:dyDescent="0.3">
      <c r="A2957" t="s">
        <v>73</v>
      </c>
      <c r="B2957" t="str">
        <f>"300481"</f>
        <v>300481</v>
      </c>
      <c r="C2957" t="s">
        <v>6242</v>
      </c>
      <c r="D2957" t="s">
        <v>2178</v>
      </c>
      <c r="E2957">
        <v>238778255</v>
      </c>
      <c r="F2957">
        <v>190930086</v>
      </c>
      <c r="G2957">
        <v>131535902</v>
      </c>
      <c r="H2957">
        <v>109820085</v>
      </c>
      <c r="I2957">
        <v>89554115</v>
      </c>
      <c r="J2957">
        <v>54534795</v>
      </c>
      <c r="K2957">
        <v>49443466</v>
      </c>
      <c r="L2957">
        <v>50056595</v>
      </c>
      <c r="M2957">
        <v>0</v>
      </c>
      <c r="P2957">
        <v>352</v>
      </c>
      <c r="Q2957" t="s">
        <v>6243</v>
      </c>
    </row>
    <row r="2958" spans="1:17" x14ac:dyDescent="0.3">
      <c r="A2958" t="s">
        <v>17</v>
      </c>
      <c r="B2958" t="str">
        <f>"605500"</f>
        <v>605500</v>
      </c>
      <c r="C2958" t="s">
        <v>6244</v>
      </c>
      <c r="D2958" t="s">
        <v>644</v>
      </c>
      <c r="E2958">
        <v>238241336</v>
      </c>
      <c r="F2958">
        <v>188590888</v>
      </c>
      <c r="P2958">
        <v>37</v>
      </c>
      <c r="Q2958" t="s">
        <v>6245</v>
      </c>
    </row>
    <row r="2959" spans="1:17" x14ac:dyDescent="0.3">
      <c r="A2959" t="s">
        <v>17</v>
      </c>
      <c r="B2959" t="str">
        <f>"603256"</f>
        <v>603256</v>
      </c>
      <c r="C2959" t="s">
        <v>6246</v>
      </c>
      <c r="D2959" t="s">
        <v>598</v>
      </c>
      <c r="E2959">
        <v>238183976</v>
      </c>
      <c r="F2959">
        <v>225029424</v>
      </c>
      <c r="G2959">
        <v>187727489</v>
      </c>
      <c r="H2959">
        <v>0</v>
      </c>
      <c r="P2959">
        <v>340</v>
      </c>
      <c r="Q2959" t="s">
        <v>6247</v>
      </c>
    </row>
    <row r="2960" spans="1:17" x14ac:dyDescent="0.3">
      <c r="A2960" t="s">
        <v>73</v>
      </c>
      <c r="B2960" t="str">
        <f>"002651"</f>
        <v>002651</v>
      </c>
      <c r="C2960" t="s">
        <v>6248</v>
      </c>
      <c r="D2960" t="s">
        <v>311</v>
      </c>
      <c r="E2960">
        <v>237902969</v>
      </c>
      <c r="F2960">
        <v>256660063</v>
      </c>
      <c r="G2960">
        <v>223784876</v>
      </c>
      <c r="H2960">
        <v>219726223</v>
      </c>
      <c r="I2960">
        <v>214362601</v>
      </c>
      <c r="J2960">
        <v>231522555</v>
      </c>
      <c r="K2960">
        <v>242498588</v>
      </c>
      <c r="L2960">
        <v>231879536</v>
      </c>
      <c r="M2960">
        <v>234315839</v>
      </c>
      <c r="N2960">
        <v>256829217</v>
      </c>
      <c r="O2960">
        <v>232731102</v>
      </c>
      <c r="P2960">
        <v>121</v>
      </c>
      <c r="Q2960" t="s">
        <v>6249</v>
      </c>
    </row>
    <row r="2961" spans="1:17" x14ac:dyDescent="0.3">
      <c r="A2961" t="s">
        <v>17</v>
      </c>
      <c r="B2961" t="str">
        <f>"603185"</f>
        <v>603185</v>
      </c>
      <c r="C2961" t="s">
        <v>6250</v>
      </c>
      <c r="D2961" t="s">
        <v>1484</v>
      </c>
      <c r="E2961">
        <v>237689296</v>
      </c>
      <c r="F2961">
        <v>127343301</v>
      </c>
      <c r="G2961">
        <v>431011379</v>
      </c>
      <c r="H2961">
        <v>383703263</v>
      </c>
      <c r="P2961">
        <v>516</v>
      </c>
      <c r="Q2961" t="s">
        <v>6251</v>
      </c>
    </row>
    <row r="2962" spans="1:17" x14ac:dyDescent="0.3">
      <c r="A2962" t="s">
        <v>73</v>
      </c>
      <c r="B2962" t="str">
        <f>"300305"</f>
        <v>300305</v>
      </c>
      <c r="C2962" t="s">
        <v>6252</v>
      </c>
      <c r="D2962" t="s">
        <v>2271</v>
      </c>
      <c r="E2962">
        <v>237576198</v>
      </c>
      <c r="F2962">
        <v>249900384</v>
      </c>
      <c r="G2962">
        <v>169171649</v>
      </c>
      <c r="H2962">
        <v>183429526</v>
      </c>
      <c r="I2962">
        <v>138747143</v>
      </c>
      <c r="J2962">
        <v>106469415</v>
      </c>
      <c r="K2962">
        <v>90463345</v>
      </c>
      <c r="L2962">
        <v>90541589</v>
      </c>
      <c r="M2962">
        <v>73725602</v>
      </c>
      <c r="N2962">
        <v>44719127</v>
      </c>
      <c r="O2962">
        <v>28778172</v>
      </c>
      <c r="P2962">
        <v>147</v>
      </c>
      <c r="Q2962" t="s">
        <v>6253</v>
      </c>
    </row>
    <row r="2963" spans="1:17" x14ac:dyDescent="0.3">
      <c r="A2963" t="s">
        <v>73</v>
      </c>
      <c r="B2963" t="str">
        <f>"002069"</f>
        <v>002069</v>
      </c>
      <c r="C2963" t="s">
        <v>6254</v>
      </c>
      <c r="D2963" t="s">
        <v>3754</v>
      </c>
      <c r="E2963">
        <v>237336438</v>
      </c>
      <c r="F2963">
        <v>237255592</v>
      </c>
      <c r="G2963">
        <v>289434759</v>
      </c>
      <c r="H2963">
        <v>392868609</v>
      </c>
      <c r="I2963">
        <v>404898737</v>
      </c>
      <c r="J2963">
        <v>366598481</v>
      </c>
      <c r="K2963">
        <v>266480833</v>
      </c>
      <c r="L2963">
        <v>194787365</v>
      </c>
      <c r="M2963">
        <v>186938706</v>
      </c>
      <c r="N2963">
        <v>172246291</v>
      </c>
      <c r="O2963">
        <v>161431080</v>
      </c>
      <c r="P2963">
        <v>406</v>
      </c>
      <c r="Q2963" t="s">
        <v>6255</v>
      </c>
    </row>
    <row r="2964" spans="1:17" x14ac:dyDescent="0.3">
      <c r="A2964" t="s">
        <v>73</v>
      </c>
      <c r="B2964" t="str">
        <f>"002136"</f>
        <v>002136</v>
      </c>
      <c r="C2964" t="s">
        <v>6256</v>
      </c>
      <c r="D2964" t="s">
        <v>1162</v>
      </c>
      <c r="E2964">
        <v>237323413</v>
      </c>
      <c r="F2964">
        <v>166505505</v>
      </c>
      <c r="G2964">
        <v>132682461</v>
      </c>
      <c r="H2964">
        <v>137228500</v>
      </c>
      <c r="I2964">
        <v>81124602</v>
      </c>
      <c r="J2964">
        <v>46398213</v>
      </c>
      <c r="K2964">
        <v>93724051</v>
      </c>
      <c r="L2964">
        <v>77483038</v>
      </c>
      <c r="M2964">
        <v>65881660</v>
      </c>
      <c r="N2964">
        <v>39897526</v>
      </c>
      <c r="O2964">
        <v>14112986</v>
      </c>
      <c r="P2964">
        <v>131</v>
      </c>
      <c r="Q2964" t="s">
        <v>6257</v>
      </c>
    </row>
    <row r="2965" spans="1:17" x14ac:dyDescent="0.3">
      <c r="A2965" t="s">
        <v>17</v>
      </c>
      <c r="B2965" t="str">
        <f>"603165"</f>
        <v>603165</v>
      </c>
      <c r="C2965" t="s">
        <v>6258</v>
      </c>
      <c r="D2965" t="s">
        <v>644</v>
      </c>
      <c r="E2965">
        <v>237321189</v>
      </c>
      <c r="F2965">
        <v>175958691</v>
      </c>
      <c r="G2965">
        <v>152019249</v>
      </c>
      <c r="H2965">
        <v>177074603</v>
      </c>
      <c r="I2965">
        <v>167610743</v>
      </c>
      <c r="J2965">
        <v>166690085</v>
      </c>
      <c r="P2965">
        <v>587</v>
      </c>
      <c r="Q2965" t="s">
        <v>6259</v>
      </c>
    </row>
    <row r="2966" spans="1:17" x14ac:dyDescent="0.3">
      <c r="A2966" t="s">
        <v>73</v>
      </c>
      <c r="B2966" t="str">
        <f>"300403"</f>
        <v>300403</v>
      </c>
      <c r="C2966" t="s">
        <v>6260</v>
      </c>
      <c r="D2966" t="s">
        <v>654</v>
      </c>
      <c r="E2966">
        <v>237181018</v>
      </c>
      <c r="F2966">
        <v>229002639</v>
      </c>
      <c r="G2966">
        <v>176635770</v>
      </c>
      <c r="H2966">
        <v>192545960</v>
      </c>
      <c r="I2966">
        <v>153533876</v>
      </c>
      <c r="J2966">
        <v>148125788</v>
      </c>
      <c r="K2966">
        <v>133519224</v>
      </c>
      <c r="L2966">
        <v>140162652</v>
      </c>
      <c r="M2966">
        <v>0</v>
      </c>
      <c r="P2966">
        <v>253</v>
      </c>
      <c r="Q2966" t="s">
        <v>6261</v>
      </c>
    </row>
    <row r="2967" spans="1:17" x14ac:dyDescent="0.3">
      <c r="A2967" t="s">
        <v>17</v>
      </c>
      <c r="B2967" t="str">
        <f>"603898"</f>
        <v>603898</v>
      </c>
      <c r="C2967" t="s">
        <v>6262</v>
      </c>
      <c r="D2967" t="s">
        <v>2533</v>
      </c>
      <c r="E2967">
        <v>237157939</v>
      </c>
      <c r="F2967">
        <v>148915915</v>
      </c>
      <c r="G2967">
        <v>31148123</v>
      </c>
      <c r="H2967">
        <v>40148326</v>
      </c>
      <c r="I2967">
        <v>16559475</v>
      </c>
      <c r="J2967">
        <v>8414703</v>
      </c>
      <c r="K2967">
        <v>6807649</v>
      </c>
      <c r="L2967">
        <v>11775730</v>
      </c>
      <c r="M2967">
        <v>0</v>
      </c>
      <c r="P2967">
        <v>835</v>
      </c>
      <c r="Q2967" t="s">
        <v>6263</v>
      </c>
    </row>
    <row r="2968" spans="1:17" x14ac:dyDescent="0.3">
      <c r="A2968" t="s">
        <v>17</v>
      </c>
      <c r="B2968" t="str">
        <f>"603767"</f>
        <v>603767</v>
      </c>
      <c r="C2968" t="s">
        <v>6264</v>
      </c>
      <c r="D2968" t="s">
        <v>122</v>
      </c>
      <c r="E2968">
        <v>236806786</v>
      </c>
      <c r="F2968">
        <v>237871580</v>
      </c>
      <c r="G2968">
        <v>178359878</v>
      </c>
      <c r="H2968">
        <v>248300374</v>
      </c>
      <c r="I2968">
        <v>215039375</v>
      </c>
      <c r="J2968">
        <v>214551523</v>
      </c>
      <c r="K2968">
        <v>0</v>
      </c>
      <c r="P2968">
        <v>80</v>
      </c>
      <c r="Q2968" t="s">
        <v>6265</v>
      </c>
    </row>
    <row r="2969" spans="1:17" x14ac:dyDescent="0.3">
      <c r="A2969" t="s">
        <v>73</v>
      </c>
      <c r="B2969" t="str">
        <f>"002690"</f>
        <v>002690</v>
      </c>
      <c r="C2969" t="s">
        <v>6266</v>
      </c>
      <c r="D2969" t="s">
        <v>1451</v>
      </c>
      <c r="E2969">
        <v>236760516</v>
      </c>
      <c r="F2969">
        <v>277148413</v>
      </c>
      <c r="G2969">
        <v>238862182</v>
      </c>
      <c r="H2969">
        <v>230497213</v>
      </c>
      <c r="I2969">
        <v>186453961</v>
      </c>
      <c r="J2969">
        <v>199386207</v>
      </c>
      <c r="K2969">
        <v>275219977</v>
      </c>
      <c r="L2969">
        <v>124595694</v>
      </c>
      <c r="M2969">
        <v>70066440</v>
      </c>
      <c r="N2969">
        <v>35838747</v>
      </c>
      <c r="O2969">
        <v>0</v>
      </c>
      <c r="P2969">
        <v>3632</v>
      </c>
      <c r="Q2969" t="s">
        <v>6267</v>
      </c>
    </row>
    <row r="2970" spans="1:17" x14ac:dyDescent="0.3">
      <c r="A2970" t="s">
        <v>17</v>
      </c>
      <c r="B2970" t="str">
        <f>"688308"</f>
        <v>688308</v>
      </c>
      <c r="C2970" t="s">
        <v>6268</v>
      </c>
      <c r="D2970" t="s">
        <v>146</v>
      </c>
      <c r="E2970">
        <v>236623900</v>
      </c>
      <c r="F2970">
        <v>183363976</v>
      </c>
      <c r="P2970">
        <v>91</v>
      </c>
      <c r="Q2970" t="s">
        <v>6269</v>
      </c>
    </row>
    <row r="2971" spans="1:17" x14ac:dyDescent="0.3">
      <c r="A2971" t="s">
        <v>17</v>
      </c>
      <c r="B2971" t="str">
        <f>"603602"</f>
        <v>603602</v>
      </c>
      <c r="C2971" t="s">
        <v>6270</v>
      </c>
      <c r="D2971" t="s">
        <v>853</v>
      </c>
      <c r="E2971">
        <v>236592606</v>
      </c>
      <c r="F2971">
        <v>360048886</v>
      </c>
      <c r="G2971">
        <v>284419132</v>
      </c>
      <c r="H2971">
        <v>243103538</v>
      </c>
      <c r="I2971">
        <v>168085320</v>
      </c>
      <c r="P2971">
        <v>193</v>
      </c>
      <c r="Q2971" t="s">
        <v>6271</v>
      </c>
    </row>
    <row r="2972" spans="1:17" x14ac:dyDescent="0.3">
      <c r="A2972" t="s">
        <v>17</v>
      </c>
      <c r="B2972" t="str">
        <f>"600078"</f>
        <v>600078</v>
      </c>
      <c r="C2972" t="s">
        <v>6272</v>
      </c>
      <c r="D2972" t="s">
        <v>1137</v>
      </c>
      <c r="E2972">
        <v>236495389</v>
      </c>
      <c r="F2972">
        <v>200126686</v>
      </c>
      <c r="G2972">
        <v>268420639</v>
      </c>
      <c r="H2972">
        <v>234638957</v>
      </c>
      <c r="I2972">
        <v>195648406</v>
      </c>
      <c r="J2972">
        <v>190719842</v>
      </c>
      <c r="K2972">
        <v>136344774</v>
      </c>
      <c r="L2972">
        <v>122520697</v>
      </c>
      <c r="M2972">
        <v>100305239</v>
      </c>
      <c r="N2972">
        <v>90672319</v>
      </c>
      <c r="O2972">
        <v>112931024</v>
      </c>
      <c r="P2972">
        <v>85</v>
      </c>
      <c r="Q2972" t="s">
        <v>6273</v>
      </c>
    </row>
    <row r="2973" spans="1:17" x14ac:dyDescent="0.3">
      <c r="A2973" t="s">
        <v>73</v>
      </c>
      <c r="B2973" t="str">
        <f>"300298"</f>
        <v>300298</v>
      </c>
      <c r="C2973" t="s">
        <v>6274</v>
      </c>
      <c r="D2973" t="s">
        <v>692</v>
      </c>
      <c r="E2973">
        <v>236433317</v>
      </c>
      <c r="F2973">
        <v>292664560</v>
      </c>
      <c r="G2973">
        <v>324514566</v>
      </c>
      <c r="H2973">
        <v>292130897</v>
      </c>
      <c r="I2973">
        <v>254138757</v>
      </c>
      <c r="J2973">
        <v>190389824</v>
      </c>
      <c r="K2973">
        <v>119905370</v>
      </c>
      <c r="L2973">
        <v>106469096</v>
      </c>
      <c r="M2973">
        <v>54734950</v>
      </c>
      <c r="N2973">
        <v>39604413</v>
      </c>
      <c r="O2973">
        <v>19364895</v>
      </c>
      <c r="P2973">
        <v>619</v>
      </c>
      <c r="Q2973" t="s">
        <v>6275</v>
      </c>
    </row>
    <row r="2974" spans="1:17" x14ac:dyDescent="0.3">
      <c r="A2974" t="s">
        <v>73</v>
      </c>
      <c r="B2974" t="str">
        <f>"002232"</f>
        <v>002232</v>
      </c>
      <c r="C2974" t="s">
        <v>6276</v>
      </c>
      <c r="D2974" t="s">
        <v>302</v>
      </c>
      <c r="E2974">
        <v>236326659</v>
      </c>
      <c r="F2974">
        <v>259287636</v>
      </c>
      <c r="G2974">
        <v>275326924</v>
      </c>
      <c r="H2974">
        <v>357861437</v>
      </c>
      <c r="I2974">
        <v>275715701</v>
      </c>
      <c r="J2974">
        <v>221419485</v>
      </c>
      <c r="K2974">
        <v>192429195</v>
      </c>
      <c r="L2974">
        <v>214651214</v>
      </c>
      <c r="M2974">
        <v>172117478</v>
      </c>
      <c r="N2974">
        <v>163716488</v>
      </c>
      <c r="O2974">
        <v>150381880</v>
      </c>
      <c r="P2974">
        <v>247</v>
      </c>
      <c r="Q2974" t="s">
        <v>6277</v>
      </c>
    </row>
    <row r="2975" spans="1:17" x14ac:dyDescent="0.3">
      <c r="A2975" t="s">
        <v>73</v>
      </c>
      <c r="B2975" t="str">
        <f>"300758"</f>
        <v>300758</v>
      </c>
      <c r="C2975" t="s">
        <v>6278</v>
      </c>
      <c r="D2975" t="s">
        <v>3072</v>
      </c>
      <c r="E2975">
        <v>236152514</v>
      </c>
      <c r="F2975">
        <v>235522156</v>
      </c>
      <c r="G2975">
        <v>152651388</v>
      </c>
      <c r="H2975">
        <v>97170476</v>
      </c>
      <c r="I2975">
        <v>0</v>
      </c>
      <c r="P2975">
        <v>104</v>
      </c>
      <c r="Q2975" t="s">
        <v>6279</v>
      </c>
    </row>
    <row r="2976" spans="1:17" x14ac:dyDescent="0.3">
      <c r="A2976" t="s">
        <v>17</v>
      </c>
      <c r="B2976" t="str">
        <f>"600880"</f>
        <v>600880</v>
      </c>
      <c r="C2976" t="s">
        <v>6280</v>
      </c>
      <c r="D2976" t="s">
        <v>6281</v>
      </c>
      <c r="E2976">
        <v>235876958</v>
      </c>
      <c r="F2976">
        <v>180432279</v>
      </c>
      <c r="G2976">
        <v>102774527</v>
      </c>
      <c r="H2976">
        <v>90201734</v>
      </c>
      <c r="I2976">
        <v>154423096</v>
      </c>
      <c r="J2976">
        <v>220722906</v>
      </c>
      <c r="K2976">
        <v>275900740</v>
      </c>
      <c r="L2976">
        <v>333947297</v>
      </c>
      <c r="M2976">
        <v>245945856</v>
      </c>
      <c r="N2976">
        <v>151319549</v>
      </c>
      <c r="O2976">
        <v>119526558</v>
      </c>
      <c r="P2976">
        <v>314</v>
      </c>
      <c r="Q2976" t="s">
        <v>6282</v>
      </c>
    </row>
    <row r="2977" spans="1:17" x14ac:dyDescent="0.3">
      <c r="A2977" t="s">
        <v>73</v>
      </c>
      <c r="B2977" t="str">
        <f>"300501"</f>
        <v>300501</v>
      </c>
      <c r="C2977" t="s">
        <v>6283</v>
      </c>
      <c r="D2977" t="s">
        <v>5851</v>
      </c>
      <c r="E2977">
        <v>235707552</v>
      </c>
      <c r="F2977">
        <v>245873325</v>
      </c>
      <c r="G2977">
        <v>179348826</v>
      </c>
      <c r="H2977">
        <v>197700221</v>
      </c>
      <c r="I2977">
        <v>141321420</v>
      </c>
      <c r="J2977">
        <v>109439341</v>
      </c>
      <c r="K2977">
        <v>88099431</v>
      </c>
      <c r="L2977">
        <v>0</v>
      </c>
      <c r="P2977">
        <v>131</v>
      </c>
      <c r="Q2977" t="s">
        <v>6284</v>
      </c>
    </row>
    <row r="2978" spans="1:17" x14ac:dyDescent="0.3">
      <c r="A2978" t="s">
        <v>17</v>
      </c>
      <c r="B2978" t="str">
        <f>"603912"</f>
        <v>603912</v>
      </c>
      <c r="C2978" t="s">
        <v>6285</v>
      </c>
      <c r="D2978" t="s">
        <v>2227</v>
      </c>
      <c r="E2978">
        <v>235665609</v>
      </c>
      <c r="F2978">
        <v>294072831</v>
      </c>
      <c r="G2978">
        <v>233292093</v>
      </c>
      <c r="H2978">
        <v>190062502</v>
      </c>
      <c r="I2978">
        <v>168028419</v>
      </c>
      <c r="P2978">
        <v>286</v>
      </c>
      <c r="Q2978" t="s">
        <v>6286</v>
      </c>
    </row>
    <row r="2979" spans="1:17" x14ac:dyDescent="0.3">
      <c r="A2979" t="s">
        <v>17</v>
      </c>
      <c r="B2979" t="str">
        <f>"688018"</f>
        <v>688018</v>
      </c>
      <c r="C2979" t="s">
        <v>6287</v>
      </c>
      <c r="D2979" t="s">
        <v>890</v>
      </c>
      <c r="E2979">
        <v>235629926</v>
      </c>
      <c r="F2979">
        <v>186151318</v>
      </c>
      <c r="G2979">
        <v>112973592</v>
      </c>
      <c r="H2979">
        <v>76342089</v>
      </c>
      <c r="P2979">
        <v>317</v>
      </c>
      <c r="Q2979" t="s">
        <v>6288</v>
      </c>
    </row>
    <row r="2980" spans="1:17" x14ac:dyDescent="0.3">
      <c r="A2980" t="s">
        <v>73</v>
      </c>
      <c r="B2980" t="str">
        <f>"300127"</f>
        <v>300127</v>
      </c>
      <c r="C2980" t="s">
        <v>6289</v>
      </c>
      <c r="D2980" t="s">
        <v>1142</v>
      </c>
      <c r="E2980">
        <v>235389504</v>
      </c>
      <c r="F2980">
        <v>194989688</v>
      </c>
      <c r="G2980">
        <v>158884730</v>
      </c>
      <c r="H2980">
        <v>162847128</v>
      </c>
      <c r="I2980">
        <v>150423085</v>
      </c>
      <c r="J2980">
        <v>130796743</v>
      </c>
      <c r="K2980">
        <v>101861731</v>
      </c>
      <c r="L2980">
        <v>93826792</v>
      </c>
      <c r="M2980">
        <v>96071523</v>
      </c>
      <c r="N2980">
        <v>100462031</v>
      </c>
      <c r="O2980">
        <v>106702058</v>
      </c>
      <c r="P2980">
        <v>205</v>
      </c>
      <c r="Q2980" t="s">
        <v>6290</v>
      </c>
    </row>
    <row r="2981" spans="1:17" x14ac:dyDescent="0.3">
      <c r="A2981" t="s">
        <v>73</v>
      </c>
      <c r="B2981" t="str">
        <f>"002763"</f>
        <v>002763</v>
      </c>
      <c r="C2981" t="s">
        <v>6291</v>
      </c>
      <c r="D2981" t="s">
        <v>2601</v>
      </c>
      <c r="E2981">
        <v>235198680</v>
      </c>
      <c r="F2981">
        <v>252981306</v>
      </c>
      <c r="G2981">
        <v>164652405</v>
      </c>
      <c r="H2981">
        <v>259303226</v>
      </c>
      <c r="I2981">
        <v>247719324</v>
      </c>
      <c r="J2981">
        <v>198653668</v>
      </c>
      <c r="K2981">
        <v>261478929</v>
      </c>
      <c r="L2981">
        <v>261063285</v>
      </c>
      <c r="M2981">
        <v>0</v>
      </c>
      <c r="P2981">
        <v>293</v>
      </c>
      <c r="Q2981" t="s">
        <v>6292</v>
      </c>
    </row>
    <row r="2982" spans="1:17" x14ac:dyDescent="0.3">
      <c r="A2982" t="s">
        <v>17</v>
      </c>
      <c r="B2982" t="str">
        <f>"688110"</f>
        <v>688110</v>
      </c>
      <c r="C2982" t="s">
        <v>6293</v>
      </c>
      <c r="D2982" t="s">
        <v>890</v>
      </c>
      <c r="E2982">
        <v>234887707</v>
      </c>
      <c r="P2982">
        <v>28</v>
      </c>
      <c r="Q2982" t="s">
        <v>6294</v>
      </c>
    </row>
    <row r="2983" spans="1:17" x14ac:dyDescent="0.3">
      <c r="A2983" t="s">
        <v>17</v>
      </c>
      <c r="B2983" t="str">
        <f>"603727"</f>
        <v>603727</v>
      </c>
      <c r="C2983" t="s">
        <v>6295</v>
      </c>
      <c r="D2983" t="s">
        <v>275</v>
      </c>
      <c r="E2983">
        <v>234743130</v>
      </c>
      <c r="F2983">
        <v>207119721</v>
      </c>
      <c r="G2983">
        <v>296976766</v>
      </c>
      <c r="H2983">
        <v>115388917</v>
      </c>
      <c r="I2983">
        <v>135992100</v>
      </c>
      <c r="J2983">
        <v>52698564</v>
      </c>
      <c r="P2983">
        <v>123</v>
      </c>
      <c r="Q2983" t="s">
        <v>6296</v>
      </c>
    </row>
    <row r="2984" spans="1:17" x14ac:dyDescent="0.3">
      <c r="A2984" t="s">
        <v>17</v>
      </c>
      <c r="B2984" t="str">
        <f>"688032"</f>
        <v>688032</v>
      </c>
      <c r="C2984" t="s">
        <v>6297</v>
      </c>
      <c r="D2984" t="s">
        <v>351</v>
      </c>
      <c r="E2984">
        <v>234628631</v>
      </c>
      <c r="P2984">
        <v>31</v>
      </c>
      <c r="Q2984" t="s">
        <v>6298</v>
      </c>
    </row>
    <row r="2985" spans="1:17" x14ac:dyDescent="0.3">
      <c r="A2985" t="s">
        <v>17</v>
      </c>
      <c r="B2985" t="str">
        <f>"603032"</f>
        <v>603032</v>
      </c>
      <c r="C2985" t="s">
        <v>6299</v>
      </c>
      <c r="D2985" t="s">
        <v>4964</v>
      </c>
      <c r="E2985">
        <v>234608951</v>
      </c>
      <c r="F2985">
        <v>7889716</v>
      </c>
      <c r="G2985">
        <v>8141130</v>
      </c>
      <c r="H2985">
        <v>0</v>
      </c>
      <c r="I2985">
        <v>8226120</v>
      </c>
      <c r="J2985">
        <v>11393814</v>
      </c>
      <c r="P2985">
        <v>73</v>
      </c>
      <c r="Q2985" t="s">
        <v>6300</v>
      </c>
    </row>
    <row r="2986" spans="1:17" x14ac:dyDescent="0.3">
      <c r="A2986" t="s">
        <v>17</v>
      </c>
      <c r="B2986" t="str">
        <f>"605258"</f>
        <v>605258</v>
      </c>
      <c r="C2986" t="s">
        <v>6301</v>
      </c>
      <c r="D2986" t="s">
        <v>418</v>
      </c>
      <c r="E2986">
        <v>234554274</v>
      </c>
      <c r="F2986">
        <v>233898687</v>
      </c>
      <c r="P2986">
        <v>51</v>
      </c>
      <c r="Q2986" t="s">
        <v>6302</v>
      </c>
    </row>
    <row r="2987" spans="1:17" x14ac:dyDescent="0.3">
      <c r="A2987" t="s">
        <v>17</v>
      </c>
      <c r="B2987" t="str">
        <f>"688377"</f>
        <v>688377</v>
      </c>
      <c r="C2987" t="s">
        <v>6303</v>
      </c>
      <c r="D2987" t="s">
        <v>311</v>
      </c>
      <c r="E2987">
        <v>234473518</v>
      </c>
      <c r="F2987">
        <v>177278812</v>
      </c>
      <c r="G2987">
        <v>200852218</v>
      </c>
      <c r="P2987">
        <v>52</v>
      </c>
      <c r="Q2987" t="s">
        <v>6304</v>
      </c>
    </row>
    <row r="2988" spans="1:17" x14ac:dyDescent="0.3">
      <c r="A2988" t="s">
        <v>73</v>
      </c>
      <c r="B2988" t="str">
        <f>"000677"</f>
        <v>000677</v>
      </c>
      <c r="C2988" t="s">
        <v>6305</v>
      </c>
      <c r="D2988" t="s">
        <v>3596</v>
      </c>
      <c r="E2988">
        <v>234468397</v>
      </c>
      <c r="F2988">
        <v>159373576</v>
      </c>
      <c r="G2988">
        <v>133599090</v>
      </c>
      <c r="H2988">
        <v>183577142</v>
      </c>
      <c r="I2988">
        <v>156515889</v>
      </c>
      <c r="J2988">
        <v>117578233</v>
      </c>
      <c r="K2988">
        <v>109320904</v>
      </c>
      <c r="L2988">
        <v>145348411</v>
      </c>
      <c r="M2988">
        <v>137091539</v>
      </c>
      <c r="N2988">
        <v>161692739</v>
      </c>
      <c r="O2988">
        <v>243026345</v>
      </c>
      <c r="P2988">
        <v>80</v>
      </c>
      <c r="Q2988" t="s">
        <v>6306</v>
      </c>
    </row>
    <row r="2989" spans="1:17" x14ac:dyDescent="0.3">
      <c r="A2989" t="s">
        <v>17</v>
      </c>
      <c r="B2989" t="str">
        <f>"600289"</f>
        <v>600289</v>
      </c>
      <c r="C2989" t="s">
        <v>6307</v>
      </c>
      <c r="D2989" t="s">
        <v>853</v>
      </c>
      <c r="E2989">
        <v>234451461</v>
      </c>
      <c r="F2989">
        <v>184864769</v>
      </c>
      <c r="G2989">
        <v>416088822</v>
      </c>
      <c r="H2989">
        <v>491743380</v>
      </c>
      <c r="I2989">
        <v>458754104</v>
      </c>
      <c r="J2989">
        <v>652132446</v>
      </c>
      <c r="K2989">
        <v>552689227</v>
      </c>
      <c r="L2989">
        <v>537528091</v>
      </c>
      <c r="M2989">
        <v>452574281</v>
      </c>
      <c r="N2989">
        <v>505720321</v>
      </c>
      <c r="O2989">
        <v>505463871</v>
      </c>
      <c r="P2989">
        <v>74</v>
      </c>
      <c r="Q2989" t="s">
        <v>6308</v>
      </c>
    </row>
    <row r="2990" spans="1:17" x14ac:dyDescent="0.3">
      <c r="A2990" t="s">
        <v>17</v>
      </c>
      <c r="B2990" t="str">
        <f>"688466"</f>
        <v>688466</v>
      </c>
      <c r="C2990" t="s">
        <v>6309</v>
      </c>
      <c r="D2990" t="s">
        <v>308</v>
      </c>
      <c r="E2990">
        <v>234322861</v>
      </c>
      <c r="F2990">
        <v>251912902</v>
      </c>
      <c r="G2990">
        <v>148177057</v>
      </c>
      <c r="P2990">
        <v>60</v>
      </c>
      <c r="Q2990" t="s">
        <v>6310</v>
      </c>
    </row>
    <row r="2991" spans="1:17" x14ac:dyDescent="0.3">
      <c r="A2991" t="s">
        <v>73</v>
      </c>
      <c r="B2991" t="str">
        <f>"003028"</f>
        <v>003028</v>
      </c>
      <c r="C2991" t="s">
        <v>6311</v>
      </c>
      <c r="D2991" t="s">
        <v>42</v>
      </c>
      <c r="E2991">
        <v>234161409</v>
      </c>
      <c r="F2991">
        <v>311276406</v>
      </c>
      <c r="P2991">
        <v>83</v>
      </c>
      <c r="Q2991" t="s">
        <v>6312</v>
      </c>
    </row>
    <row r="2992" spans="1:17" x14ac:dyDescent="0.3">
      <c r="A2992" t="s">
        <v>73</v>
      </c>
      <c r="B2992" t="str">
        <f>"300562"</f>
        <v>300562</v>
      </c>
      <c r="C2992" t="s">
        <v>6313</v>
      </c>
      <c r="D2992" t="s">
        <v>692</v>
      </c>
      <c r="E2992">
        <v>234069180</v>
      </c>
      <c r="F2992">
        <v>207053648</v>
      </c>
      <c r="G2992">
        <v>137096177</v>
      </c>
      <c r="H2992">
        <v>132490922</v>
      </c>
      <c r="I2992">
        <v>88584733</v>
      </c>
      <c r="J2992">
        <v>75484517</v>
      </c>
      <c r="K2992">
        <v>0</v>
      </c>
      <c r="P2992">
        <v>155</v>
      </c>
      <c r="Q2992" t="s">
        <v>6314</v>
      </c>
    </row>
    <row r="2993" spans="1:17" x14ac:dyDescent="0.3">
      <c r="A2993" t="s">
        <v>73</v>
      </c>
      <c r="B2993" t="str">
        <f>"002581"</f>
        <v>002581</v>
      </c>
      <c r="C2993" t="s">
        <v>6315</v>
      </c>
      <c r="D2993" t="s">
        <v>1505</v>
      </c>
      <c r="E2993">
        <v>234051579</v>
      </c>
      <c r="F2993">
        <v>304823787</v>
      </c>
      <c r="G2993">
        <v>437759674</v>
      </c>
      <c r="H2993">
        <v>460912124</v>
      </c>
      <c r="I2993">
        <v>451689447</v>
      </c>
      <c r="J2993">
        <v>486661099</v>
      </c>
      <c r="K2993">
        <v>359274863</v>
      </c>
      <c r="L2993">
        <v>49936713</v>
      </c>
      <c r="M2993">
        <v>39556506</v>
      </c>
      <c r="N2993">
        <v>32779245</v>
      </c>
      <c r="O2993">
        <v>31704467</v>
      </c>
      <c r="P2993">
        <v>228</v>
      </c>
      <c r="Q2993" t="s">
        <v>6316</v>
      </c>
    </row>
    <row r="2994" spans="1:17" x14ac:dyDescent="0.3">
      <c r="A2994" t="s">
        <v>17</v>
      </c>
      <c r="B2994" t="str">
        <f>"600234"</f>
        <v>600234</v>
      </c>
      <c r="C2994" t="s">
        <v>6317</v>
      </c>
      <c r="D2994" t="s">
        <v>466</v>
      </c>
      <c r="E2994">
        <v>233927306</v>
      </c>
      <c r="F2994">
        <v>231846138</v>
      </c>
      <c r="G2994">
        <v>31575943</v>
      </c>
      <c r="H2994">
        <v>25008065</v>
      </c>
      <c r="I2994">
        <v>2160923</v>
      </c>
      <c r="J2994">
        <v>2679564</v>
      </c>
      <c r="K2994">
        <v>4054818</v>
      </c>
      <c r="L2994">
        <v>17443</v>
      </c>
      <c r="M2994">
        <v>53438</v>
      </c>
      <c r="N2994">
        <v>126458</v>
      </c>
      <c r="O2994">
        <v>7150947</v>
      </c>
      <c r="P2994">
        <v>59</v>
      </c>
      <c r="Q2994" t="s">
        <v>6318</v>
      </c>
    </row>
    <row r="2995" spans="1:17" x14ac:dyDescent="0.3">
      <c r="A2995" t="s">
        <v>17</v>
      </c>
      <c r="B2995" t="str">
        <f>"600307"</f>
        <v>600307</v>
      </c>
      <c r="C2995" t="s">
        <v>6319</v>
      </c>
      <c r="D2995" t="s">
        <v>221</v>
      </c>
      <c r="E2995">
        <v>233783257</v>
      </c>
      <c r="F2995">
        <v>185055202</v>
      </c>
      <c r="G2995">
        <v>183960427</v>
      </c>
      <c r="H2995">
        <v>348900867</v>
      </c>
      <c r="I2995">
        <v>267152152</v>
      </c>
      <c r="J2995">
        <v>246179104</v>
      </c>
      <c r="K2995">
        <v>827285527</v>
      </c>
      <c r="L2995">
        <v>513624791</v>
      </c>
      <c r="M2995">
        <v>297559236</v>
      </c>
      <c r="N2995">
        <v>360315380</v>
      </c>
      <c r="O2995">
        <v>262296102</v>
      </c>
      <c r="P2995">
        <v>211</v>
      </c>
      <c r="Q2995" t="s">
        <v>6320</v>
      </c>
    </row>
    <row r="2996" spans="1:17" x14ac:dyDescent="0.3">
      <c r="A2996" t="s">
        <v>73</v>
      </c>
      <c r="B2996" t="str">
        <f>"300112"</f>
        <v>300112</v>
      </c>
      <c r="C2996" t="s">
        <v>6321</v>
      </c>
      <c r="D2996" t="s">
        <v>2280</v>
      </c>
      <c r="E2996">
        <v>233768849</v>
      </c>
      <c r="F2996">
        <v>211196235</v>
      </c>
      <c r="G2996">
        <v>199097236</v>
      </c>
      <c r="H2996">
        <v>195902459</v>
      </c>
      <c r="I2996">
        <v>186075926</v>
      </c>
      <c r="J2996">
        <v>147747280</v>
      </c>
      <c r="K2996">
        <v>161345683</v>
      </c>
      <c r="L2996">
        <v>79672462</v>
      </c>
      <c r="M2996">
        <v>85044059</v>
      </c>
      <c r="N2996">
        <v>72790051</v>
      </c>
      <c r="O2996">
        <v>34524477</v>
      </c>
      <c r="P2996">
        <v>123</v>
      </c>
      <c r="Q2996" t="s">
        <v>6322</v>
      </c>
    </row>
    <row r="2997" spans="1:17" x14ac:dyDescent="0.3">
      <c r="A2997" t="s">
        <v>17</v>
      </c>
      <c r="B2997" t="str">
        <f>"688575"</f>
        <v>688575</v>
      </c>
      <c r="C2997" t="s">
        <v>6323</v>
      </c>
      <c r="D2997" t="s">
        <v>773</v>
      </c>
      <c r="E2997">
        <v>233328922</v>
      </c>
      <c r="F2997">
        <v>208061618</v>
      </c>
      <c r="P2997">
        <v>46</v>
      </c>
      <c r="Q2997" t="s">
        <v>6324</v>
      </c>
    </row>
    <row r="2998" spans="1:17" x14ac:dyDescent="0.3">
      <c r="A2998" t="s">
        <v>17</v>
      </c>
      <c r="B2998" t="str">
        <f>"600439"</f>
        <v>600439</v>
      </c>
      <c r="C2998" t="s">
        <v>6325</v>
      </c>
      <c r="D2998" t="s">
        <v>6326</v>
      </c>
      <c r="E2998">
        <v>233169330</v>
      </c>
      <c r="F2998">
        <v>267131618</v>
      </c>
      <c r="G2998">
        <v>247773395</v>
      </c>
      <c r="H2998">
        <v>168642502</v>
      </c>
      <c r="I2998">
        <v>228472574</v>
      </c>
      <c r="J2998">
        <v>214809385</v>
      </c>
      <c r="K2998">
        <v>318567729</v>
      </c>
      <c r="L2998">
        <v>314777314</v>
      </c>
      <c r="M2998">
        <v>270493674</v>
      </c>
      <c r="N2998">
        <v>295797566</v>
      </c>
      <c r="O2998">
        <v>316413723</v>
      </c>
      <c r="P2998">
        <v>186</v>
      </c>
      <c r="Q2998" t="s">
        <v>6327</v>
      </c>
    </row>
    <row r="2999" spans="1:17" x14ac:dyDescent="0.3">
      <c r="A2999" t="s">
        <v>73</v>
      </c>
      <c r="B2999" t="str">
        <f>"300868"</f>
        <v>300868</v>
      </c>
      <c r="C2999" t="s">
        <v>6328</v>
      </c>
      <c r="D2999" t="s">
        <v>651</v>
      </c>
      <c r="E2999">
        <v>233065416</v>
      </c>
      <c r="F2999">
        <v>203748903</v>
      </c>
      <c r="G2999">
        <v>0</v>
      </c>
      <c r="P2999">
        <v>40</v>
      </c>
      <c r="Q2999" t="s">
        <v>6329</v>
      </c>
    </row>
    <row r="3000" spans="1:17" x14ac:dyDescent="0.3">
      <c r="A3000" t="s">
        <v>73</v>
      </c>
      <c r="B3000" t="str">
        <f>"300043"</f>
        <v>300043</v>
      </c>
      <c r="C3000" t="s">
        <v>6330</v>
      </c>
      <c r="D3000" t="s">
        <v>899</v>
      </c>
      <c r="E3000">
        <v>232976651</v>
      </c>
      <c r="F3000">
        <v>253456402</v>
      </c>
      <c r="G3000">
        <v>513169291</v>
      </c>
      <c r="H3000">
        <v>533042912</v>
      </c>
      <c r="I3000">
        <v>399340552</v>
      </c>
      <c r="J3000">
        <v>379575041</v>
      </c>
      <c r="K3000">
        <v>273740190</v>
      </c>
      <c r="L3000">
        <v>366737145</v>
      </c>
      <c r="M3000">
        <v>81462298</v>
      </c>
      <c r="N3000">
        <v>36255855</v>
      </c>
      <c r="O3000">
        <v>37003943</v>
      </c>
      <c r="P3000">
        <v>183</v>
      </c>
      <c r="Q3000" t="s">
        <v>6331</v>
      </c>
    </row>
    <row r="3001" spans="1:17" x14ac:dyDescent="0.3">
      <c r="A3001" t="s">
        <v>73</v>
      </c>
      <c r="B3001" t="str">
        <f>"301086"</f>
        <v>301086</v>
      </c>
      <c r="C3001" t="s">
        <v>6332</v>
      </c>
      <c r="D3001" t="s">
        <v>42</v>
      </c>
      <c r="E3001">
        <v>232805651</v>
      </c>
      <c r="P3001">
        <v>28</v>
      </c>
      <c r="Q3001" t="s">
        <v>6333</v>
      </c>
    </row>
    <row r="3002" spans="1:17" x14ac:dyDescent="0.3">
      <c r="A3002" t="s">
        <v>73</v>
      </c>
      <c r="B3002" t="str">
        <f>"301213"</f>
        <v>301213</v>
      </c>
      <c r="C3002" t="s">
        <v>6334</v>
      </c>
      <c r="D3002" t="s">
        <v>502</v>
      </c>
      <c r="E3002">
        <v>232768749</v>
      </c>
      <c r="G3002">
        <v>86558664</v>
      </c>
      <c r="P3002">
        <v>16</v>
      </c>
      <c r="Q3002" t="s">
        <v>6335</v>
      </c>
    </row>
    <row r="3003" spans="1:17" x14ac:dyDescent="0.3">
      <c r="A3003" t="s">
        <v>73</v>
      </c>
      <c r="B3003" t="str">
        <f>"002673"</f>
        <v>002673</v>
      </c>
      <c r="C3003" t="s">
        <v>6336</v>
      </c>
      <c r="D3003" t="s">
        <v>53</v>
      </c>
      <c r="E3003">
        <v>232675092</v>
      </c>
      <c r="F3003">
        <v>125846039</v>
      </c>
      <c r="G3003">
        <v>82752668</v>
      </c>
      <c r="H3003">
        <v>871995057</v>
      </c>
      <c r="I3003">
        <v>634975030</v>
      </c>
      <c r="J3003">
        <v>417129033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1135</v>
      </c>
      <c r="Q3003" t="s">
        <v>6337</v>
      </c>
    </row>
    <row r="3004" spans="1:17" x14ac:dyDescent="0.3">
      <c r="A3004" t="s">
        <v>17</v>
      </c>
      <c r="B3004" t="str">
        <f>"600094"</f>
        <v>600094</v>
      </c>
      <c r="C3004" t="s">
        <v>6338</v>
      </c>
      <c r="D3004" t="s">
        <v>27</v>
      </c>
      <c r="E3004">
        <v>232610748</v>
      </c>
      <c r="F3004">
        <v>258340873</v>
      </c>
      <c r="G3004">
        <v>233737103</v>
      </c>
      <c r="H3004">
        <v>254911453</v>
      </c>
      <c r="I3004">
        <v>192779965</v>
      </c>
      <c r="J3004">
        <v>11855983</v>
      </c>
      <c r="K3004">
        <v>141914706</v>
      </c>
      <c r="L3004">
        <v>136006381</v>
      </c>
      <c r="M3004">
        <v>3340898</v>
      </c>
      <c r="N3004">
        <v>2390767</v>
      </c>
      <c r="O3004">
        <v>1833518</v>
      </c>
      <c r="P3004">
        <v>159</v>
      </c>
      <c r="Q3004" t="s">
        <v>6339</v>
      </c>
    </row>
    <row r="3005" spans="1:17" x14ac:dyDescent="0.3">
      <c r="A3005" t="s">
        <v>73</v>
      </c>
      <c r="B3005" t="str">
        <f>"300272"</f>
        <v>300272</v>
      </c>
      <c r="C3005" t="s">
        <v>6340</v>
      </c>
      <c r="D3005" t="s">
        <v>1186</v>
      </c>
      <c r="E3005">
        <v>232421351</v>
      </c>
      <c r="F3005">
        <v>177567468</v>
      </c>
      <c r="G3005">
        <v>136909563</v>
      </c>
      <c r="H3005">
        <v>112769218</v>
      </c>
      <c r="I3005">
        <v>130438331</v>
      </c>
      <c r="J3005">
        <v>131652193</v>
      </c>
      <c r="K3005">
        <v>117104210</v>
      </c>
      <c r="L3005">
        <v>59955452</v>
      </c>
      <c r="M3005">
        <v>47662457</v>
      </c>
      <c r="N3005">
        <v>37803057</v>
      </c>
      <c r="O3005">
        <v>27479928</v>
      </c>
      <c r="P3005">
        <v>131</v>
      </c>
      <c r="Q3005" t="s">
        <v>6341</v>
      </c>
    </row>
    <row r="3006" spans="1:17" x14ac:dyDescent="0.3">
      <c r="A3006" t="s">
        <v>17</v>
      </c>
      <c r="B3006" t="str">
        <f>"688306"</f>
        <v>688306</v>
      </c>
      <c r="C3006" t="s">
        <v>6342</v>
      </c>
      <c r="E3006">
        <v>231742006</v>
      </c>
      <c r="P3006">
        <v>3</v>
      </c>
      <c r="Q3006" t="s">
        <v>6343</v>
      </c>
    </row>
    <row r="3007" spans="1:17" x14ac:dyDescent="0.3">
      <c r="A3007" t="s">
        <v>73</v>
      </c>
      <c r="B3007" t="str">
        <f>"300703"</f>
        <v>300703</v>
      </c>
      <c r="C3007" t="s">
        <v>6344</v>
      </c>
      <c r="D3007" t="s">
        <v>770</v>
      </c>
      <c r="E3007">
        <v>231700598</v>
      </c>
      <c r="F3007">
        <v>275709604</v>
      </c>
      <c r="G3007">
        <v>105697120</v>
      </c>
      <c r="H3007">
        <v>132929740</v>
      </c>
      <c r="I3007">
        <v>99506196</v>
      </c>
      <c r="J3007">
        <v>0</v>
      </c>
      <c r="P3007">
        <v>109</v>
      </c>
      <c r="Q3007" t="s">
        <v>6345</v>
      </c>
    </row>
    <row r="3008" spans="1:17" x14ac:dyDescent="0.3">
      <c r="A3008" t="s">
        <v>17</v>
      </c>
      <c r="B3008" t="str">
        <f>"600675"</f>
        <v>600675</v>
      </c>
      <c r="C3008" t="s">
        <v>6346</v>
      </c>
      <c r="D3008" t="s">
        <v>27</v>
      </c>
      <c r="E3008">
        <v>231567689</v>
      </c>
      <c r="F3008">
        <v>144635861</v>
      </c>
      <c r="G3008">
        <v>159471728</v>
      </c>
      <c r="H3008">
        <v>114227339</v>
      </c>
      <c r="I3008">
        <v>186513352</v>
      </c>
      <c r="J3008">
        <v>57328324</v>
      </c>
      <c r="K3008">
        <v>9309138</v>
      </c>
      <c r="L3008">
        <v>8062363</v>
      </c>
      <c r="M3008">
        <v>14091328</v>
      </c>
      <c r="N3008">
        <v>10195161</v>
      </c>
      <c r="O3008">
        <v>126996384</v>
      </c>
      <c r="P3008">
        <v>186</v>
      </c>
      <c r="Q3008" t="s">
        <v>6347</v>
      </c>
    </row>
    <row r="3009" spans="1:17" x14ac:dyDescent="0.3">
      <c r="A3009" t="s">
        <v>17</v>
      </c>
      <c r="B3009" t="str">
        <f>"605566"</f>
        <v>605566</v>
      </c>
      <c r="C3009" t="s">
        <v>6348</v>
      </c>
      <c r="D3009" t="s">
        <v>1001</v>
      </c>
      <c r="E3009">
        <v>231343369</v>
      </c>
      <c r="P3009">
        <v>22</v>
      </c>
      <c r="Q3009" t="s">
        <v>6349</v>
      </c>
    </row>
    <row r="3010" spans="1:17" x14ac:dyDescent="0.3">
      <c r="A3010" t="s">
        <v>73</v>
      </c>
      <c r="B3010" t="str">
        <f>"300056"</f>
        <v>300056</v>
      </c>
      <c r="C3010" t="s">
        <v>6350</v>
      </c>
      <c r="D3010" t="s">
        <v>629</v>
      </c>
      <c r="E3010">
        <v>231178030</v>
      </c>
      <c r="F3010">
        <v>234622966</v>
      </c>
      <c r="G3010">
        <v>250531552</v>
      </c>
      <c r="H3010">
        <v>383217717</v>
      </c>
      <c r="I3010">
        <v>487238634</v>
      </c>
      <c r="J3010">
        <v>338852438</v>
      </c>
      <c r="K3010">
        <v>386407885</v>
      </c>
      <c r="L3010">
        <v>261040783</v>
      </c>
      <c r="M3010">
        <v>205412250</v>
      </c>
      <c r="N3010">
        <v>163124676</v>
      </c>
      <c r="O3010">
        <v>138228239</v>
      </c>
      <c r="P3010">
        <v>87</v>
      </c>
      <c r="Q3010" t="s">
        <v>6351</v>
      </c>
    </row>
    <row r="3011" spans="1:17" x14ac:dyDescent="0.3">
      <c r="A3011" t="s">
        <v>17</v>
      </c>
      <c r="B3011" t="str">
        <f>"605080"</f>
        <v>605080</v>
      </c>
      <c r="C3011" t="s">
        <v>6352</v>
      </c>
      <c r="D3011" t="s">
        <v>6353</v>
      </c>
      <c r="E3011">
        <v>231131825</v>
      </c>
      <c r="F3011">
        <v>158257052</v>
      </c>
      <c r="P3011">
        <v>47</v>
      </c>
      <c r="Q3011" t="s">
        <v>6354</v>
      </c>
    </row>
    <row r="3012" spans="1:17" x14ac:dyDescent="0.3">
      <c r="A3012" t="s">
        <v>17</v>
      </c>
      <c r="B3012" t="str">
        <f>"600538"</f>
        <v>600538</v>
      </c>
      <c r="C3012" t="s">
        <v>6355</v>
      </c>
      <c r="D3012" t="s">
        <v>50</v>
      </c>
      <c r="E3012">
        <v>230926550</v>
      </c>
      <c r="F3012">
        <v>208008058</v>
      </c>
      <c r="G3012">
        <v>167042612</v>
      </c>
      <c r="H3012">
        <v>160967000</v>
      </c>
      <c r="I3012">
        <v>171311128</v>
      </c>
      <c r="J3012">
        <v>229652160</v>
      </c>
      <c r="K3012">
        <v>192592433</v>
      </c>
      <c r="L3012">
        <v>146553918</v>
      </c>
      <c r="M3012">
        <v>118965108</v>
      </c>
      <c r="N3012">
        <v>108925467</v>
      </c>
      <c r="O3012">
        <v>113495781</v>
      </c>
      <c r="P3012">
        <v>69</v>
      </c>
      <c r="Q3012" t="s">
        <v>6356</v>
      </c>
    </row>
    <row r="3013" spans="1:17" x14ac:dyDescent="0.3">
      <c r="A3013" t="s">
        <v>17</v>
      </c>
      <c r="B3013" t="str">
        <f>"688157"</f>
        <v>688157</v>
      </c>
      <c r="C3013" t="s">
        <v>6357</v>
      </c>
      <c r="D3013" t="s">
        <v>3072</v>
      </c>
      <c r="E3013">
        <v>230674692</v>
      </c>
      <c r="F3013">
        <v>189146024</v>
      </c>
      <c r="G3013">
        <v>135740898</v>
      </c>
      <c r="P3013">
        <v>100</v>
      </c>
      <c r="Q3013" t="s">
        <v>6358</v>
      </c>
    </row>
    <row r="3014" spans="1:17" x14ac:dyDescent="0.3">
      <c r="A3014" t="s">
        <v>17</v>
      </c>
      <c r="B3014" t="str">
        <f>"603439"</f>
        <v>603439</v>
      </c>
      <c r="C3014" t="s">
        <v>6359</v>
      </c>
      <c r="D3014" t="s">
        <v>215</v>
      </c>
      <c r="E3014">
        <v>230483634</v>
      </c>
      <c r="F3014">
        <v>220614616</v>
      </c>
      <c r="G3014">
        <v>229516834</v>
      </c>
      <c r="P3014">
        <v>293</v>
      </c>
      <c r="Q3014" t="s">
        <v>6360</v>
      </c>
    </row>
    <row r="3015" spans="1:17" x14ac:dyDescent="0.3">
      <c r="A3015" t="s">
        <v>17</v>
      </c>
      <c r="B3015" t="str">
        <f>"603757"</f>
        <v>603757</v>
      </c>
      <c r="C3015" t="s">
        <v>6361</v>
      </c>
      <c r="D3015" t="s">
        <v>873</v>
      </c>
      <c r="E3015">
        <v>230347852</v>
      </c>
      <c r="F3015">
        <v>215508915</v>
      </c>
      <c r="G3015">
        <v>150315042</v>
      </c>
      <c r="H3015">
        <v>161766768</v>
      </c>
      <c r="I3015">
        <v>167219339</v>
      </c>
      <c r="J3015">
        <v>114770956</v>
      </c>
      <c r="K3015">
        <v>0</v>
      </c>
      <c r="P3015">
        <v>523</v>
      </c>
      <c r="Q3015" t="s">
        <v>6362</v>
      </c>
    </row>
    <row r="3016" spans="1:17" x14ac:dyDescent="0.3">
      <c r="A3016" t="s">
        <v>73</v>
      </c>
      <c r="B3016" t="str">
        <f>"300691"</f>
        <v>300691</v>
      </c>
      <c r="C3016" t="s">
        <v>6363</v>
      </c>
      <c r="D3016" t="s">
        <v>119</v>
      </c>
      <c r="E3016">
        <v>230201485</v>
      </c>
      <c r="F3016">
        <v>241153147</v>
      </c>
      <c r="G3016">
        <v>109369824</v>
      </c>
      <c r="H3016">
        <v>158084392</v>
      </c>
      <c r="I3016">
        <v>129696083</v>
      </c>
      <c r="J3016">
        <v>120548044</v>
      </c>
      <c r="P3016">
        <v>186</v>
      </c>
      <c r="Q3016" t="s">
        <v>6364</v>
      </c>
    </row>
    <row r="3017" spans="1:17" x14ac:dyDescent="0.3">
      <c r="A3017" t="s">
        <v>73</v>
      </c>
      <c r="B3017" t="str">
        <f>"000557"</f>
        <v>000557</v>
      </c>
      <c r="C3017" t="s">
        <v>6365</v>
      </c>
      <c r="D3017" t="s">
        <v>524</v>
      </c>
      <c r="E3017">
        <v>230193751</v>
      </c>
      <c r="F3017">
        <v>211970208</v>
      </c>
      <c r="G3017">
        <v>131313915</v>
      </c>
      <c r="H3017">
        <v>128391891</v>
      </c>
      <c r="I3017">
        <v>79509744</v>
      </c>
      <c r="J3017">
        <v>69797467</v>
      </c>
      <c r="K3017">
        <v>189008962</v>
      </c>
      <c r="L3017">
        <v>766099</v>
      </c>
      <c r="M3017">
        <v>20662</v>
      </c>
      <c r="N3017">
        <v>869250</v>
      </c>
      <c r="O3017">
        <v>124828</v>
      </c>
      <c r="P3017">
        <v>103</v>
      </c>
      <c r="Q3017" t="s">
        <v>6366</v>
      </c>
    </row>
    <row r="3018" spans="1:17" x14ac:dyDescent="0.3">
      <c r="A3018" t="s">
        <v>17</v>
      </c>
      <c r="B3018" t="str">
        <f>"603676"</f>
        <v>603676</v>
      </c>
      <c r="C3018" t="s">
        <v>6367</v>
      </c>
      <c r="D3018" t="s">
        <v>348</v>
      </c>
      <c r="E3018">
        <v>229881676</v>
      </c>
      <c r="F3018">
        <v>265189033</v>
      </c>
      <c r="G3018">
        <v>223207608</v>
      </c>
      <c r="H3018">
        <v>234000816</v>
      </c>
      <c r="I3018">
        <v>162486383</v>
      </c>
      <c r="J3018">
        <v>0</v>
      </c>
      <c r="P3018">
        <v>108</v>
      </c>
      <c r="Q3018" t="s">
        <v>6368</v>
      </c>
    </row>
    <row r="3019" spans="1:17" x14ac:dyDescent="0.3">
      <c r="A3019" t="s">
        <v>17</v>
      </c>
      <c r="B3019" t="str">
        <f>"600868"</f>
        <v>600868</v>
      </c>
      <c r="C3019" t="s">
        <v>6369</v>
      </c>
      <c r="D3019" t="s">
        <v>290</v>
      </c>
      <c r="E3019">
        <v>229589480</v>
      </c>
      <c r="F3019">
        <v>24391311</v>
      </c>
      <c r="G3019">
        <v>14882436</v>
      </c>
      <c r="H3019">
        <v>32951735</v>
      </c>
      <c r="I3019">
        <v>19331678</v>
      </c>
      <c r="J3019">
        <v>32708363</v>
      </c>
      <c r="K3019">
        <v>39265657</v>
      </c>
      <c r="L3019">
        <v>18543526</v>
      </c>
      <c r="M3019">
        <v>58427041</v>
      </c>
      <c r="N3019">
        <v>20823215</v>
      </c>
      <c r="O3019">
        <v>44845985</v>
      </c>
      <c r="P3019">
        <v>125</v>
      </c>
      <c r="Q3019" t="s">
        <v>6370</v>
      </c>
    </row>
    <row r="3020" spans="1:17" x14ac:dyDescent="0.3">
      <c r="A3020" t="s">
        <v>73</v>
      </c>
      <c r="B3020" t="str">
        <f>"300459"</f>
        <v>300459</v>
      </c>
      <c r="C3020" t="s">
        <v>6371</v>
      </c>
      <c r="D3020" t="s">
        <v>899</v>
      </c>
      <c r="E3020">
        <v>229547993</v>
      </c>
      <c r="F3020">
        <v>260321466</v>
      </c>
      <c r="G3020">
        <v>379139224</v>
      </c>
      <c r="H3020">
        <v>1071324447</v>
      </c>
      <c r="I3020">
        <v>998989648</v>
      </c>
      <c r="J3020">
        <v>287800892</v>
      </c>
      <c r="K3020">
        <v>94216306</v>
      </c>
      <c r="L3020">
        <v>0</v>
      </c>
      <c r="M3020">
        <v>0</v>
      </c>
      <c r="P3020">
        <v>287</v>
      </c>
      <c r="Q3020" t="s">
        <v>6372</v>
      </c>
    </row>
    <row r="3021" spans="1:17" x14ac:dyDescent="0.3">
      <c r="A3021" t="s">
        <v>73</v>
      </c>
      <c r="B3021" t="str">
        <f>"300471"</f>
        <v>300471</v>
      </c>
      <c r="C3021" t="s">
        <v>6373</v>
      </c>
      <c r="D3021" t="s">
        <v>1451</v>
      </c>
      <c r="E3021">
        <v>229438529</v>
      </c>
      <c r="F3021">
        <v>189495989</v>
      </c>
      <c r="G3021">
        <v>207114300</v>
      </c>
      <c r="H3021">
        <v>353226848</v>
      </c>
      <c r="I3021">
        <v>578602810</v>
      </c>
      <c r="J3021">
        <v>748677663</v>
      </c>
      <c r="K3021">
        <v>481661190</v>
      </c>
      <c r="L3021">
        <v>287003937</v>
      </c>
      <c r="M3021">
        <v>0</v>
      </c>
      <c r="P3021">
        <v>166</v>
      </c>
      <c r="Q3021" t="s">
        <v>6374</v>
      </c>
    </row>
    <row r="3022" spans="1:17" x14ac:dyDescent="0.3">
      <c r="A3022" t="s">
        <v>73</v>
      </c>
      <c r="B3022" t="str">
        <f>"000759"</f>
        <v>000759</v>
      </c>
      <c r="C3022" t="s">
        <v>6375</v>
      </c>
      <c r="D3022" t="s">
        <v>3633</v>
      </c>
      <c r="E3022">
        <v>229431615</v>
      </c>
      <c r="F3022">
        <v>165168290</v>
      </c>
      <c r="G3022">
        <v>303884982</v>
      </c>
      <c r="H3022">
        <v>122168579</v>
      </c>
      <c r="I3022">
        <v>128643288</v>
      </c>
      <c r="J3022">
        <v>76007593</v>
      </c>
      <c r="K3022">
        <v>82739749</v>
      </c>
      <c r="L3022">
        <v>127219312</v>
      </c>
      <c r="M3022">
        <v>70259453</v>
      </c>
      <c r="N3022">
        <v>85399834</v>
      </c>
      <c r="O3022">
        <v>109999751</v>
      </c>
      <c r="P3022">
        <v>153</v>
      </c>
      <c r="Q3022" t="s">
        <v>6376</v>
      </c>
    </row>
    <row r="3023" spans="1:17" x14ac:dyDescent="0.3">
      <c r="A3023" t="s">
        <v>17</v>
      </c>
      <c r="B3023" t="str">
        <f>"688313"</f>
        <v>688313</v>
      </c>
      <c r="C3023" t="s">
        <v>6377</v>
      </c>
      <c r="D3023" t="s">
        <v>189</v>
      </c>
      <c r="E3023">
        <v>229148600</v>
      </c>
      <c r="F3023">
        <v>201732228</v>
      </c>
      <c r="G3023">
        <v>170273364</v>
      </c>
      <c r="P3023">
        <v>50</v>
      </c>
      <c r="Q3023" t="s">
        <v>6378</v>
      </c>
    </row>
    <row r="3024" spans="1:17" x14ac:dyDescent="0.3">
      <c r="A3024" t="s">
        <v>73</v>
      </c>
      <c r="B3024" t="str">
        <f>"300344"</f>
        <v>300344</v>
      </c>
      <c r="C3024" t="s">
        <v>6379</v>
      </c>
      <c r="D3024" t="s">
        <v>795</v>
      </c>
      <c r="E3024">
        <v>229123529</v>
      </c>
      <c r="F3024">
        <v>213753545</v>
      </c>
      <c r="G3024">
        <v>232722176</v>
      </c>
      <c r="H3024">
        <v>242268827</v>
      </c>
      <c r="I3024">
        <v>234366635</v>
      </c>
      <c r="J3024">
        <v>171694759</v>
      </c>
      <c r="K3024">
        <v>107836146</v>
      </c>
      <c r="L3024">
        <v>121917617</v>
      </c>
      <c r="M3024">
        <v>231208085</v>
      </c>
      <c r="N3024">
        <v>181458052</v>
      </c>
      <c r="O3024">
        <v>0</v>
      </c>
      <c r="P3024">
        <v>64</v>
      </c>
      <c r="Q3024" t="s">
        <v>6380</v>
      </c>
    </row>
    <row r="3025" spans="1:17" x14ac:dyDescent="0.3">
      <c r="A3025" t="s">
        <v>17</v>
      </c>
      <c r="B3025" t="str">
        <f>"603121"</f>
        <v>603121</v>
      </c>
      <c r="C3025" t="s">
        <v>6381</v>
      </c>
      <c r="D3025" t="s">
        <v>122</v>
      </c>
      <c r="E3025">
        <v>229008895</v>
      </c>
      <c r="F3025">
        <v>248978874</v>
      </c>
      <c r="G3025">
        <v>111646111</v>
      </c>
      <c r="H3025">
        <v>126932984</v>
      </c>
      <c r="P3025">
        <v>77</v>
      </c>
      <c r="Q3025" t="s">
        <v>6382</v>
      </c>
    </row>
    <row r="3026" spans="1:17" x14ac:dyDescent="0.3">
      <c r="A3026" t="s">
        <v>73</v>
      </c>
      <c r="B3026" t="str">
        <f>"301008"</f>
        <v>301008</v>
      </c>
      <c r="C3026" t="s">
        <v>6383</v>
      </c>
      <c r="D3026" t="s">
        <v>654</v>
      </c>
      <c r="E3026">
        <v>228780337</v>
      </c>
      <c r="F3026">
        <v>187849459</v>
      </c>
      <c r="P3026">
        <v>36</v>
      </c>
      <c r="Q3026" t="s">
        <v>6384</v>
      </c>
    </row>
    <row r="3027" spans="1:17" x14ac:dyDescent="0.3">
      <c r="A3027" t="s">
        <v>17</v>
      </c>
      <c r="B3027" t="str">
        <f>"600159"</f>
        <v>600159</v>
      </c>
      <c r="C3027" t="s">
        <v>6385</v>
      </c>
      <c r="D3027" t="s">
        <v>27</v>
      </c>
      <c r="E3027">
        <v>228704532</v>
      </c>
      <c r="F3027">
        <v>228062905</v>
      </c>
      <c r="G3027">
        <v>258598708</v>
      </c>
      <c r="H3027">
        <v>249249975</v>
      </c>
      <c r="I3027">
        <v>151300627</v>
      </c>
      <c r="J3027">
        <v>173876330</v>
      </c>
      <c r="K3027">
        <v>229419995</v>
      </c>
      <c r="L3027">
        <v>151758210</v>
      </c>
      <c r="M3027">
        <v>118807635</v>
      </c>
      <c r="N3027">
        <v>105713621</v>
      </c>
      <c r="O3027">
        <v>68271537</v>
      </c>
      <c r="P3027">
        <v>87</v>
      </c>
      <c r="Q3027" t="s">
        <v>6386</v>
      </c>
    </row>
    <row r="3028" spans="1:17" x14ac:dyDescent="0.3">
      <c r="A3028" t="s">
        <v>73</v>
      </c>
      <c r="B3028" t="str">
        <f>"300791"</f>
        <v>300791</v>
      </c>
      <c r="C3028" t="s">
        <v>6387</v>
      </c>
      <c r="D3028" t="s">
        <v>4140</v>
      </c>
      <c r="E3028">
        <v>228352215</v>
      </c>
      <c r="F3028">
        <v>258841220</v>
      </c>
      <c r="G3028">
        <v>212156499</v>
      </c>
      <c r="H3028">
        <v>0</v>
      </c>
      <c r="P3028">
        <v>286</v>
      </c>
      <c r="Q3028" t="s">
        <v>6388</v>
      </c>
    </row>
    <row r="3029" spans="1:17" x14ac:dyDescent="0.3">
      <c r="A3029" t="s">
        <v>17</v>
      </c>
      <c r="B3029" t="str">
        <f>"600022"</f>
        <v>600022</v>
      </c>
      <c r="C3029" t="s">
        <v>6389</v>
      </c>
      <c r="D3029" t="s">
        <v>221</v>
      </c>
      <c r="E3029">
        <v>228319878</v>
      </c>
      <c r="F3029">
        <v>126696659</v>
      </c>
      <c r="G3029">
        <v>149890148</v>
      </c>
      <c r="H3029">
        <v>462375976</v>
      </c>
      <c r="I3029">
        <v>300187693</v>
      </c>
      <c r="J3029">
        <v>252436199</v>
      </c>
      <c r="K3029">
        <v>386522465</v>
      </c>
      <c r="L3029">
        <v>401211087</v>
      </c>
      <c r="M3029">
        <v>635596362</v>
      </c>
      <c r="N3029">
        <v>4261198655</v>
      </c>
      <c r="O3029">
        <v>5623108081</v>
      </c>
      <c r="P3029">
        <v>233</v>
      </c>
      <c r="Q3029" t="s">
        <v>6390</v>
      </c>
    </row>
    <row r="3030" spans="1:17" x14ac:dyDescent="0.3">
      <c r="A3030" t="s">
        <v>17</v>
      </c>
      <c r="B3030" t="str">
        <f>"688090"</f>
        <v>688090</v>
      </c>
      <c r="C3030" t="s">
        <v>6391</v>
      </c>
      <c r="D3030" t="s">
        <v>2121</v>
      </c>
      <c r="E3030">
        <v>228281604</v>
      </c>
      <c r="F3030">
        <v>188810028</v>
      </c>
      <c r="G3030">
        <v>228632920</v>
      </c>
      <c r="P3030">
        <v>63</v>
      </c>
      <c r="Q3030" t="s">
        <v>6392</v>
      </c>
    </row>
    <row r="3031" spans="1:17" x14ac:dyDescent="0.3">
      <c r="A3031" t="s">
        <v>73</v>
      </c>
      <c r="B3031" t="str">
        <f>"300225"</f>
        <v>300225</v>
      </c>
      <c r="C3031" t="s">
        <v>6393</v>
      </c>
      <c r="D3031" t="s">
        <v>3072</v>
      </c>
      <c r="E3031">
        <v>227962600</v>
      </c>
      <c r="F3031">
        <v>330976309</v>
      </c>
      <c r="G3031">
        <v>250812489</v>
      </c>
      <c r="H3031">
        <v>317519581</v>
      </c>
      <c r="I3031">
        <v>301540311</v>
      </c>
      <c r="J3031">
        <v>282537487</v>
      </c>
      <c r="K3031">
        <v>266212551</v>
      </c>
      <c r="L3031">
        <v>202767112</v>
      </c>
      <c r="M3031">
        <v>176852751</v>
      </c>
      <c r="N3031">
        <v>146580421</v>
      </c>
      <c r="O3031">
        <v>149329150</v>
      </c>
      <c r="P3031">
        <v>94</v>
      </c>
      <c r="Q3031" t="s">
        <v>6394</v>
      </c>
    </row>
    <row r="3032" spans="1:17" x14ac:dyDescent="0.3">
      <c r="A3032" t="s">
        <v>17</v>
      </c>
      <c r="B3032" t="str">
        <f>"600531"</f>
        <v>600531</v>
      </c>
      <c r="C3032" t="s">
        <v>6395</v>
      </c>
      <c r="D3032" t="s">
        <v>3053</v>
      </c>
      <c r="E3032">
        <v>227776277</v>
      </c>
      <c r="F3032">
        <v>185490218</v>
      </c>
      <c r="G3032">
        <v>130540612</v>
      </c>
      <c r="H3032">
        <v>250529675</v>
      </c>
      <c r="I3032">
        <v>179930328</v>
      </c>
      <c r="J3032">
        <v>199630366</v>
      </c>
      <c r="K3032">
        <v>117891930</v>
      </c>
      <c r="L3032">
        <v>65700826</v>
      </c>
      <c r="M3032">
        <v>55897083</v>
      </c>
      <c r="N3032">
        <v>73432050</v>
      </c>
      <c r="O3032">
        <v>38665382</v>
      </c>
      <c r="P3032">
        <v>148</v>
      </c>
      <c r="Q3032" t="s">
        <v>6396</v>
      </c>
    </row>
    <row r="3033" spans="1:17" x14ac:dyDescent="0.3">
      <c r="A3033" t="s">
        <v>17</v>
      </c>
      <c r="B3033" t="str">
        <f>"600753"</f>
        <v>600753</v>
      </c>
      <c r="C3033" t="s">
        <v>6397</v>
      </c>
      <c r="D3033" t="s">
        <v>192</v>
      </c>
      <c r="E3033">
        <v>227760443</v>
      </c>
      <c r="F3033">
        <v>168858911</v>
      </c>
      <c r="G3033">
        <v>261937216</v>
      </c>
      <c r="H3033">
        <v>167845325</v>
      </c>
      <c r="I3033">
        <v>182593177</v>
      </c>
      <c r="J3033">
        <v>0</v>
      </c>
      <c r="K3033">
        <v>1807263</v>
      </c>
      <c r="L3033">
        <v>10049341</v>
      </c>
      <c r="M3033">
        <v>3662938</v>
      </c>
      <c r="N3033">
        <v>9230189</v>
      </c>
      <c r="O3033">
        <v>457633</v>
      </c>
      <c r="P3033">
        <v>91</v>
      </c>
      <c r="Q3033" t="s">
        <v>6398</v>
      </c>
    </row>
    <row r="3034" spans="1:17" x14ac:dyDescent="0.3">
      <c r="A3034" t="s">
        <v>17</v>
      </c>
      <c r="B3034" t="str">
        <f>"603239"</f>
        <v>603239</v>
      </c>
      <c r="C3034" t="s">
        <v>6399</v>
      </c>
      <c r="D3034" t="s">
        <v>722</v>
      </c>
      <c r="E3034">
        <v>227721725</v>
      </c>
      <c r="F3034">
        <v>202988112</v>
      </c>
      <c r="G3034">
        <v>257628719</v>
      </c>
      <c r="H3034">
        <v>175065376</v>
      </c>
      <c r="I3034">
        <v>293138748</v>
      </c>
      <c r="J3034">
        <v>206702418</v>
      </c>
      <c r="P3034">
        <v>166</v>
      </c>
      <c r="Q3034" t="s">
        <v>6400</v>
      </c>
    </row>
    <row r="3035" spans="1:17" x14ac:dyDescent="0.3">
      <c r="A3035" t="s">
        <v>73</v>
      </c>
      <c r="B3035" t="str">
        <f>"002919"</f>
        <v>002919</v>
      </c>
      <c r="C3035" t="s">
        <v>6401</v>
      </c>
      <c r="D3035" t="s">
        <v>5554</v>
      </c>
      <c r="E3035">
        <v>227542457</v>
      </c>
      <c r="F3035">
        <v>215890602</v>
      </c>
      <c r="G3035">
        <v>28842973</v>
      </c>
      <c r="H3035">
        <v>39946496</v>
      </c>
      <c r="I3035">
        <v>46997673</v>
      </c>
      <c r="P3035">
        <v>146</v>
      </c>
      <c r="Q3035" t="s">
        <v>6402</v>
      </c>
    </row>
    <row r="3036" spans="1:17" x14ac:dyDescent="0.3">
      <c r="A3036" t="s">
        <v>73</v>
      </c>
      <c r="B3036" t="str">
        <f>"300907"</f>
        <v>300907</v>
      </c>
      <c r="C3036" t="s">
        <v>6403</v>
      </c>
      <c r="D3036" t="s">
        <v>689</v>
      </c>
      <c r="E3036">
        <v>227541056</v>
      </c>
      <c r="F3036">
        <v>197910639</v>
      </c>
      <c r="P3036">
        <v>36</v>
      </c>
      <c r="Q3036" t="s">
        <v>6404</v>
      </c>
    </row>
    <row r="3037" spans="1:17" x14ac:dyDescent="0.3">
      <c r="A3037" t="s">
        <v>73</v>
      </c>
      <c r="B3037" t="str">
        <f>"000586"</f>
        <v>000586</v>
      </c>
      <c r="C3037" t="s">
        <v>6405</v>
      </c>
      <c r="D3037" t="s">
        <v>208</v>
      </c>
      <c r="E3037">
        <v>227406460</v>
      </c>
      <c r="F3037">
        <v>232418774</v>
      </c>
      <c r="G3037">
        <v>250970386</v>
      </c>
      <c r="H3037">
        <v>225657156</v>
      </c>
      <c r="I3037">
        <v>174598320</v>
      </c>
      <c r="J3037">
        <v>202671973</v>
      </c>
      <c r="K3037">
        <v>205769640</v>
      </c>
      <c r="L3037">
        <v>156003728</v>
      </c>
      <c r="M3037">
        <v>161148419</v>
      </c>
      <c r="N3037">
        <v>159151882</v>
      </c>
      <c r="O3037">
        <v>187614634</v>
      </c>
      <c r="P3037">
        <v>145</v>
      </c>
      <c r="Q3037" t="s">
        <v>6406</v>
      </c>
    </row>
    <row r="3038" spans="1:17" x14ac:dyDescent="0.3">
      <c r="A3038" t="s">
        <v>73</v>
      </c>
      <c r="B3038" t="str">
        <f>"300030"</f>
        <v>300030</v>
      </c>
      <c r="C3038" t="s">
        <v>6407</v>
      </c>
      <c r="D3038" t="s">
        <v>692</v>
      </c>
      <c r="E3038">
        <v>227391535</v>
      </c>
      <c r="F3038">
        <v>291469869</v>
      </c>
      <c r="G3038">
        <v>213185912</v>
      </c>
      <c r="H3038">
        <v>203379706</v>
      </c>
      <c r="I3038">
        <v>201958746</v>
      </c>
      <c r="J3038">
        <v>183389075</v>
      </c>
      <c r="K3038">
        <v>166558525</v>
      </c>
      <c r="L3038">
        <v>150021982</v>
      </c>
      <c r="M3038">
        <v>130816293</v>
      </c>
      <c r="N3038">
        <v>116027396</v>
      </c>
      <c r="O3038">
        <v>85361485</v>
      </c>
      <c r="P3038">
        <v>182</v>
      </c>
      <c r="Q3038" t="s">
        <v>6408</v>
      </c>
    </row>
    <row r="3039" spans="1:17" x14ac:dyDescent="0.3">
      <c r="A3039" t="s">
        <v>73</v>
      </c>
      <c r="B3039" t="str">
        <f>"300895"</f>
        <v>300895</v>
      </c>
      <c r="C3039" t="s">
        <v>6409</v>
      </c>
      <c r="D3039" t="s">
        <v>302</v>
      </c>
      <c r="E3039">
        <v>227237433</v>
      </c>
      <c r="F3039">
        <v>67823475</v>
      </c>
      <c r="G3039">
        <v>0</v>
      </c>
      <c r="P3039">
        <v>48</v>
      </c>
      <c r="Q3039" t="s">
        <v>6410</v>
      </c>
    </row>
    <row r="3040" spans="1:17" x14ac:dyDescent="0.3">
      <c r="A3040" t="s">
        <v>17</v>
      </c>
      <c r="B3040" t="str">
        <f>"688301"</f>
        <v>688301</v>
      </c>
      <c r="C3040" t="s">
        <v>6411</v>
      </c>
      <c r="D3040" t="s">
        <v>692</v>
      </c>
      <c r="E3040">
        <v>227056237</v>
      </c>
      <c r="F3040">
        <v>145049195</v>
      </c>
      <c r="G3040">
        <v>0</v>
      </c>
      <c r="P3040">
        <v>178</v>
      </c>
      <c r="Q3040" t="s">
        <v>6412</v>
      </c>
    </row>
    <row r="3041" spans="1:17" x14ac:dyDescent="0.3">
      <c r="A3041" t="s">
        <v>73</v>
      </c>
      <c r="B3041" t="str">
        <f>"300774"</f>
        <v>300774</v>
      </c>
      <c r="C3041" t="s">
        <v>6413</v>
      </c>
      <c r="D3041" t="s">
        <v>308</v>
      </c>
      <c r="E3041">
        <v>226948079</v>
      </c>
      <c r="F3041">
        <v>295290440</v>
      </c>
      <c r="P3041">
        <v>24</v>
      </c>
      <c r="Q3041" t="s">
        <v>6414</v>
      </c>
    </row>
    <row r="3042" spans="1:17" x14ac:dyDescent="0.3">
      <c r="A3042" t="s">
        <v>73</v>
      </c>
      <c r="B3042" t="str">
        <f>"300246"</f>
        <v>300246</v>
      </c>
      <c r="C3042" t="s">
        <v>6415</v>
      </c>
      <c r="D3042" t="s">
        <v>692</v>
      </c>
      <c r="E3042">
        <v>226891052</v>
      </c>
      <c r="F3042">
        <v>194567333</v>
      </c>
      <c r="G3042">
        <v>203233543</v>
      </c>
      <c r="H3042">
        <v>194979442</v>
      </c>
      <c r="I3042">
        <v>194957426</v>
      </c>
      <c r="J3042">
        <v>166520840</v>
      </c>
      <c r="K3042">
        <v>111725460</v>
      </c>
      <c r="L3042">
        <v>66489258</v>
      </c>
      <c r="M3042">
        <v>46722295</v>
      </c>
      <c r="N3042">
        <v>29029892</v>
      </c>
      <c r="O3042">
        <v>18735492</v>
      </c>
      <c r="P3042">
        <v>511</v>
      </c>
      <c r="Q3042" t="s">
        <v>6416</v>
      </c>
    </row>
    <row r="3043" spans="1:17" x14ac:dyDescent="0.3">
      <c r="A3043" t="s">
        <v>73</v>
      </c>
      <c r="B3043" t="str">
        <f>"300371"</f>
        <v>300371</v>
      </c>
      <c r="C3043" t="s">
        <v>6417</v>
      </c>
      <c r="D3043" t="s">
        <v>2280</v>
      </c>
      <c r="E3043">
        <v>226366562</v>
      </c>
      <c r="F3043">
        <v>167925362</v>
      </c>
      <c r="G3043">
        <v>118663567</v>
      </c>
      <c r="H3043">
        <v>114185989</v>
      </c>
      <c r="I3043">
        <v>77057141</v>
      </c>
      <c r="J3043">
        <v>81551151</v>
      </c>
      <c r="K3043">
        <v>70312507</v>
      </c>
      <c r="L3043">
        <v>54937115</v>
      </c>
      <c r="M3043">
        <v>52325172</v>
      </c>
      <c r="N3043">
        <v>0</v>
      </c>
      <c r="P3043">
        <v>288</v>
      </c>
      <c r="Q3043" t="s">
        <v>6418</v>
      </c>
    </row>
    <row r="3044" spans="1:17" x14ac:dyDescent="0.3">
      <c r="A3044" t="s">
        <v>73</v>
      </c>
      <c r="B3044" t="str">
        <f>"301218"</f>
        <v>301218</v>
      </c>
      <c r="C3044" t="s">
        <v>6419</v>
      </c>
      <c r="E3044">
        <v>226342167</v>
      </c>
      <c r="P3044">
        <v>8</v>
      </c>
      <c r="Q3044" t="s">
        <v>6420</v>
      </c>
    </row>
    <row r="3045" spans="1:17" x14ac:dyDescent="0.3">
      <c r="A3045" t="s">
        <v>17</v>
      </c>
      <c r="B3045" t="str">
        <f>"688156"</f>
        <v>688156</v>
      </c>
      <c r="C3045" t="s">
        <v>6421</v>
      </c>
      <c r="D3045" t="s">
        <v>623</v>
      </c>
      <c r="E3045">
        <v>226038610</v>
      </c>
      <c r="F3045">
        <v>154599793</v>
      </c>
      <c r="G3045">
        <v>105465519</v>
      </c>
      <c r="H3045">
        <v>0</v>
      </c>
      <c r="P3045">
        <v>41</v>
      </c>
      <c r="Q3045" t="s">
        <v>6422</v>
      </c>
    </row>
    <row r="3046" spans="1:17" x14ac:dyDescent="0.3">
      <c r="A3046" t="s">
        <v>17</v>
      </c>
      <c r="B3046" t="str">
        <f>"603006"</f>
        <v>603006</v>
      </c>
      <c r="C3046" t="s">
        <v>6423</v>
      </c>
      <c r="D3046" t="s">
        <v>722</v>
      </c>
      <c r="E3046">
        <v>226018445</v>
      </c>
      <c r="F3046">
        <v>167731392</v>
      </c>
      <c r="G3046">
        <v>140070987</v>
      </c>
      <c r="H3046">
        <v>267380746</v>
      </c>
      <c r="I3046">
        <v>222904376</v>
      </c>
      <c r="J3046">
        <v>177054369</v>
      </c>
      <c r="K3046">
        <v>179297374</v>
      </c>
      <c r="L3046">
        <v>82771923</v>
      </c>
      <c r="M3046">
        <v>0</v>
      </c>
      <c r="N3046">
        <v>0</v>
      </c>
      <c r="P3046">
        <v>106</v>
      </c>
      <c r="Q3046" t="s">
        <v>6424</v>
      </c>
    </row>
    <row r="3047" spans="1:17" x14ac:dyDescent="0.3">
      <c r="A3047" t="s">
        <v>73</v>
      </c>
      <c r="B3047" t="str">
        <f>"300546"</f>
        <v>300546</v>
      </c>
      <c r="C3047" t="s">
        <v>6425</v>
      </c>
      <c r="D3047" t="s">
        <v>158</v>
      </c>
      <c r="E3047">
        <v>225975743</v>
      </c>
      <c r="F3047">
        <v>223574337</v>
      </c>
      <c r="G3047">
        <v>237613449</v>
      </c>
      <c r="H3047">
        <v>221457719</v>
      </c>
      <c r="I3047">
        <v>139389982</v>
      </c>
      <c r="J3047">
        <v>103087435</v>
      </c>
      <c r="K3047">
        <v>0</v>
      </c>
      <c r="P3047">
        <v>196</v>
      </c>
      <c r="Q3047" t="s">
        <v>6426</v>
      </c>
    </row>
    <row r="3048" spans="1:17" x14ac:dyDescent="0.3">
      <c r="A3048" t="s">
        <v>73</v>
      </c>
      <c r="B3048" t="str">
        <f>"002305"</f>
        <v>002305</v>
      </c>
      <c r="C3048" t="s">
        <v>6427</v>
      </c>
      <c r="D3048" t="s">
        <v>697</v>
      </c>
      <c r="E3048">
        <v>225822372</v>
      </c>
      <c r="F3048">
        <v>796549772</v>
      </c>
      <c r="G3048">
        <v>783793326</v>
      </c>
      <c r="H3048">
        <v>825665351</v>
      </c>
      <c r="I3048">
        <v>129603090</v>
      </c>
      <c r="J3048">
        <v>166106405</v>
      </c>
      <c r="K3048">
        <v>220375393</v>
      </c>
      <c r="L3048">
        <v>276529301</v>
      </c>
      <c r="M3048">
        <v>84590621</v>
      </c>
      <c r="N3048">
        <v>43057057</v>
      </c>
      <c r="O3048">
        <v>61956555</v>
      </c>
      <c r="P3048">
        <v>107</v>
      </c>
      <c r="Q3048" t="s">
        <v>6428</v>
      </c>
    </row>
    <row r="3049" spans="1:17" x14ac:dyDescent="0.3">
      <c r="A3049" t="s">
        <v>73</v>
      </c>
      <c r="B3049" t="str">
        <f>"000038"</f>
        <v>000038</v>
      </c>
      <c r="C3049" t="s">
        <v>6429</v>
      </c>
      <c r="D3049" t="s">
        <v>466</v>
      </c>
      <c r="E3049">
        <v>225811504</v>
      </c>
      <c r="F3049">
        <v>437088915</v>
      </c>
      <c r="G3049">
        <v>293837536</v>
      </c>
      <c r="H3049">
        <v>668484153</v>
      </c>
      <c r="I3049">
        <v>707501028</v>
      </c>
      <c r="J3049">
        <v>465994010</v>
      </c>
      <c r="K3049">
        <v>217372466</v>
      </c>
      <c r="L3049">
        <v>0</v>
      </c>
      <c r="M3049">
        <v>5771102</v>
      </c>
      <c r="N3049">
        <v>0</v>
      </c>
      <c r="O3049">
        <v>0</v>
      </c>
      <c r="P3049">
        <v>113</v>
      </c>
      <c r="Q3049" t="s">
        <v>6430</v>
      </c>
    </row>
    <row r="3050" spans="1:17" x14ac:dyDescent="0.3">
      <c r="A3050" t="s">
        <v>73</v>
      </c>
      <c r="B3050" t="str">
        <f>"000831"</f>
        <v>000831</v>
      </c>
      <c r="C3050" t="s">
        <v>6431</v>
      </c>
      <c r="D3050" t="s">
        <v>815</v>
      </c>
      <c r="E3050">
        <v>225749200</v>
      </c>
      <c r="F3050">
        <v>170365288</v>
      </c>
      <c r="G3050">
        <v>161414376</v>
      </c>
      <c r="H3050">
        <v>385973866</v>
      </c>
      <c r="I3050">
        <v>129632628</v>
      </c>
      <c r="J3050">
        <v>375289101</v>
      </c>
      <c r="K3050">
        <v>225053300</v>
      </c>
      <c r="L3050">
        <v>8237032</v>
      </c>
      <c r="M3050">
        <v>474712028</v>
      </c>
      <c r="N3050">
        <v>17710961</v>
      </c>
      <c r="O3050">
        <v>87918345</v>
      </c>
      <c r="P3050">
        <v>458</v>
      </c>
      <c r="Q3050" t="s">
        <v>6432</v>
      </c>
    </row>
    <row r="3051" spans="1:17" x14ac:dyDescent="0.3">
      <c r="A3051" t="s">
        <v>17</v>
      </c>
      <c r="B3051" t="str">
        <f>"688010"</f>
        <v>688010</v>
      </c>
      <c r="C3051" t="s">
        <v>6433</v>
      </c>
      <c r="D3051" t="s">
        <v>477</v>
      </c>
      <c r="E3051">
        <v>225600373</v>
      </c>
      <c r="F3051">
        <v>209713874</v>
      </c>
      <c r="G3051">
        <v>203469321</v>
      </c>
      <c r="H3051">
        <v>147477360</v>
      </c>
      <c r="P3051">
        <v>125</v>
      </c>
      <c r="Q3051" t="s">
        <v>6434</v>
      </c>
    </row>
    <row r="3052" spans="1:17" x14ac:dyDescent="0.3">
      <c r="A3052" t="s">
        <v>73</v>
      </c>
      <c r="B3052" t="str">
        <f>"300589"</f>
        <v>300589</v>
      </c>
      <c r="C3052" t="s">
        <v>6435</v>
      </c>
      <c r="D3052" t="s">
        <v>283</v>
      </c>
      <c r="E3052">
        <v>225552671</v>
      </c>
      <c r="F3052">
        <v>241233103</v>
      </c>
      <c r="G3052">
        <v>79989180</v>
      </c>
      <c r="H3052">
        <v>71004189</v>
      </c>
      <c r="I3052">
        <v>73378531</v>
      </c>
      <c r="J3052">
        <v>72744761</v>
      </c>
      <c r="K3052">
        <v>0</v>
      </c>
      <c r="P3052">
        <v>87</v>
      </c>
      <c r="Q3052" t="s">
        <v>6436</v>
      </c>
    </row>
    <row r="3053" spans="1:17" x14ac:dyDescent="0.3">
      <c r="A3053" t="s">
        <v>73</v>
      </c>
      <c r="B3053" t="str">
        <f>"000802"</f>
        <v>000802</v>
      </c>
      <c r="C3053" t="s">
        <v>6437</v>
      </c>
      <c r="D3053" t="s">
        <v>1306</v>
      </c>
      <c r="E3053">
        <v>225105395</v>
      </c>
      <c r="F3053">
        <v>558444650</v>
      </c>
      <c r="G3053">
        <v>269589817</v>
      </c>
      <c r="H3053">
        <v>79698199</v>
      </c>
      <c r="I3053">
        <v>583536933</v>
      </c>
      <c r="J3053">
        <v>429898719</v>
      </c>
      <c r="K3053">
        <v>65867312</v>
      </c>
      <c r="L3053">
        <v>97661532</v>
      </c>
      <c r="M3053">
        <v>5121180</v>
      </c>
      <c r="N3053">
        <v>9573750</v>
      </c>
      <c r="O3053">
        <v>6553562</v>
      </c>
      <c r="P3053">
        <v>205</v>
      </c>
      <c r="Q3053" t="s">
        <v>6438</v>
      </c>
    </row>
    <row r="3054" spans="1:17" x14ac:dyDescent="0.3">
      <c r="A3054" t="s">
        <v>73</v>
      </c>
      <c r="B3054" t="str">
        <f>"002699"</f>
        <v>002699</v>
      </c>
      <c r="C3054" t="s">
        <v>6439</v>
      </c>
      <c r="D3054" t="s">
        <v>1306</v>
      </c>
      <c r="E3054">
        <v>224978000</v>
      </c>
      <c r="F3054">
        <v>105957384</v>
      </c>
      <c r="G3054">
        <v>290048584</v>
      </c>
      <c r="H3054">
        <v>250483136</v>
      </c>
      <c r="I3054">
        <v>259770760</v>
      </c>
      <c r="J3054">
        <v>99598764</v>
      </c>
      <c r="K3054">
        <v>102135625</v>
      </c>
      <c r="L3054">
        <v>19302395</v>
      </c>
      <c r="M3054">
        <v>33649776</v>
      </c>
      <c r="N3054">
        <v>26034376</v>
      </c>
      <c r="O3054">
        <v>0</v>
      </c>
      <c r="P3054">
        <v>157</v>
      </c>
      <c r="Q3054" t="s">
        <v>6440</v>
      </c>
    </row>
    <row r="3055" spans="1:17" x14ac:dyDescent="0.3">
      <c r="A3055" t="s">
        <v>73</v>
      </c>
      <c r="B3055" t="str">
        <f>"002337"</f>
        <v>002337</v>
      </c>
      <c r="C3055" t="s">
        <v>6441</v>
      </c>
      <c r="D3055" t="s">
        <v>1451</v>
      </c>
      <c r="E3055">
        <v>224873898</v>
      </c>
      <c r="F3055">
        <v>225195911</v>
      </c>
      <c r="G3055">
        <v>247886996</v>
      </c>
      <c r="H3055">
        <v>315677438</v>
      </c>
      <c r="I3055">
        <v>385718176</v>
      </c>
      <c r="J3055">
        <v>321213368</v>
      </c>
      <c r="K3055">
        <v>380774834</v>
      </c>
      <c r="L3055">
        <v>352243875</v>
      </c>
      <c r="M3055">
        <v>233970162</v>
      </c>
      <c r="N3055">
        <v>221620319</v>
      </c>
      <c r="O3055">
        <v>283741755</v>
      </c>
      <c r="P3055">
        <v>92</v>
      </c>
      <c r="Q3055" t="s">
        <v>6442</v>
      </c>
    </row>
    <row r="3056" spans="1:17" x14ac:dyDescent="0.3">
      <c r="A3056" t="s">
        <v>73</v>
      </c>
      <c r="B3056" t="str">
        <f>"300730"</f>
        <v>300730</v>
      </c>
      <c r="C3056" t="s">
        <v>6443</v>
      </c>
      <c r="D3056" t="s">
        <v>795</v>
      </c>
      <c r="E3056">
        <v>224303771</v>
      </c>
      <c r="F3056">
        <v>151378297</v>
      </c>
      <c r="G3056">
        <v>133049825</v>
      </c>
      <c r="H3056">
        <v>139925253</v>
      </c>
      <c r="I3056">
        <v>93163409</v>
      </c>
      <c r="J3056">
        <v>0</v>
      </c>
      <c r="P3056">
        <v>98</v>
      </c>
      <c r="Q3056" t="s">
        <v>6444</v>
      </c>
    </row>
    <row r="3057" spans="1:17" x14ac:dyDescent="0.3">
      <c r="A3057" t="s">
        <v>17</v>
      </c>
      <c r="B3057" t="str">
        <f>"688282"</f>
        <v>688282</v>
      </c>
      <c r="C3057" t="s">
        <v>6445</v>
      </c>
      <c r="E3057">
        <v>224270946</v>
      </c>
      <c r="P3057">
        <v>3</v>
      </c>
      <c r="Q3057" t="s">
        <v>6446</v>
      </c>
    </row>
    <row r="3058" spans="1:17" x14ac:dyDescent="0.3">
      <c r="A3058" t="s">
        <v>17</v>
      </c>
      <c r="B3058" t="str">
        <f>"688200"</f>
        <v>688200</v>
      </c>
      <c r="C3058" t="s">
        <v>6447</v>
      </c>
      <c r="D3058" t="s">
        <v>1291</v>
      </c>
      <c r="E3058">
        <v>224222015</v>
      </c>
      <c r="F3058">
        <v>129617920</v>
      </c>
      <c r="G3058">
        <v>106117476</v>
      </c>
      <c r="H3058">
        <v>64240864</v>
      </c>
      <c r="P3058">
        <v>291</v>
      </c>
      <c r="Q3058" t="s">
        <v>6448</v>
      </c>
    </row>
    <row r="3059" spans="1:17" x14ac:dyDescent="0.3">
      <c r="A3059" t="s">
        <v>73</v>
      </c>
      <c r="B3059" t="str">
        <f>"300802"</f>
        <v>300802</v>
      </c>
      <c r="C3059" t="s">
        <v>6449</v>
      </c>
      <c r="D3059" t="s">
        <v>1967</v>
      </c>
      <c r="E3059">
        <v>224133251</v>
      </c>
      <c r="F3059">
        <v>184662786</v>
      </c>
      <c r="G3059">
        <v>149586410</v>
      </c>
      <c r="H3059">
        <v>0</v>
      </c>
      <c r="P3059">
        <v>182</v>
      </c>
      <c r="Q3059" t="s">
        <v>6450</v>
      </c>
    </row>
    <row r="3060" spans="1:17" x14ac:dyDescent="0.3">
      <c r="A3060" t="s">
        <v>17</v>
      </c>
      <c r="B3060" t="str">
        <f>"688659"</f>
        <v>688659</v>
      </c>
      <c r="C3060" t="s">
        <v>6451</v>
      </c>
      <c r="D3060" t="s">
        <v>588</v>
      </c>
      <c r="E3060">
        <v>223811093</v>
      </c>
      <c r="F3060">
        <v>151783717</v>
      </c>
      <c r="P3060">
        <v>40</v>
      </c>
      <c r="Q3060" t="s">
        <v>6452</v>
      </c>
    </row>
    <row r="3061" spans="1:17" x14ac:dyDescent="0.3">
      <c r="A3061" t="s">
        <v>73</v>
      </c>
      <c r="B3061" t="str">
        <f>"300343"</f>
        <v>300343</v>
      </c>
      <c r="C3061" t="s">
        <v>6453</v>
      </c>
      <c r="D3061" t="s">
        <v>425</v>
      </c>
      <c r="E3061">
        <v>223636252</v>
      </c>
      <c r="F3061">
        <v>114509099</v>
      </c>
      <c r="G3061">
        <v>1470910884</v>
      </c>
      <c r="H3061">
        <v>2072346369</v>
      </c>
      <c r="I3061">
        <v>1571618928</v>
      </c>
      <c r="J3061">
        <v>1070891111</v>
      </c>
      <c r="K3061">
        <v>1043904910</v>
      </c>
      <c r="L3061">
        <v>104180426</v>
      </c>
      <c r="M3061">
        <v>104054092</v>
      </c>
      <c r="N3061">
        <v>76204757</v>
      </c>
      <c r="O3061">
        <v>0</v>
      </c>
      <c r="P3061">
        <v>155</v>
      </c>
      <c r="Q3061" t="s">
        <v>6454</v>
      </c>
    </row>
    <row r="3062" spans="1:17" x14ac:dyDescent="0.3">
      <c r="A3062" t="s">
        <v>73</v>
      </c>
      <c r="B3062" t="str">
        <f>"002393"</f>
        <v>002393</v>
      </c>
      <c r="C3062" t="s">
        <v>6455</v>
      </c>
      <c r="D3062" t="s">
        <v>348</v>
      </c>
      <c r="E3062">
        <v>223442447</v>
      </c>
      <c r="F3062">
        <v>192765037</v>
      </c>
      <c r="G3062">
        <v>220807399</v>
      </c>
      <c r="H3062">
        <v>173569861</v>
      </c>
      <c r="I3062">
        <v>136400531</v>
      </c>
      <c r="J3062">
        <v>85770444</v>
      </c>
      <c r="K3062">
        <v>84879791</v>
      </c>
      <c r="L3062">
        <v>85536725</v>
      </c>
      <c r="M3062">
        <v>92847735</v>
      </c>
      <c r="N3062">
        <v>74833731</v>
      </c>
      <c r="O3062">
        <v>63549478</v>
      </c>
      <c r="P3062">
        <v>153</v>
      </c>
      <c r="Q3062" t="s">
        <v>6456</v>
      </c>
    </row>
    <row r="3063" spans="1:17" x14ac:dyDescent="0.3">
      <c r="A3063" t="s">
        <v>73</v>
      </c>
      <c r="B3063" t="str">
        <f>"003031"</f>
        <v>003031</v>
      </c>
      <c r="C3063" t="s">
        <v>6457</v>
      </c>
      <c r="D3063" t="s">
        <v>332</v>
      </c>
      <c r="E3063">
        <v>223326601</v>
      </c>
      <c r="F3063">
        <v>175749886</v>
      </c>
      <c r="H3063">
        <v>142478414</v>
      </c>
      <c r="P3063">
        <v>87</v>
      </c>
      <c r="Q3063" t="s">
        <v>6458</v>
      </c>
    </row>
    <row r="3064" spans="1:17" x14ac:dyDescent="0.3">
      <c r="A3064" t="s">
        <v>17</v>
      </c>
      <c r="B3064" t="str">
        <f>"600929"</f>
        <v>600929</v>
      </c>
      <c r="C3064" t="s">
        <v>6459</v>
      </c>
      <c r="D3064" t="s">
        <v>2246</v>
      </c>
      <c r="E3064">
        <v>223270436</v>
      </c>
      <c r="F3064">
        <v>153645645</v>
      </c>
      <c r="G3064">
        <v>164692738</v>
      </c>
      <c r="H3064">
        <v>164408594</v>
      </c>
      <c r="I3064">
        <v>108526597</v>
      </c>
      <c r="P3064">
        <v>133</v>
      </c>
      <c r="Q3064" t="s">
        <v>6460</v>
      </c>
    </row>
    <row r="3065" spans="1:17" x14ac:dyDescent="0.3">
      <c r="A3065" t="s">
        <v>73</v>
      </c>
      <c r="B3065" t="str">
        <f>"300516"</f>
        <v>300516</v>
      </c>
      <c r="C3065" t="s">
        <v>6461</v>
      </c>
      <c r="D3065" t="s">
        <v>651</v>
      </c>
      <c r="E3065">
        <v>223023741</v>
      </c>
      <c r="F3065">
        <v>185721863</v>
      </c>
      <c r="G3065">
        <v>176022906</v>
      </c>
      <c r="H3065">
        <v>130817345</v>
      </c>
      <c r="I3065">
        <v>128994391</v>
      </c>
      <c r="J3065">
        <v>129902762</v>
      </c>
      <c r="K3065">
        <v>94576029</v>
      </c>
      <c r="L3065">
        <v>0</v>
      </c>
      <c r="P3065">
        <v>118</v>
      </c>
      <c r="Q3065" t="s">
        <v>6462</v>
      </c>
    </row>
    <row r="3066" spans="1:17" x14ac:dyDescent="0.3">
      <c r="A3066" t="s">
        <v>73</v>
      </c>
      <c r="B3066" t="str">
        <f>"002566"</f>
        <v>002566</v>
      </c>
      <c r="C3066" t="s">
        <v>6463</v>
      </c>
      <c r="D3066" t="s">
        <v>215</v>
      </c>
      <c r="E3066">
        <v>223010063</v>
      </c>
      <c r="F3066">
        <v>216865483</v>
      </c>
      <c r="G3066">
        <v>207477244</v>
      </c>
      <c r="H3066">
        <v>220165155</v>
      </c>
      <c r="I3066">
        <v>202123254</v>
      </c>
      <c r="J3066">
        <v>222840879</v>
      </c>
      <c r="K3066">
        <v>196285426</v>
      </c>
      <c r="L3066">
        <v>218264241</v>
      </c>
      <c r="M3066">
        <v>186083172</v>
      </c>
      <c r="N3066">
        <v>178331107</v>
      </c>
      <c r="O3066">
        <v>174223769</v>
      </c>
      <c r="P3066">
        <v>134</v>
      </c>
      <c r="Q3066" t="s">
        <v>6464</v>
      </c>
    </row>
    <row r="3067" spans="1:17" x14ac:dyDescent="0.3">
      <c r="A3067" t="s">
        <v>17</v>
      </c>
      <c r="B3067" t="str">
        <f>"688393"</f>
        <v>688393</v>
      </c>
      <c r="C3067" t="s">
        <v>6465</v>
      </c>
      <c r="D3067" t="s">
        <v>773</v>
      </c>
      <c r="E3067">
        <v>222568752</v>
      </c>
      <c r="F3067">
        <v>195087866</v>
      </c>
      <c r="G3067">
        <v>150473138</v>
      </c>
      <c r="P3067">
        <v>76</v>
      </c>
      <c r="Q3067" t="s">
        <v>6466</v>
      </c>
    </row>
    <row r="3068" spans="1:17" x14ac:dyDescent="0.3">
      <c r="A3068" t="s">
        <v>73</v>
      </c>
      <c r="B3068" t="str">
        <f>"300210"</f>
        <v>300210</v>
      </c>
      <c r="C3068" t="s">
        <v>6467</v>
      </c>
      <c r="D3068" t="s">
        <v>540</v>
      </c>
      <c r="E3068">
        <v>222547760</v>
      </c>
      <c r="F3068">
        <v>252232796</v>
      </c>
      <c r="G3068">
        <v>345378451</v>
      </c>
      <c r="H3068">
        <v>395390488</v>
      </c>
      <c r="I3068">
        <v>447612057</v>
      </c>
      <c r="J3068">
        <v>479426046</v>
      </c>
      <c r="K3068">
        <v>424218474</v>
      </c>
      <c r="L3068">
        <v>365035111</v>
      </c>
      <c r="M3068">
        <v>337252131</v>
      </c>
      <c r="N3068">
        <v>271114431</v>
      </c>
      <c r="O3068">
        <v>66058065</v>
      </c>
      <c r="P3068">
        <v>50</v>
      </c>
      <c r="Q3068" t="s">
        <v>6468</v>
      </c>
    </row>
    <row r="3069" spans="1:17" x14ac:dyDescent="0.3">
      <c r="A3069" t="s">
        <v>73</v>
      </c>
      <c r="B3069" t="str">
        <f>"300419"</f>
        <v>300419</v>
      </c>
      <c r="C3069" t="s">
        <v>6469</v>
      </c>
      <c r="D3069" t="s">
        <v>302</v>
      </c>
      <c r="E3069">
        <v>222221904</v>
      </c>
      <c r="F3069">
        <v>73846301</v>
      </c>
      <c r="G3069">
        <v>89756672</v>
      </c>
      <c r="H3069">
        <v>109283072</v>
      </c>
      <c r="I3069">
        <v>87042073</v>
      </c>
      <c r="J3069">
        <v>120597787</v>
      </c>
      <c r="K3069">
        <v>75391494</v>
      </c>
      <c r="L3069">
        <v>43726610</v>
      </c>
      <c r="M3069">
        <v>0</v>
      </c>
      <c r="P3069">
        <v>89</v>
      </c>
      <c r="Q3069" t="s">
        <v>6470</v>
      </c>
    </row>
    <row r="3070" spans="1:17" x14ac:dyDescent="0.3">
      <c r="A3070" t="s">
        <v>73</v>
      </c>
      <c r="B3070" t="str">
        <f>"002222"</f>
        <v>002222</v>
      </c>
      <c r="C3070" t="s">
        <v>6471</v>
      </c>
      <c r="D3070" t="s">
        <v>477</v>
      </c>
      <c r="E3070">
        <v>222148005</v>
      </c>
      <c r="F3070">
        <v>189054012</v>
      </c>
      <c r="G3070">
        <v>163215779</v>
      </c>
      <c r="H3070">
        <v>156859566</v>
      </c>
      <c r="I3070">
        <v>114246370</v>
      </c>
      <c r="J3070">
        <v>78806189</v>
      </c>
      <c r="K3070">
        <v>49816668</v>
      </c>
      <c r="L3070">
        <v>46648115</v>
      </c>
      <c r="M3070">
        <v>46912748</v>
      </c>
      <c r="N3070">
        <v>44930128</v>
      </c>
      <c r="O3070">
        <v>42867079</v>
      </c>
      <c r="P3070">
        <v>517</v>
      </c>
      <c r="Q3070" t="s">
        <v>6472</v>
      </c>
    </row>
    <row r="3071" spans="1:17" x14ac:dyDescent="0.3">
      <c r="A3071" t="s">
        <v>73</v>
      </c>
      <c r="B3071" t="str">
        <f>"002208"</f>
        <v>002208</v>
      </c>
      <c r="C3071" t="s">
        <v>6473</v>
      </c>
      <c r="D3071" t="s">
        <v>27</v>
      </c>
      <c r="E3071">
        <v>222117300</v>
      </c>
      <c r="F3071">
        <v>57819302</v>
      </c>
      <c r="G3071">
        <v>100362401</v>
      </c>
      <c r="H3071">
        <v>0</v>
      </c>
      <c r="I3071">
        <v>0</v>
      </c>
      <c r="J3071">
        <v>0</v>
      </c>
      <c r="K3071">
        <v>0</v>
      </c>
      <c r="L3071">
        <v>3508711</v>
      </c>
      <c r="M3071">
        <v>1572575</v>
      </c>
      <c r="N3071">
        <v>0</v>
      </c>
      <c r="O3071">
        <v>0</v>
      </c>
      <c r="P3071">
        <v>198</v>
      </c>
      <c r="Q3071" t="s">
        <v>6474</v>
      </c>
    </row>
    <row r="3072" spans="1:17" x14ac:dyDescent="0.3">
      <c r="A3072" t="s">
        <v>73</v>
      </c>
      <c r="B3072" t="str">
        <f>"300996"</f>
        <v>300996</v>
      </c>
      <c r="C3072" t="s">
        <v>6475</v>
      </c>
      <c r="D3072" t="s">
        <v>795</v>
      </c>
      <c r="E3072">
        <v>221283822</v>
      </c>
      <c r="F3072">
        <v>188743025</v>
      </c>
      <c r="P3072">
        <v>42</v>
      </c>
      <c r="Q3072" t="s">
        <v>6476</v>
      </c>
    </row>
    <row r="3073" spans="1:17" x14ac:dyDescent="0.3">
      <c r="A3073" t="s">
        <v>73</v>
      </c>
      <c r="B3073" t="str">
        <f>"301117"</f>
        <v>301117</v>
      </c>
      <c r="C3073" t="s">
        <v>6477</v>
      </c>
      <c r="D3073" t="s">
        <v>119</v>
      </c>
      <c r="E3073">
        <v>221127516</v>
      </c>
      <c r="P3073">
        <v>9</v>
      </c>
      <c r="Q3073" t="s">
        <v>6478</v>
      </c>
    </row>
    <row r="3074" spans="1:17" x14ac:dyDescent="0.3">
      <c r="A3074" t="s">
        <v>73</v>
      </c>
      <c r="B3074" t="str">
        <f>"300387"</f>
        <v>300387</v>
      </c>
      <c r="C3074" t="s">
        <v>6479</v>
      </c>
      <c r="D3074" t="s">
        <v>4079</v>
      </c>
      <c r="E3074">
        <v>221043130</v>
      </c>
      <c r="F3074">
        <v>192842856</v>
      </c>
      <c r="G3074">
        <v>244953709</v>
      </c>
      <c r="H3074">
        <v>183473159</v>
      </c>
      <c r="I3074">
        <v>272308791</v>
      </c>
      <c r="J3074">
        <v>185075838</v>
      </c>
      <c r="K3074">
        <v>171453404</v>
      </c>
      <c r="L3074">
        <v>141421681</v>
      </c>
      <c r="M3074">
        <v>0</v>
      </c>
      <c r="P3074">
        <v>89</v>
      </c>
      <c r="Q3074" t="s">
        <v>6480</v>
      </c>
    </row>
    <row r="3075" spans="1:17" x14ac:dyDescent="0.3">
      <c r="A3075" t="s">
        <v>17</v>
      </c>
      <c r="B3075" t="str">
        <f>"688601"</f>
        <v>688601</v>
      </c>
      <c r="C3075" t="s">
        <v>6481</v>
      </c>
      <c r="D3075" t="s">
        <v>3360</v>
      </c>
      <c r="E3075">
        <v>220987867</v>
      </c>
      <c r="F3075">
        <v>128078338</v>
      </c>
      <c r="G3075">
        <v>97167454</v>
      </c>
      <c r="P3075">
        <v>57</v>
      </c>
      <c r="Q3075" t="s">
        <v>6482</v>
      </c>
    </row>
    <row r="3076" spans="1:17" x14ac:dyDescent="0.3">
      <c r="A3076" t="s">
        <v>73</v>
      </c>
      <c r="B3076" t="str">
        <f>"300668"</f>
        <v>300668</v>
      </c>
      <c r="C3076" t="s">
        <v>6483</v>
      </c>
      <c r="D3076" t="s">
        <v>661</v>
      </c>
      <c r="E3076">
        <v>220896791</v>
      </c>
      <c r="F3076">
        <v>194282845</v>
      </c>
      <c r="G3076">
        <v>216156316</v>
      </c>
      <c r="H3076">
        <v>192695617</v>
      </c>
      <c r="I3076">
        <v>138498024</v>
      </c>
      <c r="J3076">
        <v>92935439</v>
      </c>
      <c r="K3076">
        <v>0</v>
      </c>
      <c r="P3076">
        <v>207</v>
      </c>
      <c r="Q3076" t="s">
        <v>6484</v>
      </c>
    </row>
    <row r="3077" spans="1:17" x14ac:dyDescent="0.3">
      <c r="A3077" t="s">
        <v>73</v>
      </c>
      <c r="B3077" t="str">
        <f>"301263"</f>
        <v>301263</v>
      </c>
      <c r="C3077" t="s">
        <v>6485</v>
      </c>
      <c r="E3077">
        <v>220629184</v>
      </c>
      <c r="P3077">
        <v>5</v>
      </c>
      <c r="Q3077" t="s">
        <v>6486</v>
      </c>
    </row>
    <row r="3078" spans="1:17" x14ac:dyDescent="0.3">
      <c r="A3078" t="s">
        <v>73</v>
      </c>
      <c r="B3078" t="str">
        <f>"300807"</f>
        <v>300807</v>
      </c>
      <c r="C3078" t="s">
        <v>6487</v>
      </c>
      <c r="D3078" t="s">
        <v>158</v>
      </c>
      <c r="E3078">
        <v>220534493</v>
      </c>
      <c r="F3078">
        <v>157614960</v>
      </c>
      <c r="G3078">
        <v>202276199</v>
      </c>
      <c r="H3078">
        <v>169578893</v>
      </c>
      <c r="I3078">
        <v>142479239</v>
      </c>
      <c r="P3078">
        <v>103</v>
      </c>
      <c r="Q3078" t="s">
        <v>6488</v>
      </c>
    </row>
    <row r="3079" spans="1:17" x14ac:dyDescent="0.3">
      <c r="A3079" t="s">
        <v>73</v>
      </c>
      <c r="B3079" t="str">
        <f>"003021"</f>
        <v>003021</v>
      </c>
      <c r="C3079" t="s">
        <v>6489</v>
      </c>
      <c r="D3079" t="s">
        <v>689</v>
      </c>
      <c r="E3079">
        <v>220388377</v>
      </c>
      <c r="F3079">
        <v>317671908</v>
      </c>
      <c r="P3079">
        <v>80</v>
      </c>
      <c r="Q3079" t="s">
        <v>6490</v>
      </c>
    </row>
    <row r="3080" spans="1:17" x14ac:dyDescent="0.3">
      <c r="A3080" t="s">
        <v>73</v>
      </c>
      <c r="B3080" t="str">
        <f>"002354"</f>
        <v>002354</v>
      </c>
      <c r="C3080" t="s">
        <v>6491</v>
      </c>
      <c r="D3080" t="s">
        <v>899</v>
      </c>
      <c r="E3080">
        <v>220243870</v>
      </c>
      <c r="F3080">
        <v>185062957</v>
      </c>
      <c r="G3080">
        <v>275520893</v>
      </c>
      <c r="H3080">
        <v>595970606</v>
      </c>
      <c r="I3080">
        <v>845935033</v>
      </c>
      <c r="J3080">
        <v>749874236</v>
      </c>
      <c r="K3080">
        <v>451209579</v>
      </c>
      <c r="L3080">
        <v>124864343</v>
      </c>
      <c r="M3080">
        <v>75693755</v>
      </c>
      <c r="N3080">
        <v>112971047</v>
      </c>
      <c r="O3080">
        <v>147229266</v>
      </c>
      <c r="P3080">
        <v>265</v>
      </c>
      <c r="Q3080" t="s">
        <v>6492</v>
      </c>
    </row>
    <row r="3081" spans="1:17" x14ac:dyDescent="0.3">
      <c r="A3081" t="s">
        <v>73</v>
      </c>
      <c r="B3081" t="str">
        <f>"300990"</f>
        <v>300990</v>
      </c>
      <c r="C3081" t="s">
        <v>6493</v>
      </c>
      <c r="D3081" t="s">
        <v>2227</v>
      </c>
      <c r="E3081">
        <v>220217882</v>
      </c>
      <c r="F3081">
        <v>145975385</v>
      </c>
      <c r="P3081">
        <v>42</v>
      </c>
      <c r="Q3081" t="s">
        <v>6494</v>
      </c>
    </row>
    <row r="3082" spans="1:17" x14ac:dyDescent="0.3">
      <c r="A3082" t="s">
        <v>73</v>
      </c>
      <c r="B3082" t="str">
        <f>"002419"</f>
        <v>002419</v>
      </c>
      <c r="C3082" t="s">
        <v>6495</v>
      </c>
      <c r="D3082" t="s">
        <v>638</v>
      </c>
      <c r="E3082">
        <v>220027718</v>
      </c>
      <c r="F3082">
        <v>113411130</v>
      </c>
      <c r="G3082">
        <v>81397093</v>
      </c>
      <c r="H3082">
        <v>77023385</v>
      </c>
      <c r="I3082">
        <v>56405958</v>
      </c>
      <c r="J3082">
        <v>57544643</v>
      </c>
      <c r="K3082">
        <v>30841072</v>
      </c>
      <c r="L3082">
        <v>30337495</v>
      </c>
      <c r="M3082">
        <v>34288386</v>
      </c>
      <c r="N3082">
        <v>35815207</v>
      </c>
      <c r="O3082">
        <v>24592828</v>
      </c>
      <c r="P3082">
        <v>421</v>
      </c>
      <c r="Q3082" t="s">
        <v>6496</v>
      </c>
    </row>
    <row r="3083" spans="1:17" x14ac:dyDescent="0.3">
      <c r="A3083" t="s">
        <v>73</v>
      </c>
      <c r="B3083" t="str">
        <f>"300563"</f>
        <v>300563</v>
      </c>
      <c r="C3083" t="s">
        <v>6497</v>
      </c>
      <c r="D3083" t="s">
        <v>208</v>
      </c>
      <c r="E3083">
        <v>219896068</v>
      </c>
      <c r="F3083">
        <v>194099332</v>
      </c>
      <c r="G3083">
        <v>124850485</v>
      </c>
      <c r="H3083">
        <v>132124763</v>
      </c>
      <c r="I3083">
        <v>146068745</v>
      </c>
      <c r="J3083">
        <v>115359016</v>
      </c>
      <c r="K3083">
        <v>0</v>
      </c>
      <c r="P3083">
        <v>144</v>
      </c>
      <c r="Q3083" t="s">
        <v>6498</v>
      </c>
    </row>
    <row r="3084" spans="1:17" x14ac:dyDescent="0.3">
      <c r="A3084" t="s">
        <v>73</v>
      </c>
      <c r="B3084" t="str">
        <f>"200869"</f>
        <v>200869</v>
      </c>
      <c r="C3084" t="s">
        <v>6499</v>
      </c>
      <c r="E3084">
        <v>219587834.46799999</v>
      </c>
      <c r="F3084">
        <v>179026643.61050001</v>
      </c>
      <c r="G3084">
        <v>253877143.21169999</v>
      </c>
      <c r="H3084">
        <v>278911188.58859998</v>
      </c>
      <c r="I3084">
        <v>338991078.46450001</v>
      </c>
      <c r="J3084">
        <v>222589752.2238</v>
      </c>
      <c r="K3084">
        <v>302810480.08960003</v>
      </c>
      <c r="L3084">
        <v>237332287.5</v>
      </c>
      <c r="M3084">
        <v>188665190.3012</v>
      </c>
      <c r="N3084">
        <v>200460087.5034</v>
      </c>
      <c r="O3084">
        <v>185908635.30599999</v>
      </c>
      <c r="P3084">
        <v>348</v>
      </c>
      <c r="Q3084" t="s">
        <v>6500</v>
      </c>
    </row>
    <row r="3085" spans="1:17" x14ac:dyDescent="0.3">
      <c r="A3085" t="s">
        <v>73</v>
      </c>
      <c r="B3085" t="str">
        <f>"002982"</f>
        <v>002982</v>
      </c>
      <c r="C3085" t="s">
        <v>6501</v>
      </c>
      <c r="D3085" t="s">
        <v>3664</v>
      </c>
      <c r="E3085">
        <v>219560409</v>
      </c>
      <c r="F3085">
        <v>153494411</v>
      </c>
      <c r="G3085">
        <v>218160042</v>
      </c>
      <c r="H3085">
        <v>0</v>
      </c>
      <c r="P3085">
        <v>131</v>
      </c>
      <c r="Q3085" t="s">
        <v>6502</v>
      </c>
    </row>
    <row r="3086" spans="1:17" x14ac:dyDescent="0.3">
      <c r="A3086" t="s">
        <v>17</v>
      </c>
      <c r="B3086" t="str">
        <f>"603908"</f>
        <v>603908</v>
      </c>
      <c r="C3086" t="s">
        <v>6503</v>
      </c>
      <c r="D3086" t="s">
        <v>2601</v>
      </c>
      <c r="E3086">
        <v>219433164</v>
      </c>
      <c r="F3086">
        <v>137922666</v>
      </c>
      <c r="G3086">
        <v>95376569</v>
      </c>
      <c r="H3086">
        <v>85869043</v>
      </c>
      <c r="I3086">
        <v>83189044</v>
      </c>
      <c r="J3086">
        <v>57609350</v>
      </c>
      <c r="P3086">
        <v>114</v>
      </c>
      <c r="Q3086" t="s">
        <v>6504</v>
      </c>
    </row>
    <row r="3087" spans="1:17" x14ac:dyDescent="0.3">
      <c r="A3087" t="s">
        <v>17</v>
      </c>
      <c r="B3087" t="str">
        <f>"603683"</f>
        <v>603683</v>
      </c>
      <c r="C3087" t="s">
        <v>6505</v>
      </c>
      <c r="D3087" t="s">
        <v>2824</v>
      </c>
      <c r="E3087">
        <v>219428919</v>
      </c>
      <c r="F3087">
        <v>196387611</v>
      </c>
      <c r="G3087">
        <v>134181817</v>
      </c>
      <c r="H3087">
        <v>131194182</v>
      </c>
      <c r="I3087">
        <v>98462330</v>
      </c>
      <c r="P3087">
        <v>58</v>
      </c>
      <c r="Q3087" t="s">
        <v>6506</v>
      </c>
    </row>
    <row r="3088" spans="1:17" x14ac:dyDescent="0.3">
      <c r="A3088" t="s">
        <v>17</v>
      </c>
      <c r="B3088" t="str">
        <f>"688589"</f>
        <v>688589</v>
      </c>
      <c r="C3088" t="s">
        <v>6507</v>
      </c>
      <c r="D3088" t="s">
        <v>890</v>
      </c>
      <c r="E3088">
        <v>219416741</v>
      </c>
      <c r="F3088">
        <v>133363655</v>
      </c>
      <c r="G3088">
        <v>145486003</v>
      </c>
      <c r="P3088">
        <v>73</v>
      </c>
      <c r="Q3088" t="s">
        <v>6508</v>
      </c>
    </row>
    <row r="3089" spans="1:17" x14ac:dyDescent="0.3">
      <c r="A3089" t="s">
        <v>17</v>
      </c>
      <c r="B3089" t="str">
        <f>"603607"</f>
        <v>603607</v>
      </c>
      <c r="C3089" t="s">
        <v>6509</v>
      </c>
      <c r="D3089" t="s">
        <v>5851</v>
      </c>
      <c r="E3089">
        <v>219242230</v>
      </c>
      <c r="F3089">
        <v>197802179</v>
      </c>
      <c r="G3089">
        <v>165170330</v>
      </c>
      <c r="H3089">
        <v>198970401</v>
      </c>
      <c r="I3089">
        <v>151432434</v>
      </c>
      <c r="P3089">
        <v>109</v>
      </c>
      <c r="Q3089" t="s">
        <v>6510</v>
      </c>
    </row>
    <row r="3090" spans="1:17" x14ac:dyDescent="0.3">
      <c r="A3090" t="s">
        <v>17</v>
      </c>
      <c r="B3090" t="str">
        <f>"601696"</f>
        <v>601696</v>
      </c>
      <c r="C3090" t="s">
        <v>6511</v>
      </c>
      <c r="D3090" t="s">
        <v>53</v>
      </c>
      <c r="E3090">
        <v>219192493</v>
      </c>
      <c r="F3090">
        <v>1725982538</v>
      </c>
      <c r="G3090">
        <v>0</v>
      </c>
      <c r="H3090">
        <v>0</v>
      </c>
      <c r="J3090">
        <v>244553814</v>
      </c>
      <c r="L3090">
        <v>159117174</v>
      </c>
      <c r="P3090">
        <v>516</v>
      </c>
      <c r="Q3090" t="s">
        <v>6512</v>
      </c>
    </row>
    <row r="3091" spans="1:17" x14ac:dyDescent="0.3">
      <c r="A3091" t="s">
        <v>17</v>
      </c>
      <c r="B3091" t="str">
        <f>"600489"</f>
        <v>600489</v>
      </c>
      <c r="C3091" t="s">
        <v>6513</v>
      </c>
      <c r="D3091" t="s">
        <v>6198</v>
      </c>
      <c r="E3091">
        <v>218922528</v>
      </c>
      <c r="F3091">
        <v>263134525</v>
      </c>
      <c r="G3091">
        <v>370320333</v>
      </c>
      <c r="H3091">
        <v>260654047</v>
      </c>
      <c r="I3091">
        <v>105630481</v>
      </c>
      <c r="J3091">
        <v>121725903</v>
      </c>
      <c r="K3091">
        <v>148814908</v>
      </c>
      <c r="L3091">
        <v>147231528</v>
      </c>
      <c r="M3091">
        <v>45946564</v>
      </c>
      <c r="N3091">
        <v>401544065</v>
      </c>
      <c r="O3091">
        <v>326731247</v>
      </c>
      <c r="P3091">
        <v>454</v>
      </c>
      <c r="Q3091" t="s">
        <v>6514</v>
      </c>
    </row>
    <row r="3092" spans="1:17" x14ac:dyDescent="0.3">
      <c r="A3092" t="s">
        <v>17</v>
      </c>
      <c r="B3092" t="str">
        <f>"603839"</f>
        <v>603839</v>
      </c>
      <c r="C3092" t="s">
        <v>6515</v>
      </c>
      <c r="D3092" t="s">
        <v>991</v>
      </c>
      <c r="E3092">
        <v>218901568</v>
      </c>
      <c r="F3092">
        <v>348136381</v>
      </c>
      <c r="G3092">
        <v>180077011</v>
      </c>
      <c r="H3092">
        <v>140944720</v>
      </c>
      <c r="I3092">
        <v>106674927</v>
      </c>
      <c r="J3092">
        <v>81826695</v>
      </c>
      <c r="P3092">
        <v>136</v>
      </c>
      <c r="Q3092" t="s">
        <v>6516</v>
      </c>
    </row>
    <row r="3093" spans="1:17" x14ac:dyDescent="0.3">
      <c r="A3093" t="s">
        <v>17</v>
      </c>
      <c r="B3093" t="str">
        <f>"688368"</f>
        <v>688368</v>
      </c>
      <c r="C3093" t="s">
        <v>6517</v>
      </c>
      <c r="D3093" t="s">
        <v>3360</v>
      </c>
      <c r="E3093">
        <v>218661109</v>
      </c>
      <c r="F3093">
        <v>303196037</v>
      </c>
      <c r="G3093">
        <v>196389134</v>
      </c>
      <c r="H3093">
        <v>0</v>
      </c>
      <c r="J3093">
        <v>97652126</v>
      </c>
      <c r="P3093">
        <v>213</v>
      </c>
      <c r="Q3093" t="s">
        <v>6518</v>
      </c>
    </row>
    <row r="3094" spans="1:17" x14ac:dyDescent="0.3">
      <c r="A3094" t="s">
        <v>17</v>
      </c>
      <c r="B3094" t="str">
        <f>"688201"</f>
        <v>688201</v>
      </c>
      <c r="C3094" t="s">
        <v>6519</v>
      </c>
      <c r="D3094" t="s">
        <v>404</v>
      </c>
      <c r="E3094">
        <v>218289342</v>
      </c>
      <c r="F3094">
        <v>143035068</v>
      </c>
      <c r="P3094">
        <v>62</v>
      </c>
      <c r="Q3094" t="s">
        <v>6520</v>
      </c>
    </row>
    <row r="3095" spans="1:17" x14ac:dyDescent="0.3">
      <c r="A3095" t="s">
        <v>73</v>
      </c>
      <c r="B3095" t="str">
        <f>"002873"</f>
        <v>002873</v>
      </c>
      <c r="C3095" t="s">
        <v>6521</v>
      </c>
      <c r="D3095" t="s">
        <v>215</v>
      </c>
      <c r="E3095">
        <v>218276636</v>
      </c>
      <c r="F3095">
        <v>193683057</v>
      </c>
      <c r="G3095">
        <v>145617053</v>
      </c>
      <c r="H3095">
        <v>151240783</v>
      </c>
      <c r="I3095">
        <v>148984411</v>
      </c>
      <c r="J3095">
        <v>134167941</v>
      </c>
      <c r="K3095">
        <v>0</v>
      </c>
      <c r="P3095">
        <v>166</v>
      </c>
      <c r="Q3095" t="s">
        <v>6522</v>
      </c>
    </row>
    <row r="3096" spans="1:17" x14ac:dyDescent="0.3">
      <c r="A3096" t="s">
        <v>73</v>
      </c>
      <c r="B3096" t="str">
        <f>"300856"</f>
        <v>300856</v>
      </c>
      <c r="C3096" t="s">
        <v>6523</v>
      </c>
      <c r="D3096" t="s">
        <v>2859</v>
      </c>
      <c r="E3096">
        <v>217945555</v>
      </c>
      <c r="F3096">
        <v>110572049</v>
      </c>
      <c r="G3096">
        <v>0</v>
      </c>
      <c r="H3096">
        <v>0</v>
      </c>
      <c r="P3096">
        <v>131</v>
      </c>
      <c r="Q3096" t="s">
        <v>6524</v>
      </c>
    </row>
    <row r="3097" spans="1:17" x14ac:dyDescent="0.3">
      <c r="A3097" t="s">
        <v>73</v>
      </c>
      <c r="B3097" t="str">
        <f>"002995"</f>
        <v>002995</v>
      </c>
      <c r="C3097" t="s">
        <v>6525</v>
      </c>
      <c r="D3097" t="s">
        <v>425</v>
      </c>
      <c r="E3097">
        <v>217823972</v>
      </c>
      <c r="F3097">
        <v>195149175</v>
      </c>
      <c r="G3097">
        <v>74754843</v>
      </c>
      <c r="P3097">
        <v>74</v>
      </c>
      <c r="Q3097" t="s">
        <v>6526</v>
      </c>
    </row>
    <row r="3098" spans="1:17" x14ac:dyDescent="0.3">
      <c r="A3098" t="s">
        <v>73</v>
      </c>
      <c r="B3098" t="str">
        <f>"300818"</f>
        <v>300818</v>
      </c>
      <c r="C3098" t="s">
        <v>6527</v>
      </c>
      <c r="D3098" t="s">
        <v>3119</v>
      </c>
      <c r="E3098">
        <v>217403156</v>
      </c>
      <c r="F3098">
        <v>95687393</v>
      </c>
      <c r="G3098">
        <v>57613818</v>
      </c>
      <c r="H3098">
        <v>0</v>
      </c>
      <c r="P3098">
        <v>92</v>
      </c>
      <c r="Q3098" t="s">
        <v>6528</v>
      </c>
    </row>
    <row r="3099" spans="1:17" x14ac:dyDescent="0.3">
      <c r="A3099" t="s">
        <v>17</v>
      </c>
      <c r="B3099" t="str">
        <f>"688098"</f>
        <v>688098</v>
      </c>
      <c r="C3099" t="s">
        <v>6529</v>
      </c>
      <c r="D3099" t="s">
        <v>2849</v>
      </c>
      <c r="E3099">
        <v>217355588</v>
      </c>
      <c r="F3099">
        <v>167972012</v>
      </c>
      <c r="G3099">
        <v>152011237</v>
      </c>
      <c r="H3099">
        <v>0</v>
      </c>
      <c r="P3099">
        <v>73</v>
      </c>
      <c r="Q3099" t="s">
        <v>6530</v>
      </c>
    </row>
    <row r="3100" spans="1:17" x14ac:dyDescent="0.3">
      <c r="A3100" t="s">
        <v>73</v>
      </c>
      <c r="B3100" t="str">
        <f>"300643"</f>
        <v>300643</v>
      </c>
      <c r="C3100" t="s">
        <v>6531</v>
      </c>
      <c r="D3100" t="s">
        <v>722</v>
      </c>
      <c r="E3100">
        <v>217186348</v>
      </c>
      <c r="F3100">
        <v>175970708</v>
      </c>
      <c r="G3100">
        <v>146594932</v>
      </c>
      <c r="H3100">
        <v>50371076</v>
      </c>
      <c r="I3100">
        <v>42736179</v>
      </c>
      <c r="J3100">
        <v>45568214</v>
      </c>
      <c r="K3100">
        <v>0</v>
      </c>
      <c r="P3100">
        <v>96</v>
      </c>
      <c r="Q3100" t="s">
        <v>6532</v>
      </c>
    </row>
    <row r="3101" spans="1:17" x14ac:dyDescent="0.3">
      <c r="A3101" t="s">
        <v>17</v>
      </c>
      <c r="B3101" t="str">
        <f>"688168"</f>
        <v>688168</v>
      </c>
      <c r="C3101" t="s">
        <v>6533</v>
      </c>
      <c r="D3101" t="s">
        <v>404</v>
      </c>
      <c r="E3101">
        <v>216998532</v>
      </c>
      <c r="F3101">
        <v>169252715</v>
      </c>
      <c r="G3101">
        <v>157130956</v>
      </c>
      <c r="H3101">
        <v>0</v>
      </c>
      <c r="P3101">
        <v>144</v>
      </c>
      <c r="Q3101" t="s">
        <v>6534</v>
      </c>
    </row>
    <row r="3102" spans="1:17" x14ac:dyDescent="0.3">
      <c r="A3102" t="s">
        <v>17</v>
      </c>
      <c r="B3102" t="str">
        <f>"600237"</f>
        <v>600237</v>
      </c>
      <c r="C3102" t="s">
        <v>6535</v>
      </c>
      <c r="D3102" t="s">
        <v>1944</v>
      </c>
      <c r="E3102">
        <v>216902893</v>
      </c>
      <c r="F3102">
        <v>247490854</v>
      </c>
      <c r="G3102">
        <v>246899707</v>
      </c>
      <c r="H3102">
        <v>286303257</v>
      </c>
      <c r="I3102">
        <v>279995360</v>
      </c>
      <c r="J3102">
        <v>248243249</v>
      </c>
      <c r="K3102">
        <v>250604783</v>
      </c>
      <c r="L3102">
        <v>253301463</v>
      </c>
      <c r="M3102">
        <v>250717220</v>
      </c>
      <c r="N3102">
        <v>233384178</v>
      </c>
      <c r="O3102">
        <v>204737815</v>
      </c>
      <c r="P3102">
        <v>152</v>
      </c>
      <c r="Q3102" t="s">
        <v>6536</v>
      </c>
    </row>
    <row r="3103" spans="1:17" x14ac:dyDescent="0.3">
      <c r="A3103" t="s">
        <v>73</v>
      </c>
      <c r="B3103" t="str">
        <f>"301193"</f>
        <v>301193</v>
      </c>
      <c r="C3103" t="s">
        <v>6537</v>
      </c>
      <c r="D3103" t="s">
        <v>3902</v>
      </c>
      <c r="E3103">
        <v>216450391</v>
      </c>
      <c r="P3103">
        <v>15</v>
      </c>
      <c r="Q3103" t="s">
        <v>6538</v>
      </c>
    </row>
    <row r="3104" spans="1:17" x14ac:dyDescent="0.3">
      <c r="A3104" t="s">
        <v>17</v>
      </c>
      <c r="B3104" t="str">
        <f>"605376"</f>
        <v>605376</v>
      </c>
      <c r="C3104" t="s">
        <v>6539</v>
      </c>
      <c r="D3104" t="s">
        <v>1240</v>
      </c>
      <c r="E3104">
        <v>216346081</v>
      </c>
      <c r="F3104">
        <v>117073929</v>
      </c>
      <c r="P3104">
        <v>110</v>
      </c>
      <c r="Q3104" t="s">
        <v>6540</v>
      </c>
    </row>
    <row r="3105" spans="1:17" x14ac:dyDescent="0.3">
      <c r="A3105" t="s">
        <v>17</v>
      </c>
      <c r="B3105" t="str">
        <f>"603871"</f>
        <v>603871</v>
      </c>
      <c r="C3105" t="s">
        <v>6541</v>
      </c>
      <c r="D3105" t="s">
        <v>174</v>
      </c>
      <c r="E3105">
        <v>216027526</v>
      </c>
      <c r="F3105">
        <v>173464887</v>
      </c>
      <c r="G3105">
        <v>165369907</v>
      </c>
      <c r="H3105">
        <v>161155390</v>
      </c>
      <c r="I3105">
        <v>94943140</v>
      </c>
      <c r="P3105">
        <v>324</v>
      </c>
      <c r="Q3105" t="s">
        <v>6542</v>
      </c>
    </row>
    <row r="3106" spans="1:17" x14ac:dyDescent="0.3">
      <c r="A3106" t="s">
        <v>73</v>
      </c>
      <c r="B3106" t="str">
        <f>"300789"</f>
        <v>300789</v>
      </c>
      <c r="C3106" t="s">
        <v>6543</v>
      </c>
      <c r="D3106" t="s">
        <v>158</v>
      </c>
      <c r="E3106">
        <v>215863436</v>
      </c>
      <c r="F3106">
        <v>174537727</v>
      </c>
      <c r="G3106">
        <v>177143875</v>
      </c>
      <c r="H3106">
        <v>0</v>
      </c>
      <c r="P3106">
        <v>79</v>
      </c>
      <c r="Q3106" t="s">
        <v>6544</v>
      </c>
    </row>
    <row r="3107" spans="1:17" x14ac:dyDescent="0.3">
      <c r="A3107" t="s">
        <v>73</v>
      </c>
      <c r="B3107" t="str">
        <f>"300489"</f>
        <v>300489</v>
      </c>
      <c r="C3107" t="s">
        <v>6545</v>
      </c>
      <c r="D3107" t="s">
        <v>616</v>
      </c>
      <c r="E3107">
        <v>215558287</v>
      </c>
      <c r="F3107">
        <v>184827657</v>
      </c>
      <c r="G3107">
        <v>32878043</v>
      </c>
      <c r="H3107">
        <v>54439610</v>
      </c>
      <c r="I3107">
        <v>73115853</v>
      </c>
      <c r="J3107">
        <v>66463102</v>
      </c>
      <c r="K3107">
        <v>66745908</v>
      </c>
      <c r="L3107">
        <v>35755201</v>
      </c>
      <c r="M3107">
        <v>0</v>
      </c>
      <c r="P3107">
        <v>71</v>
      </c>
      <c r="Q3107" t="s">
        <v>6546</v>
      </c>
    </row>
    <row r="3108" spans="1:17" x14ac:dyDescent="0.3">
      <c r="A3108" t="s">
        <v>73</v>
      </c>
      <c r="B3108" t="str">
        <f>"300835"</f>
        <v>300835</v>
      </c>
      <c r="C3108" t="s">
        <v>6547</v>
      </c>
      <c r="D3108" t="s">
        <v>1142</v>
      </c>
      <c r="E3108">
        <v>215522262</v>
      </c>
      <c r="F3108">
        <v>180399896</v>
      </c>
      <c r="G3108">
        <v>124172753</v>
      </c>
      <c r="H3108">
        <v>0</v>
      </c>
      <c r="P3108">
        <v>67</v>
      </c>
      <c r="Q3108" t="s">
        <v>6548</v>
      </c>
    </row>
    <row r="3109" spans="1:17" x14ac:dyDescent="0.3">
      <c r="A3109" t="s">
        <v>17</v>
      </c>
      <c r="B3109" t="str">
        <f>"605299"</f>
        <v>605299</v>
      </c>
      <c r="C3109" t="s">
        <v>6549</v>
      </c>
      <c r="D3109" t="s">
        <v>6353</v>
      </c>
      <c r="E3109">
        <v>215448281</v>
      </c>
      <c r="F3109">
        <v>222600118</v>
      </c>
      <c r="I3109">
        <v>231946670</v>
      </c>
      <c r="P3109">
        <v>58</v>
      </c>
      <c r="Q3109" t="s">
        <v>6550</v>
      </c>
    </row>
    <row r="3110" spans="1:17" x14ac:dyDescent="0.3">
      <c r="A3110" t="s">
        <v>73</v>
      </c>
      <c r="B3110" t="str">
        <f>"002612"</f>
        <v>002612</v>
      </c>
      <c r="C3110" t="s">
        <v>6551</v>
      </c>
      <c r="D3110" t="s">
        <v>991</v>
      </c>
      <c r="E3110">
        <v>215254618</v>
      </c>
      <c r="F3110">
        <v>321955666</v>
      </c>
      <c r="G3110">
        <v>272522274</v>
      </c>
      <c r="H3110">
        <v>340318613</v>
      </c>
      <c r="I3110">
        <v>420142574</v>
      </c>
      <c r="J3110">
        <v>388221237</v>
      </c>
      <c r="K3110">
        <v>96622883</v>
      </c>
      <c r="L3110">
        <v>100455184</v>
      </c>
      <c r="M3110">
        <v>132379771</v>
      </c>
      <c r="N3110">
        <v>101790911</v>
      </c>
      <c r="O3110">
        <v>85331952</v>
      </c>
      <c r="P3110">
        <v>370</v>
      </c>
      <c r="Q3110" t="s">
        <v>6552</v>
      </c>
    </row>
    <row r="3111" spans="1:17" x14ac:dyDescent="0.3">
      <c r="A3111" t="s">
        <v>73</v>
      </c>
      <c r="B3111" t="str">
        <f>"002017"</f>
        <v>002017</v>
      </c>
      <c r="C3111" t="s">
        <v>6553</v>
      </c>
      <c r="D3111" t="s">
        <v>332</v>
      </c>
      <c r="E3111">
        <v>215011886</v>
      </c>
      <c r="F3111">
        <v>137189480</v>
      </c>
      <c r="G3111">
        <v>181213035</v>
      </c>
      <c r="H3111">
        <v>198628346</v>
      </c>
      <c r="I3111">
        <v>204090633</v>
      </c>
      <c r="J3111">
        <v>199435814</v>
      </c>
      <c r="K3111">
        <v>185937061</v>
      </c>
      <c r="L3111">
        <v>271503672</v>
      </c>
      <c r="M3111">
        <v>278323722</v>
      </c>
      <c r="N3111">
        <v>299010623</v>
      </c>
      <c r="O3111">
        <v>252936574</v>
      </c>
      <c r="P3111">
        <v>216</v>
      </c>
      <c r="Q3111" t="s">
        <v>6554</v>
      </c>
    </row>
    <row r="3112" spans="1:17" x14ac:dyDescent="0.3">
      <c r="A3112" t="s">
        <v>73</v>
      </c>
      <c r="B3112" t="str">
        <f>"301187"</f>
        <v>301187</v>
      </c>
      <c r="C3112" t="s">
        <v>6555</v>
      </c>
      <c r="E3112">
        <v>214361387</v>
      </c>
      <c r="G3112">
        <v>90449798</v>
      </c>
      <c r="P3112">
        <v>1</v>
      </c>
      <c r="Q3112" t="s">
        <v>6556</v>
      </c>
    </row>
    <row r="3113" spans="1:17" x14ac:dyDescent="0.3">
      <c r="A3113" t="s">
        <v>73</v>
      </c>
      <c r="B3113" t="str">
        <f>"300882"</f>
        <v>300882</v>
      </c>
      <c r="C3113" t="s">
        <v>6557</v>
      </c>
      <c r="D3113" t="s">
        <v>1280</v>
      </c>
      <c r="E3113">
        <v>214166575</v>
      </c>
      <c r="F3113">
        <v>269542933</v>
      </c>
      <c r="P3113">
        <v>41</v>
      </c>
      <c r="Q3113" t="s">
        <v>6558</v>
      </c>
    </row>
    <row r="3114" spans="1:17" x14ac:dyDescent="0.3">
      <c r="A3114" t="s">
        <v>73</v>
      </c>
      <c r="B3114" t="str">
        <f>"300984"</f>
        <v>300984</v>
      </c>
      <c r="C3114" t="s">
        <v>6559</v>
      </c>
      <c r="D3114" t="s">
        <v>873</v>
      </c>
      <c r="E3114">
        <v>214054688</v>
      </c>
      <c r="F3114">
        <v>150369142</v>
      </c>
      <c r="P3114">
        <v>18</v>
      </c>
      <c r="Q3114" t="s">
        <v>6560</v>
      </c>
    </row>
    <row r="3115" spans="1:17" x14ac:dyDescent="0.3">
      <c r="A3115" t="s">
        <v>73</v>
      </c>
      <c r="B3115" t="str">
        <f>"300817"</f>
        <v>300817</v>
      </c>
      <c r="C3115" t="s">
        <v>6561</v>
      </c>
      <c r="D3115" t="s">
        <v>146</v>
      </c>
      <c r="E3115">
        <v>214041756</v>
      </c>
      <c r="F3115">
        <v>224363496</v>
      </c>
      <c r="G3115">
        <v>151379590</v>
      </c>
      <c r="H3115">
        <v>0</v>
      </c>
      <c r="P3115">
        <v>63</v>
      </c>
      <c r="Q3115" t="s">
        <v>6562</v>
      </c>
    </row>
    <row r="3116" spans="1:17" x14ac:dyDescent="0.3">
      <c r="A3116" t="s">
        <v>73</v>
      </c>
      <c r="B3116" t="str">
        <f>"002943"</f>
        <v>002943</v>
      </c>
      <c r="C3116" t="s">
        <v>6563</v>
      </c>
      <c r="D3116" t="s">
        <v>2332</v>
      </c>
      <c r="E3116">
        <v>214017866</v>
      </c>
      <c r="F3116">
        <v>163339448</v>
      </c>
      <c r="G3116">
        <v>136504614</v>
      </c>
      <c r="H3116">
        <v>214995369</v>
      </c>
      <c r="I3116">
        <v>169620174</v>
      </c>
      <c r="P3116">
        <v>74</v>
      </c>
      <c r="Q3116" t="s">
        <v>6564</v>
      </c>
    </row>
    <row r="3117" spans="1:17" x14ac:dyDescent="0.3">
      <c r="A3117" t="s">
        <v>17</v>
      </c>
      <c r="B3117" t="str">
        <f>"600811"</f>
        <v>600811</v>
      </c>
      <c r="C3117" t="s">
        <v>6565</v>
      </c>
      <c r="D3117" t="s">
        <v>466</v>
      </c>
      <c r="E3117">
        <v>214013078</v>
      </c>
      <c r="F3117">
        <v>209236247</v>
      </c>
      <c r="G3117">
        <v>229355711</v>
      </c>
      <c r="H3117">
        <v>2841430608</v>
      </c>
      <c r="I3117">
        <v>105980659</v>
      </c>
      <c r="J3117">
        <v>85740448</v>
      </c>
      <c r="K3117">
        <v>129147974</v>
      </c>
      <c r="L3117">
        <v>218692729</v>
      </c>
      <c r="M3117">
        <v>86650228</v>
      </c>
      <c r="N3117">
        <v>489175748</v>
      </c>
      <c r="O3117">
        <v>151403979</v>
      </c>
      <c r="P3117">
        <v>205</v>
      </c>
      <c r="Q3117" t="s">
        <v>6566</v>
      </c>
    </row>
    <row r="3118" spans="1:17" x14ac:dyDescent="0.3">
      <c r="A3118" t="s">
        <v>73</v>
      </c>
      <c r="B3118" t="str">
        <f>"002437"</f>
        <v>002437</v>
      </c>
      <c r="C3118" t="s">
        <v>6567</v>
      </c>
      <c r="D3118" t="s">
        <v>348</v>
      </c>
      <c r="E3118">
        <v>213951562</v>
      </c>
      <c r="F3118">
        <v>284571688</v>
      </c>
      <c r="G3118">
        <v>410161147</v>
      </c>
      <c r="H3118">
        <v>657367600</v>
      </c>
      <c r="I3118">
        <v>569143722</v>
      </c>
      <c r="J3118">
        <v>171321368</v>
      </c>
      <c r="K3118">
        <v>91512654</v>
      </c>
      <c r="L3118">
        <v>119370588</v>
      </c>
      <c r="M3118">
        <v>114847838</v>
      </c>
      <c r="N3118">
        <v>78550109</v>
      </c>
      <c r="O3118">
        <v>6356760</v>
      </c>
      <c r="P3118">
        <v>189</v>
      </c>
      <c r="Q3118" t="s">
        <v>6568</v>
      </c>
    </row>
    <row r="3119" spans="1:17" x14ac:dyDescent="0.3">
      <c r="A3119" t="s">
        <v>73</v>
      </c>
      <c r="B3119" t="str">
        <f>"300620"</f>
        <v>300620</v>
      </c>
      <c r="C3119" t="s">
        <v>6569</v>
      </c>
      <c r="D3119" t="s">
        <v>189</v>
      </c>
      <c r="E3119">
        <v>213724196</v>
      </c>
      <c r="F3119">
        <v>156696550</v>
      </c>
      <c r="G3119">
        <v>95375131</v>
      </c>
      <c r="H3119">
        <v>85126087</v>
      </c>
      <c r="I3119">
        <v>52274157</v>
      </c>
      <c r="J3119">
        <v>42783349</v>
      </c>
      <c r="K3119">
        <v>0</v>
      </c>
      <c r="P3119">
        <v>245</v>
      </c>
      <c r="Q3119" t="s">
        <v>6570</v>
      </c>
    </row>
    <row r="3120" spans="1:17" x14ac:dyDescent="0.3">
      <c r="A3120" t="s">
        <v>73</v>
      </c>
      <c r="B3120" t="str">
        <f>"300586"</f>
        <v>300586</v>
      </c>
      <c r="C3120" t="s">
        <v>6571</v>
      </c>
      <c r="D3120" t="s">
        <v>570</v>
      </c>
      <c r="E3120">
        <v>213597120</v>
      </c>
      <c r="F3120">
        <v>238662566</v>
      </c>
      <c r="G3120">
        <v>183214188</v>
      </c>
      <c r="H3120">
        <v>190321692</v>
      </c>
      <c r="I3120">
        <v>89531559</v>
      </c>
      <c r="J3120">
        <v>58868820</v>
      </c>
      <c r="K3120">
        <v>0</v>
      </c>
      <c r="P3120">
        <v>132</v>
      </c>
      <c r="Q3120" t="s">
        <v>6572</v>
      </c>
    </row>
    <row r="3121" spans="1:17" x14ac:dyDescent="0.3">
      <c r="A3121" t="s">
        <v>73</v>
      </c>
      <c r="B3121" t="str">
        <f>"002039"</f>
        <v>002039</v>
      </c>
      <c r="C3121" t="s">
        <v>6573</v>
      </c>
      <c r="D3121" t="s">
        <v>290</v>
      </c>
      <c r="E3121">
        <v>213465320</v>
      </c>
      <c r="F3121">
        <v>136141637</v>
      </c>
      <c r="G3121">
        <v>163103713</v>
      </c>
      <c r="H3121">
        <v>84856243</v>
      </c>
      <c r="I3121">
        <v>161337500</v>
      </c>
      <c r="J3121">
        <v>196787684</v>
      </c>
      <c r="K3121">
        <v>280846371</v>
      </c>
      <c r="L3121">
        <v>348276023</v>
      </c>
      <c r="M3121">
        <v>105475840</v>
      </c>
      <c r="N3121">
        <v>182658642</v>
      </c>
      <c r="O3121">
        <v>31032867</v>
      </c>
      <c r="P3121">
        <v>431</v>
      </c>
      <c r="Q3121" t="s">
        <v>6574</v>
      </c>
    </row>
    <row r="3122" spans="1:17" x14ac:dyDescent="0.3">
      <c r="A3122" t="s">
        <v>73</v>
      </c>
      <c r="B3122" t="str">
        <f>"300716"</f>
        <v>300716</v>
      </c>
      <c r="C3122" t="s">
        <v>6575</v>
      </c>
      <c r="D3122" t="s">
        <v>570</v>
      </c>
      <c r="E3122">
        <v>212759967</v>
      </c>
      <c r="F3122">
        <v>551805334</v>
      </c>
      <c r="G3122">
        <v>472781239</v>
      </c>
      <c r="H3122">
        <v>436245393</v>
      </c>
      <c r="I3122">
        <v>290942058</v>
      </c>
      <c r="J3122">
        <v>0</v>
      </c>
      <c r="P3122">
        <v>59</v>
      </c>
      <c r="Q3122" t="s">
        <v>6576</v>
      </c>
    </row>
    <row r="3123" spans="1:17" x14ac:dyDescent="0.3">
      <c r="A3123" t="s">
        <v>17</v>
      </c>
      <c r="B3123" t="str">
        <f>"688689"</f>
        <v>688689</v>
      </c>
      <c r="C3123" t="s">
        <v>6577</v>
      </c>
      <c r="D3123" t="s">
        <v>1479</v>
      </c>
      <c r="E3123">
        <v>212751070</v>
      </c>
      <c r="F3123">
        <v>153394761</v>
      </c>
      <c r="G3123">
        <v>0</v>
      </c>
      <c r="P3123">
        <v>46</v>
      </c>
      <c r="Q3123" t="s">
        <v>6578</v>
      </c>
    </row>
    <row r="3124" spans="1:17" x14ac:dyDescent="0.3">
      <c r="A3124" t="s">
        <v>73</v>
      </c>
      <c r="B3124" t="str">
        <f>"000620"</f>
        <v>000620</v>
      </c>
      <c r="C3124" t="s">
        <v>6579</v>
      </c>
      <c r="D3124" t="s">
        <v>27</v>
      </c>
      <c r="E3124">
        <v>212737479</v>
      </c>
      <c r="F3124">
        <v>255544634</v>
      </c>
      <c r="G3124">
        <v>390587017</v>
      </c>
      <c r="H3124">
        <v>479056110</v>
      </c>
      <c r="I3124">
        <v>567338305</v>
      </c>
      <c r="J3124">
        <v>296518636</v>
      </c>
      <c r="K3124">
        <v>419884571</v>
      </c>
      <c r="L3124">
        <v>313374649</v>
      </c>
      <c r="M3124">
        <v>75906318</v>
      </c>
      <c r="N3124">
        <v>171869925</v>
      </c>
      <c r="O3124">
        <v>84132696</v>
      </c>
      <c r="P3124">
        <v>298</v>
      </c>
      <c r="Q3124" t="s">
        <v>6580</v>
      </c>
    </row>
    <row r="3125" spans="1:17" x14ac:dyDescent="0.3">
      <c r="A3125" t="s">
        <v>17</v>
      </c>
      <c r="B3125" t="str">
        <f>"601198"</f>
        <v>601198</v>
      </c>
      <c r="C3125" t="s">
        <v>6581</v>
      </c>
      <c r="D3125" t="s">
        <v>53</v>
      </c>
      <c r="E3125">
        <v>212344642</v>
      </c>
      <c r="F3125">
        <v>112562033</v>
      </c>
      <c r="G3125">
        <v>208922597</v>
      </c>
      <c r="H3125">
        <v>281927977</v>
      </c>
      <c r="I3125">
        <v>323595692</v>
      </c>
      <c r="J3125">
        <v>864639566</v>
      </c>
      <c r="K3125">
        <v>0</v>
      </c>
      <c r="L3125">
        <v>0</v>
      </c>
      <c r="M3125">
        <v>0</v>
      </c>
      <c r="P3125">
        <v>814</v>
      </c>
      <c r="Q3125" t="s">
        <v>6582</v>
      </c>
    </row>
    <row r="3126" spans="1:17" x14ac:dyDescent="0.3">
      <c r="A3126" t="s">
        <v>17</v>
      </c>
      <c r="B3126" t="str">
        <f>"688008"</f>
        <v>688008</v>
      </c>
      <c r="C3126" t="s">
        <v>6583</v>
      </c>
      <c r="D3126" t="s">
        <v>890</v>
      </c>
      <c r="E3126">
        <v>212289601</v>
      </c>
      <c r="F3126">
        <v>104934240</v>
      </c>
      <c r="G3126">
        <v>177256278</v>
      </c>
      <c r="H3126">
        <v>0</v>
      </c>
      <c r="P3126">
        <v>522</v>
      </c>
      <c r="Q3126" t="s">
        <v>6584</v>
      </c>
    </row>
    <row r="3127" spans="1:17" x14ac:dyDescent="0.3">
      <c r="A3127" t="s">
        <v>73</v>
      </c>
      <c r="B3127" t="str">
        <f>"002678"</f>
        <v>002678</v>
      </c>
      <c r="C3127" t="s">
        <v>6585</v>
      </c>
      <c r="D3127" t="s">
        <v>6353</v>
      </c>
      <c r="E3127">
        <v>212124809</v>
      </c>
      <c r="F3127">
        <v>247151354</v>
      </c>
      <c r="G3127">
        <v>209271804</v>
      </c>
      <c r="H3127">
        <v>247036802</v>
      </c>
      <c r="I3127">
        <v>231736038</v>
      </c>
      <c r="J3127">
        <v>235825857</v>
      </c>
      <c r="K3127">
        <v>270095850</v>
      </c>
      <c r="L3127">
        <v>287821532</v>
      </c>
      <c r="M3127">
        <v>250576301</v>
      </c>
      <c r="N3127">
        <v>221687818</v>
      </c>
      <c r="O3127">
        <v>165197601</v>
      </c>
      <c r="P3127">
        <v>113</v>
      </c>
      <c r="Q3127" t="s">
        <v>6586</v>
      </c>
    </row>
    <row r="3128" spans="1:17" x14ac:dyDescent="0.3">
      <c r="A3128" t="s">
        <v>17</v>
      </c>
      <c r="B3128" t="str">
        <f>"688060"</f>
        <v>688060</v>
      </c>
      <c r="C3128" t="s">
        <v>6587</v>
      </c>
      <c r="D3128" t="s">
        <v>158</v>
      </c>
      <c r="E3128">
        <v>212070625</v>
      </c>
      <c r="F3128">
        <v>160633422</v>
      </c>
      <c r="G3128">
        <v>93822403</v>
      </c>
      <c r="H3128">
        <v>0</v>
      </c>
      <c r="P3128">
        <v>75</v>
      </c>
      <c r="Q3128" t="s">
        <v>6588</v>
      </c>
    </row>
    <row r="3129" spans="1:17" x14ac:dyDescent="0.3">
      <c r="A3129" t="s">
        <v>73</v>
      </c>
      <c r="B3129" t="str">
        <f>"003004"</f>
        <v>003004</v>
      </c>
      <c r="C3129" t="s">
        <v>6589</v>
      </c>
      <c r="D3129" t="s">
        <v>119</v>
      </c>
      <c r="E3129">
        <v>212045326</v>
      </c>
      <c r="F3129">
        <v>214133381</v>
      </c>
      <c r="P3129">
        <v>37</v>
      </c>
      <c r="Q3129" t="s">
        <v>6590</v>
      </c>
    </row>
    <row r="3130" spans="1:17" x14ac:dyDescent="0.3">
      <c r="A3130" t="s">
        <v>17</v>
      </c>
      <c r="B3130" t="str">
        <f>"600547"</f>
        <v>600547</v>
      </c>
      <c r="C3130" t="s">
        <v>6591</v>
      </c>
      <c r="D3130" t="s">
        <v>6198</v>
      </c>
      <c r="E3130">
        <v>212034227</v>
      </c>
      <c r="F3130">
        <v>347328510</v>
      </c>
      <c r="G3130">
        <v>397177858</v>
      </c>
      <c r="H3130">
        <v>356773928</v>
      </c>
      <c r="I3130">
        <v>158728950</v>
      </c>
      <c r="J3130">
        <v>70866847</v>
      </c>
      <c r="K3130">
        <v>79219485</v>
      </c>
      <c r="L3130">
        <v>60039445</v>
      </c>
      <c r="M3130">
        <v>65657181</v>
      </c>
      <c r="N3130">
        <v>55125333</v>
      </c>
      <c r="O3130">
        <v>18272190</v>
      </c>
      <c r="P3130">
        <v>942</v>
      </c>
      <c r="Q3130" t="s">
        <v>6592</v>
      </c>
    </row>
    <row r="3131" spans="1:17" x14ac:dyDescent="0.3">
      <c r="A3131" t="s">
        <v>73</v>
      </c>
      <c r="B3131" t="str">
        <f>"300359"</f>
        <v>300359</v>
      </c>
      <c r="C3131" t="s">
        <v>6593</v>
      </c>
      <c r="D3131" t="s">
        <v>4778</v>
      </c>
      <c r="E3131">
        <v>211928682</v>
      </c>
      <c r="F3131">
        <v>208919404</v>
      </c>
      <c r="G3131">
        <v>276662171</v>
      </c>
      <c r="H3131">
        <v>453466021</v>
      </c>
      <c r="I3131">
        <v>433635345</v>
      </c>
      <c r="J3131">
        <v>424846403</v>
      </c>
      <c r="K3131">
        <v>256913284</v>
      </c>
      <c r="L3131">
        <v>59412386</v>
      </c>
      <c r="M3131">
        <v>41847801</v>
      </c>
      <c r="N3131">
        <v>0</v>
      </c>
      <c r="P3131">
        <v>166</v>
      </c>
      <c r="Q3131" t="s">
        <v>6594</v>
      </c>
    </row>
    <row r="3132" spans="1:17" x14ac:dyDescent="0.3">
      <c r="A3132" t="s">
        <v>73</v>
      </c>
      <c r="B3132" t="str">
        <f>"300077"</f>
        <v>300077</v>
      </c>
      <c r="C3132" t="s">
        <v>6595</v>
      </c>
      <c r="D3132" t="s">
        <v>890</v>
      </c>
      <c r="E3132">
        <v>211888998</v>
      </c>
      <c r="F3132">
        <v>201472685</v>
      </c>
      <c r="G3132">
        <v>271625316</v>
      </c>
      <c r="H3132">
        <v>437230703</v>
      </c>
      <c r="I3132">
        <v>452578388</v>
      </c>
      <c r="J3132">
        <v>415903323</v>
      </c>
      <c r="K3132">
        <v>390426415</v>
      </c>
      <c r="L3132">
        <v>253878431</v>
      </c>
      <c r="M3132">
        <v>191656801</v>
      </c>
      <c r="N3132">
        <v>180599667</v>
      </c>
      <c r="O3132">
        <v>239321789</v>
      </c>
      <c r="P3132">
        <v>3150</v>
      </c>
      <c r="Q3132" t="s">
        <v>6596</v>
      </c>
    </row>
    <row r="3133" spans="1:17" x14ac:dyDescent="0.3">
      <c r="A3133" t="s">
        <v>17</v>
      </c>
      <c r="B3133" t="str">
        <f>"605180"</f>
        <v>605180</v>
      </c>
      <c r="C3133" t="s">
        <v>6597</v>
      </c>
      <c r="D3133" t="s">
        <v>3204</v>
      </c>
      <c r="E3133">
        <v>211799901</v>
      </c>
      <c r="F3133">
        <v>200278254</v>
      </c>
      <c r="P3133">
        <v>40</v>
      </c>
      <c r="Q3133" t="s">
        <v>6598</v>
      </c>
    </row>
    <row r="3134" spans="1:17" x14ac:dyDescent="0.3">
      <c r="A3134" t="s">
        <v>17</v>
      </c>
      <c r="B3134" t="str">
        <f>"688668"</f>
        <v>688668</v>
      </c>
      <c r="C3134" t="s">
        <v>6599</v>
      </c>
      <c r="D3134" t="s">
        <v>189</v>
      </c>
      <c r="E3134">
        <v>211740638</v>
      </c>
      <c r="F3134">
        <v>136734606</v>
      </c>
      <c r="P3134">
        <v>44</v>
      </c>
      <c r="Q3134" t="s">
        <v>6600</v>
      </c>
    </row>
    <row r="3135" spans="1:17" x14ac:dyDescent="0.3">
      <c r="A3135" t="s">
        <v>17</v>
      </c>
      <c r="B3135" t="str">
        <f>"600415"</f>
        <v>600415</v>
      </c>
      <c r="C3135" t="s">
        <v>6601</v>
      </c>
      <c r="D3135" t="s">
        <v>1463</v>
      </c>
      <c r="E3135">
        <v>211647684</v>
      </c>
      <c r="F3135">
        <v>170529617</v>
      </c>
      <c r="G3135">
        <v>37737419</v>
      </c>
      <c r="H3135">
        <v>17131849</v>
      </c>
      <c r="I3135">
        <v>16242510</v>
      </c>
      <c r="J3135">
        <v>77462709</v>
      </c>
      <c r="K3135">
        <v>59999787</v>
      </c>
      <c r="L3135">
        <v>82127058</v>
      </c>
      <c r="M3135">
        <v>64042256</v>
      </c>
      <c r="N3135">
        <v>61008552</v>
      </c>
      <c r="O3135">
        <v>56373532</v>
      </c>
      <c r="P3135">
        <v>327</v>
      </c>
      <c r="Q3135" t="s">
        <v>6602</v>
      </c>
    </row>
    <row r="3136" spans="1:17" x14ac:dyDescent="0.3">
      <c r="A3136" t="s">
        <v>17</v>
      </c>
      <c r="B3136" t="str">
        <f>"688131"</f>
        <v>688131</v>
      </c>
      <c r="C3136" t="s">
        <v>6603</v>
      </c>
      <c r="D3136" t="s">
        <v>908</v>
      </c>
      <c r="E3136">
        <v>211458770</v>
      </c>
      <c r="F3136">
        <v>98984077</v>
      </c>
      <c r="P3136">
        <v>88</v>
      </c>
      <c r="Q3136" t="s">
        <v>6604</v>
      </c>
    </row>
    <row r="3137" spans="1:17" x14ac:dyDescent="0.3">
      <c r="A3137" t="s">
        <v>73</v>
      </c>
      <c r="B3137" t="str">
        <f>"300289"</f>
        <v>300289</v>
      </c>
      <c r="C3137" t="s">
        <v>6605</v>
      </c>
      <c r="D3137" t="s">
        <v>773</v>
      </c>
      <c r="E3137">
        <v>211419365</v>
      </c>
      <c r="F3137">
        <v>217186384</v>
      </c>
      <c r="G3137">
        <v>255349507</v>
      </c>
      <c r="H3137">
        <v>293866352</v>
      </c>
      <c r="I3137">
        <v>277506512</v>
      </c>
      <c r="J3137">
        <v>355713956</v>
      </c>
      <c r="K3137">
        <v>325209380</v>
      </c>
      <c r="L3137">
        <v>318854967</v>
      </c>
      <c r="M3137">
        <v>161438692</v>
      </c>
      <c r="N3137">
        <v>121726643</v>
      </c>
      <c r="O3137">
        <v>84672802</v>
      </c>
      <c r="P3137">
        <v>132</v>
      </c>
      <c r="Q3137" t="s">
        <v>6606</v>
      </c>
    </row>
    <row r="3138" spans="1:17" x14ac:dyDescent="0.3">
      <c r="A3138" t="s">
        <v>73</v>
      </c>
      <c r="B3138" t="str">
        <f>"002021"</f>
        <v>002021</v>
      </c>
      <c r="C3138" t="s">
        <v>6607</v>
      </c>
      <c r="D3138" t="s">
        <v>792</v>
      </c>
      <c r="E3138">
        <v>211107286</v>
      </c>
      <c r="F3138">
        <v>168747751</v>
      </c>
      <c r="G3138">
        <v>145717300</v>
      </c>
      <c r="H3138">
        <v>193601572</v>
      </c>
      <c r="I3138">
        <v>228260557</v>
      </c>
      <c r="J3138">
        <v>209681824</v>
      </c>
      <c r="K3138">
        <v>212447474</v>
      </c>
      <c r="L3138">
        <v>334149721</v>
      </c>
      <c r="M3138">
        <v>412635284</v>
      </c>
      <c r="N3138">
        <v>349302488</v>
      </c>
      <c r="O3138">
        <v>286902265</v>
      </c>
      <c r="P3138">
        <v>57</v>
      </c>
      <c r="Q3138" t="s">
        <v>6608</v>
      </c>
    </row>
    <row r="3139" spans="1:17" x14ac:dyDescent="0.3">
      <c r="A3139" t="s">
        <v>17</v>
      </c>
      <c r="B3139" t="str">
        <f>"688228"</f>
        <v>688228</v>
      </c>
      <c r="C3139" t="s">
        <v>6609</v>
      </c>
      <c r="D3139" t="s">
        <v>302</v>
      </c>
      <c r="E3139">
        <v>211068693</v>
      </c>
      <c r="F3139">
        <v>58512572</v>
      </c>
      <c r="G3139">
        <v>86567096</v>
      </c>
      <c r="H3139">
        <v>0</v>
      </c>
      <c r="P3139">
        <v>93</v>
      </c>
      <c r="Q3139" t="s">
        <v>6610</v>
      </c>
    </row>
    <row r="3140" spans="1:17" x14ac:dyDescent="0.3">
      <c r="A3140" t="s">
        <v>73</v>
      </c>
      <c r="B3140" t="str">
        <f>"300799"</f>
        <v>300799</v>
      </c>
      <c r="C3140" t="s">
        <v>6611</v>
      </c>
      <c r="D3140" t="s">
        <v>404</v>
      </c>
      <c r="E3140">
        <v>210955233</v>
      </c>
      <c r="F3140">
        <v>261781417</v>
      </c>
      <c r="G3140">
        <v>278111547</v>
      </c>
      <c r="H3140">
        <v>0</v>
      </c>
      <c r="P3140">
        <v>140</v>
      </c>
      <c r="Q3140" t="s">
        <v>6612</v>
      </c>
    </row>
    <row r="3141" spans="1:17" x14ac:dyDescent="0.3">
      <c r="A3141" t="s">
        <v>73</v>
      </c>
      <c r="B3141" t="str">
        <f>"002796"</f>
        <v>002796</v>
      </c>
      <c r="C3141" t="s">
        <v>6613</v>
      </c>
      <c r="D3141" t="s">
        <v>744</v>
      </c>
      <c r="E3141">
        <v>210933307</v>
      </c>
      <c r="F3141">
        <v>288719473</v>
      </c>
      <c r="G3141">
        <v>236155309</v>
      </c>
      <c r="H3141">
        <v>320542698</v>
      </c>
      <c r="I3141">
        <v>192344541</v>
      </c>
      <c r="J3141">
        <v>107437971</v>
      </c>
      <c r="K3141">
        <v>81951518</v>
      </c>
      <c r="L3141">
        <v>0</v>
      </c>
      <c r="P3141">
        <v>248</v>
      </c>
      <c r="Q3141" t="s">
        <v>6614</v>
      </c>
    </row>
    <row r="3142" spans="1:17" x14ac:dyDescent="0.3">
      <c r="A3142" t="s">
        <v>73</v>
      </c>
      <c r="B3142" t="str">
        <f>"300783"</f>
        <v>300783</v>
      </c>
      <c r="C3142" t="s">
        <v>6615</v>
      </c>
      <c r="D3142" t="s">
        <v>4657</v>
      </c>
      <c r="E3142">
        <v>210806840</v>
      </c>
      <c r="F3142">
        <v>314761956</v>
      </c>
      <c r="G3142">
        <v>155482821</v>
      </c>
      <c r="H3142">
        <v>0</v>
      </c>
      <c r="I3142">
        <v>0</v>
      </c>
      <c r="P3142">
        <v>730</v>
      </c>
      <c r="Q3142" t="s">
        <v>6616</v>
      </c>
    </row>
    <row r="3143" spans="1:17" x14ac:dyDescent="0.3">
      <c r="A3143" t="s">
        <v>17</v>
      </c>
      <c r="B3143" t="str">
        <f>"603703"</f>
        <v>603703</v>
      </c>
      <c r="C3143" t="s">
        <v>6617</v>
      </c>
      <c r="D3143" t="s">
        <v>737</v>
      </c>
      <c r="E3143">
        <v>210725084</v>
      </c>
      <c r="F3143">
        <v>277897139</v>
      </c>
      <c r="G3143">
        <v>285128149</v>
      </c>
      <c r="H3143">
        <v>226852738</v>
      </c>
      <c r="I3143">
        <v>264941037</v>
      </c>
      <c r="J3143">
        <v>267746422</v>
      </c>
      <c r="K3143">
        <v>140890460</v>
      </c>
      <c r="L3143">
        <v>0</v>
      </c>
      <c r="P3143">
        <v>78</v>
      </c>
      <c r="Q3143" t="s">
        <v>6618</v>
      </c>
    </row>
    <row r="3144" spans="1:17" x14ac:dyDescent="0.3">
      <c r="A3144" t="s">
        <v>17</v>
      </c>
      <c r="B3144" t="str">
        <f>"688102"</f>
        <v>688102</v>
      </c>
      <c r="C3144" t="s">
        <v>6619</v>
      </c>
      <c r="E3144">
        <v>210608198</v>
      </c>
      <c r="P3144">
        <v>3</v>
      </c>
      <c r="Q3144" t="s">
        <v>6620</v>
      </c>
    </row>
    <row r="3145" spans="1:17" x14ac:dyDescent="0.3">
      <c r="A3145" t="s">
        <v>73</v>
      </c>
      <c r="B3145" t="str">
        <f>"300293"</f>
        <v>300293</v>
      </c>
      <c r="C3145" t="s">
        <v>6621</v>
      </c>
      <c r="D3145" t="s">
        <v>1451</v>
      </c>
      <c r="E3145">
        <v>210566345</v>
      </c>
      <c r="F3145">
        <v>263051326</v>
      </c>
      <c r="G3145">
        <v>367218130</v>
      </c>
      <c r="H3145">
        <v>430822568</v>
      </c>
      <c r="I3145">
        <v>417505667</v>
      </c>
      <c r="J3145">
        <v>249157925</v>
      </c>
      <c r="K3145">
        <v>305179962</v>
      </c>
      <c r="L3145">
        <v>330189005</v>
      </c>
      <c r="M3145">
        <v>214100992</v>
      </c>
      <c r="N3145">
        <v>172571200</v>
      </c>
      <c r="O3145">
        <v>84419061</v>
      </c>
      <c r="P3145">
        <v>112</v>
      </c>
      <c r="Q3145" t="s">
        <v>6622</v>
      </c>
    </row>
    <row r="3146" spans="1:17" x14ac:dyDescent="0.3">
      <c r="A3146" t="s">
        <v>73</v>
      </c>
      <c r="B3146" t="str">
        <f>"300539"</f>
        <v>300539</v>
      </c>
      <c r="C3146" t="s">
        <v>6623</v>
      </c>
      <c r="D3146" t="s">
        <v>3079</v>
      </c>
      <c r="E3146">
        <v>210515630</v>
      </c>
      <c r="F3146">
        <v>196981316</v>
      </c>
      <c r="G3146">
        <v>134202733</v>
      </c>
      <c r="H3146">
        <v>165783947</v>
      </c>
      <c r="I3146">
        <v>132463287</v>
      </c>
      <c r="J3146">
        <v>82991505</v>
      </c>
      <c r="K3146">
        <v>0</v>
      </c>
      <c r="P3146">
        <v>84</v>
      </c>
      <c r="Q3146" t="s">
        <v>6624</v>
      </c>
    </row>
    <row r="3147" spans="1:17" x14ac:dyDescent="0.3">
      <c r="A3147" t="s">
        <v>17</v>
      </c>
      <c r="B3147" t="str">
        <f>"688262"</f>
        <v>688262</v>
      </c>
      <c r="C3147" t="s">
        <v>6625</v>
      </c>
      <c r="D3147" t="s">
        <v>890</v>
      </c>
      <c r="E3147">
        <v>210377822</v>
      </c>
      <c r="P3147">
        <v>19</v>
      </c>
      <c r="Q3147" t="s">
        <v>6626</v>
      </c>
    </row>
    <row r="3148" spans="1:17" x14ac:dyDescent="0.3">
      <c r="A3148" t="s">
        <v>17</v>
      </c>
      <c r="B3148" t="str">
        <f>"688087"</f>
        <v>688087</v>
      </c>
      <c r="C3148" t="s">
        <v>6627</v>
      </c>
      <c r="D3148" t="s">
        <v>3079</v>
      </c>
      <c r="E3148">
        <v>210293053</v>
      </c>
      <c r="F3148">
        <v>189155172</v>
      </c>
      <c r="G3148">
        <v>127966922</v>
      </c>
      <c r="P3148">
        <v>36</v>
      </c>
      <c r="Q3148" t="s">
        <v>6628</v>
      </c>
    </row>
    <row r="3149" spans="1:17" x14ac:dyDescent="0.3">
      <c r="A3149" t="s">
        <v>17</v>
      </c>
      <c r="B3149" t="str">
        <f>"600158"</f>
        <v>600158</v>
      </c>
      <c r="C3149" t="s">
        <v>6629</v>
      </c>
      <c r="D3149" t="s">
        <v>3944</v>
      </c>
      <c r="E3149">
        <v>210164692</v>
      </c>
      <c r="F3149">
        <v>130909423</v>
      </c>
      <c r="G3149">
        <v>156045366</v>
      </c>
      <c r="H3149">
        <v>142014830</v>
      </c>
      <c r="I3149">
        <v>87097113</v>
      </c>
      <c r="J3149">
        <v>78033001</v>
      </c>
      <c r="K3149">
        <v>74562109</v>
      </c>
      <c r="L3149">
        <v>60104253</v>
      </c>
      <c r="M3149">
        <v>50726211</v>
      </c>
      <c r="N3149">
        <v>57040648</v>
      </c>
      <c r="O3149">
        <v>21645747</v>
      </c>
      <c r="P3149">
        <v>166</v>
      </c>
      <c r="Q3149" t="s">
        <v>6630</v>
      </c>
    </row>
    <row r="3150" spans="1:17" x14ac:dyDescent="0.3">
      <c r="A3150" t="s">
        <v>73</v>
      </c>
      <c r="B3150" t="str">
        <f>"003013"</f>
        <v>003013</v>
      </c>
      <c r="C3150" t="s">
        <v>6631</v>
      </c>
      <c r="D3150" t="s">
        <v>661</v>
      </c>
      <c r="E3150">
        <v>209917193</v>
      </c>
      <c r="F3150">
        <v>174693450</v>
      </c>
      <c r="P3150">
        <v>101</v>
      </c>
      <c r="Q3150" t="s">
        <v>6632</v>
      </c>
    </row>
    <row r="3151" spans="1:17" x14ac:dyDescent="0.3">
      <c r="A3151" t="s">
        <v>17</v>
      </c>
      <c r="B3151" t="str">
        <f>"600729"</f>
        <v>600729</v>
      </c>
      <c r="C3151" t="s">
        <v>6633</v>
      </c>
      <c r="D3151" t="s">
        <v>3897</v>
      </c>
      <c r="E3151">
        <v>209783672</v>
      </c>
      <c r="F3151">
        <v>251391486</v>
      </c>
      <c r="G3151">
        <v>198432198</v>
      </c>
      <c r="H3151">
        <v>135104111</v>
      </c>
      <c r="I3151">
        <v>138324167</v>
      </c>
      <c r="J3151">
        <v>83535087</v>
      </c>
      <c r="K3151">
        <v>150412998</v>
      </c>
      <c r="L3151">
        <v>95710769</v>
      </c>
      <c r="M3151">
        <v>55562866</v>
      </c>
      <c r="N3151">
        <v>42429822</v>
      </c>
      <c r="O3151">
        <v>62616791</v>
      </c>
      <c r="P3151">
        <v>540</v>
      </c>
      <c r="Q3151" t="s">
        <v>6634</v>
      </c>
    </row>
    <row r="3152" spans="1:17" x14ac:dyDescent="0.3">
      <c r="A3152" t="s">
        <v>73</v>
      </c>
      <c r="B3152" t="str">
        <f>"300609"</f>
        <v>300609</v>
      </c>
      <c r="C3152" t="s">
        <v>6635</v>
      </c>
      <c r="D3152" t="s">
        <v>302</v>
      </c>
      <c r="E3152">
        <v>209179512</v>
      </c>
      <c r="F3152">
        <v>167685432</v>
      </c>
      <c r="G3152">
        <v>193728881</v>
      </c>
      <c r="H3152">
        <v>165060629</v>
      </c>
      <c r="I3152">
        <v>102317838</v>
      </c>
      <c r="J3152">
        <v>78394290</v>
      </c>
      <c r="K3152">
        <v>0</v>
      </c>
      <c r="P3152">
        <v>155</v>
      </c>
      <c r="Q3152" t="s">
        <v>6636</v>
      </c>
    </row>
    <row r="3153" spans="1:17" x14ac:dyDescent="0.3">
      <c r="A3153" t="s">
        <v>73</v>
      </c>
      <c r="B3153" t="str">
        <f>"002718"</f>
        <v>002718</v>
      </c>
      <c r="C3153" t="s">
        <v>6637</v>
      </c>
      <c r="D3153" t="s">
        <v>808</v>
      </c>
      <c r="E3153">
        <v>208673767</v>
      </c>
      <c r="F3153">
        <v>186259822</v>
      </c>
      <c r="G3153">
        <v>172576937</v>
      </c>
      <c r="H3153">
        <v>90006262</v>
      </c>
      <c r="I3153">
        <v>43821771</v>
      </c>
      <c r="J3153">
        <v>15692725</v>
      </c>
      <c r="K3153">
        <v>9452867</v>
      </c>
      <c r="L3153">
        <v>4620483</v>
      </c>
      <c r="M3153">
        <v>1542799</v>
      </c>
      <c r="N3153">
        <v>0</v>
      </c>
      <c r="P3153">
        <v>170</v>
      </c>
      <c r="Q3153" t="s">
        <v>6638</v>
      </c>
    </row>
    <row r="3154" spans="1:17" x14ac:dyDescent="0.3">
      <c r="A3154" t="s">
        <v>73</v>
      </c>
      <c r="B3154" t="str">
        <f>"300723"</f>
        <v>300723</v>
      </c>
      <c r="C3154" t="s">
        <v>6639</v>
      </c>
      <c r="D3154" t="s">
        <v>348</v>
      </c>
      <c r="E3154">
        <v>208436742</v>
      </c>
      <c r="F3154">
        <v>169066388</v>
      </c>
      <c r="G3154">
        <v>166724531</v>
      </c>
      <c r="H3154">
        <v>200794532</v>
      </c>
      <c r="I3154">
        <v>196525936</v>
      </c>
      <c r="J3154">
        <v>0</v>
      </c>
      <c r="P3154">
        <v>222</v>
      </c>
      <c r="Q3154" t="s">
        <v>6640</v>
      </c>
    </row>
    <row r="3155" spans="1:17" x14ac:dyDescent="0.3">
      <c r="A3155" t="s">
        <v>73</v>
      </c>
      <c r="B3155" t="str">
        <f>"300250"</f>
        <v>300250</v>
      </c>
      <c r="C3155" t="s">
        <v>6641</v>
      </c>
      <c r="D3155" t="s">
        <v>302</v>
      </c>
      <c r="E3155">
        <v>208317419</v>
      </c>
      <c r="F3155">
        <v>152604998</v>
      </c>
      <c r="G3155">
        <v>170826937</v>
      </c>
      <c r="H3155">
        <v>285828594</v>
      </c>
      <c r="I3155">
        <v>205719961</v>
      </c>
      <c r="J3155">
        <v>227534600</v>
      </c>
      <c r="K3155">
        <v>216620716</v>
      </c>
      <c r="L3155">
        <v>171987142</v>
      </c>
      <c r="M3155">
        <v>109708423</v>
      </c>
      <c r="N3155">
        <v>100755508</v>
      </c>
      <c r="O3155">
        <v>87560582</v>
      </c>
      <c r="P3155">
        <v>159</v>
      </c>
      <c r="Q3155" t="s">
        <v>6642</v>
      </c>
    </row>
    <row r="3156" spans="1:17" x14ac:dyDescent="0.3">
      <c r="A3156" t="s">
        <v>73</v>
      </c>
      <c r="B3156" t="str">
        <f>"002847"</f>
        <v>002847</v>
      </c>
      <c r="C3156" t="s">
        <v>6643</v>
      </c>
      <c r="D3156" t="s">
        <v>4657</v>
      </c>
      <c r="E3156">
        <v>208284264</v>
      </c>
      <c r="F3156">
        <v>249682838</v>
      </c>
      <c r="G3156">
        <v>241641551</v>
      </c>
      <c r="H3156">
        <v>158464229</v>
      </c>
      <c r="I3156">
        <v>108396818</v>
      </c>
      <c r="J3156">
        <v>53542309</v>
      </c>
      <c r="P3156">
        <v>742</v>
      </c>
      <c r="Q3156" t="s">
        <v>6644</v>
      </c>
    </row>
    <row r="3157" spans="1:17" x14ac:dyDescent="0.3">
      <c r="A3157" t="s">
        <v>17</v>
      </c>
      <c r="B3157" t="str">
        <f>"600785"</f>
        <v>600785</v>
      </c>
      <c r="C3157" t="s">
        <v>6645</v>
      </c>
      <c r="D3157" t="s">
        <v>3897</v>
      </c>
      <c r="E3157">
        <v>208231855</v>
      </c>
      <c r="F3157">
        <v>183928254</v>
      </c>
      <c r="G3157">
        <v>232437479</v>
      </c>
      <c r="H3157">
        <v>149778532</v>
      </c>
      <c r="I3157">
        <v>157662416</v>
      </c>
      <c r="J3157">
        <v>113363311</v>
      </c>
      <c r="K3157">
        <v>83040865</v>
      </c>
      <c r="L3157">
        <v>52909756</v>
      </c>
      <c r="M3157">
        <v>79765283</v>
      </c>
      <c r="N3157">
        <v>106275965</v>
      </c>
      <c r="O3157">
        <v>50882400</v>
      </c>
      <c r="P3157">
        <v>99</v>
      </c>
      <c r="Q3157" t="s">
        <v>6646</v>
      </c>
    </row>
    <row r="3158" spans="1:17" x14ac:dyDescent="0.3">
      <c r="A3158" t="s">
        <v>73</v>
      </c>
      <c r="B3158" t="str">
        <f>"300910"</f>
        <v>300910</v>
      </c>
      <c r="C3158" t="s">
        <v>6647</v>
      </c>
      <c r="D3158" t="s">
        <v>588</v>
      </c>
      <c r="E3158">
        <v>208082276</v>
      </c>
      <c r="F3158">
        <v>133531958</v>
      </c>
      <c r="P3158">
        <v>116</v>
      </c>
      <c r="Q3158" t="s">
        <v>6648</v>
      </c>
    </row>
    <row r="3159" spans="1:17" x14ac:dyDescent="0.3">
      <c r="A3159" t="s">
        <v>73</v>
      </c>
      <c r="B3159" t="str">
        <f>"000061"</f>
        <v>000061</v>
      </c>
      <c r="C3159" t="s">
        <v>6649</v>
      </c>
      <c r="D3159" t="s">
        <v>1463</v>
      </c>
      <c r="E3159">
        <v>207726579</v>
      </c>
      <c r="F3159">
        <v>115136718</v>
      </c>
      <c r="G3159">
        <v>66420234</v>
      </c>
      <c r="H3159">
        <v>60744699</v>
      </c>
      <c r="I3159">
        <v>55242764</v>
      </c>
      <c r="J3159">
        <v>64626540</v>
      </c>
      <c r="K3159">
        <v>59539665</v>
      </c>
      <c r="L3159">
        <v>78030902</v>
      </c>
      <c r="M3159">
        <v>54754876</v>
      </c>
      <c r="N3159">
        <v>52153528</v>
      </c>
      <c r="O3159">
        <v>51804563</v>
      </c>
      <c r="P3159">
        <v>209</v>
      </c>
      <c r="Q3159" t="s">
        <v>6650</v>
      </c>
    </row>
    <row r="3160" spans="1:17" x14ac:dyDescent="0.3">
      <c r="A3160" t="s">
        <v>73</v>
      </c>
      <c r="B3160" t="str">
        <f>"002848"</f>
        <v>002848</v>
      </c>
      <c r="C3160" t="s">
        <v>6651</v>
      </c>
      <c r="D3160" t="s">
        <v>957</v>
      </c>
      <c r="E3160">
        <v>206974408</v>
      </c>
      <c r="F3160">
        <v>284312316</v>
      </c>
      <c r="G3160">
        <v>473238049</v>
      </c>
      <c r="H3160">
        <v>455841424</v>
      </c>
      <c r="I3160">
        <v>594644325</v>
      </c>
      <c r="J3160">
        <v>581175595</v>
      </c>
      <c r="P3160">
        <v>189</v>
      </c>
      <c r="Q3160" t="s">
        <v>6652</v>
      </c>
    </row>
    <row r="3161" spans="1:17" x14ac:dyDescent="0.3">
      <c r="A3161" t="s">
        <v>73</v>
      </c>
      <c r="B3161" t="str">
        <f>"002235"</f>
        <v>002235</v>
      </c>
      <c r="C3161" t="s">
        <v>6653</v>
      </c>
      <c r="D3161" t="s">
        <v>2185</v>
      </c>
      <c r="E3161">
        <v>206917143</v>
      </c>
      <c r="F3161">
        <v>176006660</v>
      </c>
      <c r="G3161">
        <v>286544233</v>
      </c>
      <c r="H3161">
        <v>318022733</v>
      </c>
      <c r="I3161">
        <v>155395341</v>
      </c>
      <c r="J3161">
        <v>147913403</v>
      </c>
      <c r="K3161">
        <v>56361011</v>
      </c>
      <c r="L3161">
        <v>74733814</v>
      </c>
      <c r="M3161">
        <v>109965192</v>
      </c>
      <c r="N3161">
        <v>135794719</v>
      </c>
      <c r="O3161">
        <v>89641000</v>
      </c>
      <c r="P3161">
        <v>142</v>
      </c>
      <c r="Q3161" t="s">
        <v>6654</v>
      </c>
    </row>
    <row r="3162" spans="1:17" x14ac:dyDescent="0.3">
      <c r="A3162" t="s">
        <v>73</v>
      </c>
      <c r="B3162" t="str">
        <f>"301062"</f>
        <v>301062</v>
      </c>
      <c r="C3162" t="s">
        <v>6655</v>
      </c>
      <c r="D3162" t="s">
        <v>577</v>
      </c>
      <c r="E3162">
        <v>206801546</v>
      </c>
      <c r="P3162">
        <v>13</v>
      </c>
      <c r="Q3162" t="s">
        <v>6656</v>
      </c>
    </row>
    <row r="3163" spans="1:17" x14ac:dyDescent="0.3">
      <c r="A3163" t="s">
        <v>73</v>
      </c>
      <c r="B3163" t="str">
        <f>"300749"</f>
        <v>300749</v>
      </c>
      <c r="C3163" t="s">
        <v>6657</v>
      </c>
      <c r="D3163" t="s">
        <v>2533</v>
      </c>
      <c r="E3163">
        <v>206594044</v>
      </c>
      <c r="F3163">
        <v>131032166</v>
      </c>
      <c r="G3163">
        <v>126178356</v>
      </c>
      <c r="H3163">
        <v>85229788</v>
      </c>
      <c r="I3163">
        <v>0</v>
      </c>
      <c r="P3163">
        <v>97</v>
      </c>
      <c r="Q3163" t="s">
        <v>6658</v>
      </c>
    </row>
    <row r="3164" spans="1:17" x14ac:dyDescent="0.3">
      <c r="A3164" t="s">
        <v>73</v>
      </c>
      <c r="B3164" t="str">
        <f>"300727"</f>
        <v>300727</v>
      </c>
      <c r="C3164" t="s">
        <v>6659</v>
      </c>
      <c r="D3164" t="s">
        <v>1309</v>
      </c>
      <c r="E3164">
        <v>206548209</v>
      </c>
      <c r="F3164">
        <v>173637362</v>
      </c>
      <c r="G3164">
        <v>97920955</v>
      </c>
      <c r="H3164">
        <v>105614124</v>
      </c>
      <c r="I3164">
        <v>100776618</v>
      </c>
      <c r="J3164">
        <v>0</v>
      </c>
      <c r="P3164">
        <v>73</v>
      </c>
      <c r="Q3164" t="s">
        <v>6660</v>
      </c>
    </row>
    <row r="3165" spans="1:17" x14ac:dyDescent="0.3">
      <c r="A3165" t="s">
        <v>17</v>
      </c>
      <c r="B3165" t="str">
        <f>"605368"</f>
        <v>605368</v>
      </c>
      <c r="C3165" t="s">
        <v>6661</v>
      </c>
      <c r="D3165" t="s">
        <v>469</v>
      </c>
      <c r="E3165">
        <v>206347940</v>
      </c>
      <c r="F3165">
        <v>13817639</v>
      </c>
      <c r="H3165">
        <v>0</v>
      </c>
      <c r="I3165">
        <v>17494877</v>
      </c>
      <c r="P3165">
        <v>60</v>
      </c>
      <c r="Q3165" t="s">
        <v>6662</v>
      </c>
    </row>
    <row r="3166" spans="1:17" x14ac:dyDescent="0.3">
      <c r="A3166" t="s">
        <v>73</v>
      </c>
      <c r="B3166" t="str">
        <f>"003006"</f>
        <v>003006</v>
      </c>
      <c r="C3166" t="s">
        <v>6663</v>
      </c>
      <c r="D3166" t="s">
        <v>2759</v>
      </c>
      <c r="E3166">
        <v>206317016</v>
      </c>
      <c r="F3166">
        <v>127072439</v>
      </c>
      <c r="P3166">
        <v>172</v>
      </c>
      <c r="Q3166" t="s">
        <v>6664</v>
      </c>
    </row>
    <row r="3167" spans="1:17" x14ac:dyDescent="0.3">
      <c r="A3167" t="s">
        <v>73</v>
      </c>
      <c r="B3167" t="str">
        <f>"300852"</f>
        <v>300852</v>
      </c>
      <c r="C3167" t="s">
        <v>6665</v>
      </c>
      <c r="D3167" t="s">
        <v>418</v>
      </c>
      <c r="E3167">
        <v>206157167</v>
      </c>
      <c r="F3167">
        <v>162116147</v>
      </c>
      <c r="G3167">
        <v>114741408</v>
      </c>
      <c r="P3167">
        <v>103</v>
      </c>
      <c r="Q3167" t="s">
        <v>6666</v>
      </c>
    </row>
    <row r="3168" spans="1:17" x14ac:dyDescent="0.3">
      <c r="A3168" t="s">
        <v>73</v>
      </c>
      <c r="B3168" t="str">
        <f>"301041"</f>
        <v>301041</v>
      </c>
      <c r="C3168" t="s">
        <v>6667</v>
      </c>
      <c r="D3168" t="s">
        <v>418</v>
      </c>
      <c r="E3168">
        <v>206142305</v>
      </c>
      <c r="F3168">
        <v>208280326</v>
      </c>
      <c r="P3168">
        <v>31</v>
      </c>
      <c r="Q3168" t="s">
        <v>6668</v>
      </c>
    </row>
    <row r="3169" spans="1:17" x14ac:dyDescent="0.3">
      <c r="A3169" t="s">
        <v>73</v>
      </c>
      <c r="B3169" t="str">
        <f>"300880"</f>
        <v>300880</v>
      </c>
      <c r="C3169" t="s">
        <v>6669</v>
      </c>
      <c r="D3169" t="s">
        <v>1280</v>
      </c>
      <c r="E3169">
        <v>205901921</v>
      </c>
      <c r="F3169">
        <v>205363782</v>
      </c>
      <c r="G3169">
        <v>0</v>
      </c>
      <c r="P3169">
        <v>55</v>
      </c>
      <c r="Q3169" t="s">
        <v>6670</v>
      </c>
    </row>
    <row r="3170" spans="1:17" x14ac:dyDescent="0.3">
      <c r="A3170" t="s">
        <v>73</v>
      </c>
      <c r="B3170" t="str">
        <f>"002351"</f>
        <v>002351</v>
      </c>
      <c r="C3170" t="s">
        <v>6671</v>
      </c>
      <c r="D3170" t="s">
        <v>1937</v>
      </c>
      <c r="E3170">
        <v>205673655</v>
      </c>
      <c r="F3170">
        <v>215800262</v>
      </c>
      <c r="G3170">
        <v>157316253</v>
      </c>
      <c r="H3170">
        <v>79705665</v>
      </c>
      <c r="I3170">
        <v>58115908</v>
      </c>
      <c r="J3170">
        <v>59650056</v>
      </c>
      <c r="K3170">
        <v>36582227</v>
      </c>
      <c r="L3170">
        <v>17590157</v>
      </c>
      <c r="M3170">
        <v>24235805</v>
      </c>
      <c r="N3170">
        <v>30282897</v>
      </c>
      <c r="O3170">
        <v>36976444</v>
      </c>
      <c r="P3170">
        <v>339</v>
      </c>
      <c r="Q3170" t="s">
        <v>6672</v>
      </c>
    </row>
    <row r="3171" spans="1:17" x14ac:dyDescent="0.3">
      <c r="A3171" t="s">
        <v>17</v>
      </c>
      <c r="B3171" t="str">
        <f>"688667"</f>
        <v>688667</v>
      </c>
      <c r="C3171" t="s">
        <v>6673</v>
      </c>
      <c r="D3171" t="s">
        <v>442</v>
      </c>
      <c r="E3171">
        <v>205628735</v>
      </c>
      <c r="F3171">
        <v>225909138</v>
      </c>
      <c r="P3171">
        <v>66</v>
      </c>
      <c r="Q3171" t="s">
        <v>6674</v>
      </c>
    </row>
    <row r="3172" spans="1:17" x14ac:dyDescent="0.3">
      <c r="A3172" t="s">
        <v>73</v>
      </c>
      <c r="B3172" t="str">
        <f>"300781"</f>
        <v>300781</v>
      </c>
      <c r="C3172" t="s">
        <v>6675</v>
      </c>
      <c r="D3172" t="s">
        <v>425</v>
      </c>
      <c r="E3172">
        <v>205148033</v>
      </c>
      <c r="F3172">
        <v>159181144</v>
      </c>
      <c r="G3172">
        <v>129431577</v>
      </c>
      <c r="H3172">
        <v>0</v>
      </c>
      <c r="I3172">
        <v>0</v>
      </c>
      <c r="P3172">
        <v>100</v>
      </c>
      <c r="Q3172" t="s">
        <v>6676</v>
      </c>
    </row>
    <row r="3173" spans="1:17" x14ac:dyDescent="0.3">
      <c r="A3173" t="s">
        <v>17</v>
      </c>
      <c r="B3173" t="str">
        <f>"688037"</f>
        <v>688037</v>
      </c>
      <c r="C3173" t="s">
        <v>6677</v>
      </c>
      <c r="D3173" t="s">
        <v>1291</v>
      </c>
      <c r="E3173">
        <v>205136265</v>
      </c>
      <c r="F3173">
        <v>100476281</v>
      </c>
      <c r="G3173">
        <v>38770695</v>
      </c>
      <c r="H3173">
        <v>40790158</v>
      </c>
      <c r="P3173">
        <v>168</v>
      </c>
      <c r="Q3173" t="s">
        <v>6678</v>
      </c>
    </row>
    <row r="3174" spans="1:17" x14ac:dyDescent="0.3">
      <c r="A3174" t="s">
        <v>17</v>
      </c>
      <c r="B3174" t="str">
        <f>"605298"</f>
        <v>605298</v>
      </c>
      <c r="C3174" t="s">
        <v>6679</v>
      </c>
      <c r="D3174" t="s">
        <v>47</v>
      </c>
      <c r="E3174">
        <v>205045684</v>
      </c>
      <c r="F3174">
        <v>215662147</v>
      </c>
      <c r="P3174">
        <v>46</v>
      </c>
      <c r="Q3174" t="s">
        <v>6680</v>
      </c>
    </row>
    <row r="3175" spans="1:17" x14ac:dyDescent="0.3">
      <c r="A3175" t="s">
        <v>73</v>
      </c>
      <c r="B3175" t="str">
        <f>"002247"</f>
        <v>002247</v>
      </c>
      <c r="C3175" t="s">
        <v>6681</v>
      </c>
      <c r="D3175" t="s">
        <v>425</v>
      </c>
      <c r="E3175">
        <v>204875938</v>
      </c>
      <c r="F3175">
        <v>210505899</v>
      </c>
      <c r="G3175">
        <v>328812160</v>
      </c>
      <c r="H3175">
        <v>1244572776</v>
      </c>
      <c r="I3175">
        <v>1465055089</v>
      </c>
      <c r="J3175">
        <v>782419712</v>
      </c>
      <c r="K3175">
        <v>188032830</v>
      </c>
      <c r="L3175">
        <v>169007847</v>
      </c>
      <c r="M3175">
        <v>137710911</v>
      </c>
      <c r="N3175">
        <v>112754969</v>
      </c>
      <c r="O3175">
        <v>93062327</v>
      </c>
      <c r="P3175">
        <v>90</v>
      </c>
      <c r="Q3175" t="s">
        <v>6682</v>
      </c>
    </row>
    <row r="3176" spans="1:17" x14ac:dyDescent="0.3">
      <c r="A3176" t="s">
        <v>17</v>
      </c>
      <c r="B3176" t="str">
        <f>"688148"</f>
        <v>688148</v>
      </c>
      <c r="C3176" t="s">
        <v>6683</v>
      </c>
      <c r="D3176" t="s">
        <v>561</v>
      </c>
      <c r="E3176">
        <v>204736675</v>
      </c>
      <c r="F3176">
        <v>219072997</v>
      </c>
      <c r="P3176">
        <v>29</v>
      </c>
      <c r="Q3176" t="s">
        <v>6684</v>
      </c>
    </row>
    <row r="3177" spans="1:17" x14ac:dyDescent="0.3">
      <c r="A3177" t="s">
        <v>73</v>
      </c>
      <c r="B3177" t="str">
        <f>"301045"</f>
        <v>301045</v>
      </c>
      <c r="C3177" t="s">
        <v>6685</v>
      </c>
      <c r="D3177" t="s">
        <v>477</v>
      </c>
      <c r="E3177">
        <v>204667329</v>
      </c>
      <c r="F3177">
        <v>191846955</v>
      </c>
      <c r="G3177">
        <v>139325234</v>
      </c>
      <c r="P3177">
        <v>17</v>
      </c>
      <c r="Q3177" t="s">
        <v>6686</v>
      </c>
    </row>
    <row r="3178" spans="1:17" x14ac:dyDescent="0.3">
      <c r="A3178" t="s">
        <v>73</v>
      </c>
      <c r="B3178" t="str">
        <f>"300816"</f>
        <v>300816</v>
      </c>
      <c r="C3178" t="s">
        <v>6687</v>
      </c>
      <c r="D3178" t="s">
        <v>722</v>
      </c>
      <c r="E3178">
        <v>204635918</v>
      </c>
      <c r="F3178">
        <v>207525474</v>
      </c>
      <c r="G3178">
        <v>205993099</v>
      </c>
      <c r="H3178">
        <v>0</v>
      </c>
      <c r="P3178">
        <v>150</v>
      </c>
      <c r="Q3178" t="s">
        <v>6688</v>
      </c>
    </row>
    <row r="3179" spans="1:17" x14ac:dyDescent="0.3">
      <c r="A3179" t="s">
        <v>17</v>
      </c>
      <c r="B3179" t="str">
        <f>"688019"</f>
        <v>688019</v>
      </c>
      <c r="C3179" t="s">
        <v>6689</v>
      </c>
      <c r="D3179" t="s">
        <v>2178</v>
      </c>
      <c r="E3179">
        <v>204051923</v>
      </c>
      <c r="F3179">
        <v>94066674</v>
      </c>
      <c r="G3179">
        <v>81206335</v>
      </c>
      <c r="H3179">
        <v>0</v>
      </c>
      <c r="P3179">
        <v>286</v>
      </c>
      <c r="Q3179" t="s">
        <v>6690</v>
      </c>
    </row>
    <row r="3180" spans="1:17" x14ac:dyDescent="0.3">
      <c r="A3180" t="s">
        <v>73</v>
      </c>
      <c r="B3180" t="str">
        <f>"300851"</f>
        <v>300851</v>
      </c>
      <c r="C3180" t="s">
        <v>6691</v>
      </c>
      <c r="D3180" t="s">
        <v>47</v>
      </c>
      <c r="E3180">
        <v>203963153</v>
      </c>
      <c r="F3180">
        <v>163015491</v>
      </c>
      <c r="G3180">
        <v>190118439</v>
      </c>
      <c r="H3180">
        <v>0</v>
      </c>
      <c r="P3180">
        <v>45</v>
      </c>
      <c r="Q3180" t="s">
        <v>6692</v>
      </c>
    </row>
    <row r="3181" spans="1:17" x14ac:dyDescent="0.3">
      <c r="A3181" t="s">
        <v>73</v>
      </c>
      <c r="B3181" t="str">
        <f>"300633"</f>
        <v>300633</v>
      </c>
      <c r="C3181" t="s">
        <v>6693</v>
      </c>
      <c r="D3181" t="s">
        <v>692</v>
      </c>
      <c r="E3181">
        <v>203817534</v>
      </c>
      <c r="F3181">
        <v>213982198</v>
      </c>
      <c r="G3181">
        <v>335417776</v>
      </c>
      <c r="H3181">
        <v>331808188</v>
      </c>
      <c r="I3181">
        <v>307672197</v>
      </c>
      <c r="J3181">
        <v>230700068</v>
      </c>
      <c r="K3181">
        <v>0</v>
      </c>
      <c r="P3181">
        <v>515</v>
      </c>
      <c r="Q3181" t="s">
        <v>6694</v>
      </c>
    </row>
    <row r="3182" spans="1:17" x14ac:dyDescent="0.3">
      <c r="A3182" t="s">
        <v>17</v>
      </c>
      <c r="B3182" t="str">
        <f>"605259"</f>
        <v>605259</v>
      </c>
      <c r="C3182" t="s">
        <v>6695</v>
      </c>
      <c r="D3182" t="s">
        <v>1451</v>
      </c>
      <c r="E3182">
        <v>203663002</v>
      </c>
      <c r="F3182">
        <v>152080063</v>
      </c>
      <c r="P3182">
        <v>17</v>
      </c>
      <c r="Q3182" t="s">
        <v>6696</v>
      </c>
    </row>
    <row r="3183" spans="1:17" x14ac:dyDescent="0.3">
      <c r="A3183" t="s">
        <v>73</v>
      </c>
      <c r="B3183" t="str">
        <f>"300442"</f>
        <v>300442</v>
      </c>
      <c r="C3183" t="s">
        <v>6697</v>
      </c>
      <c r="D3183" t="s">
        <v>2099</v>
      </c>
      <c r="E3183">
        <v>203127120</v>
      </c>
      <c r="F3183">
        <v>203669630</v>
      </c>
      <c r="G3183">
        <v>292930417</v>
      </c>
      <c r="H3183">
        <v>355833175</v>
      </c>
      <c r="I3183">
        <v>409804567</v>
      </c>
      <c r="J3183">
        <v>361401084</v>
      </c>
      <c r="K3183">
        <v>305667824</v>
      </c>
      <c r="L3183">
        <v>237458548</v>
      </c>
      <c r="M3183">
        <v>0</v>
      </c>
      <c r="P3183">
        <v>66</v>
      </c>
      <c r="Q3183" t="s">
        <v>6698</v>
      </c>
    </row>
    <row r="3184" spans="1:17" x14ac:dyDescent="0.3">
      <c r="A3184" t="s">
        <v>73</v>
      </c>
      <c r="B3184" t="str">
        <f>"003033"</f>
        <v>003033</v>
      </c>
      <c r="C3184" t="s">
        <v>6699</v>
      </c>
      <c r="D3184" t="s">
        <v>1324</v>
      </c>
      <c r="E3184">
        <v>202799704</v>
      </c>
      <c r="F3184">
        <v>157039896</v>
      </c>
      <c r="H3184">
        <v>110052600</v>
      </c>
      <c r="P3184">
        <v>67</v>
      </c>
      <c r="Q3184" t="s">
        <v>6700</v>
      </c>
    </row>
    <row r="3185" spans="1:17" x14ac:dyDescent="0.3">
      <c r="A3185" t="s">
        <v>73</v>
      </c>
      <c r="B3185" t="str">
        <f>"002481"</f>
        <v>002481</v>
      </c>
      <c r="C3185" t="s">
        <v>6701</v>
      </c>
      <c r="D3185" t="s">
        <v>2469</v>
      </c>
      <c r="E3185">
        <v>202759489</v>
      </c>
      <c r="F3185">
        <v>212047870</v>
      </c>
      <c r="G3185">
        <v>246547399</v>
      </c>
      <c r="H3185">
        <v>166200559</v>
      </c>
      <c r="I3185">
        <v>223341521</v>
      </c>
      <c r="J3185">
        <v>195283398</v>
      </c>
      <c r="K3185">
        <v>255349760</v>
      </c>
      <c r="L3185">
        <v>68293903</v>
      </c>
      <c r="M3185">
        <v>67984134</v>
      </c>
      <c r="N3185">
        <v>71669407</v>
      </c>
      <c r="O3185">
        <v>53518562</v>
      </c>
      <c r="P3185">
        <v>331</v>
      </c>
      <c r="Q3185" t="s">
        <v>6702</v>
      </c>
    </row>
    <row r="3186" spans="1:17" x14ac:dyDescent="0.3">
      <c r="A3186" t="s">
        <v>73</v>
      </c>
      <c r="B3186" t="str">
        <f>"002861"</f>
        <v>002861</v>
      </c>
      <c r="C3186" t="s">
        <v>6703</v>
      </c>
      <c r="D3186" t="s">
        <v>42</v>
      </c>
      <c r="E3186">
        <v>202728412</v>
      </c>
      <c r="F3186">
        <v>165730821</v>
      </c>
      <c r="G3186">
        <v>257818714</v>
      </c>
      <c r="H3186">
        <v>227969576</v>
      </c>
      <c r="I3186">
        <v>177959937</v>
      </c>
      <c r="J3186">
        <v>173121119</v>
      </c>
      <c r="P3186">
        <v>155</v>
      </c>
      <c r="Q3186" t="s">
        <v>6704</v>
      </c>
    </row>
    <row r="3187" spans="1:17" x14ac:dyDescent="0.3">
      <c r="A3187" t="s">
        <v>17</v>
      </c>
      <c r="B3187" t="str">
        <f>"688115"</f>
        <v>688115</v>
      </c>
      <c r="C3187" t="s">
        <v>6705</v>
      </c>
      <c r="E3187">
        <v>202420619</v>
      </c>
      <c r="P3187">
        <v>7</v>
      </c>
      <c r="Q3187" t="s">
        <v>6706</v>
      </c>
    </row>
    <row r="3188" spans="1:17" x14ac:dyDescent="0.3">
      <c r="A3188" t="s">
        <v>17</v>
      </c>
      <c r="B3188" t="str">
        <f>"603090"</f>
        <v>603090</v>
      </c>
      <c r="C3188" t="s">
        <v>6707</v>
      </c>
      <c r="D3188" t="s">
        <v>873</v>
      </c>
      <c r="E3188">
        <v>202353744</v>
      </c>
      <c r="F3188">
        <v>169897004</v>
      </c>
      <c r="G3188">
        <v>181904649</v>
      </c>
      <c r="H3188">
        <v>125238096</v>
      </c>
      <c r="I3188">
        <v>132376729</v>
      </c>
      <c r="J3188">
        <v>102066524</v>
      </c>
      <c r="P3188">
        <v>51</v>
      </c>
      <c r="Q3188" t="s">
        <v>6708</v>
      </c>
    </row>
    <row r="3189" spans="1:17" x14ac:dyDescent="0.3">
      <c r="A3189" t="s">
        <v>73</v>
      </c>
      <c r="B3189" t="str">
        <f>"000751"</f>
        <v>000751</v>
      </c>
      <c r="C3189" t="s">
        <v>6709</v>
      </c>
      <c r="D3189" t="s">
        <v>3053</v>
      </c>
      <c r="E3189">
        <v>202225081</v>
      </c>
      <c r="F3189">
        <v>271032447</v>
      </c>
      <c r="G3189">
        <v>217321122</v>
      </c>
      <c r="H3189">
        <v>184536836</v>
      </c>
      <c r="I3189">
        <v>157285631</v>
      </c>
      <c r="J3189">
        <v>164360611</v>
      </c>
      <c r="K3189">
        <v>80592486</v>
      </c>
      <c r="L3189">
        <v>94972087</v>
      </c>
      <c r="M3189">
        <v>119470725</v>
      </c>
      <c r="N3189">
        <v>25756008</v>
      </c>
      <c r="O3189">
        <v>91560100</v>
      </c>
      <c r="P3189">
        <v>128</v>
      </c>
      <c r="Q3189" t="s">
        <v>6710</v>
      </c>
    </row>
    <row r="3190" spans="1:17" x14ac:dyDescent="0.3">
      <c r="A3190" t="s">
        <v>73</v>
      </c>
      <c r="B3190" t="str">
        <f>"300812"</f>
        <v>300812</v>
      </c>
      <c r="C3190" t="s">
        <v>6711</v>
      </c>
      <c r="D3190" t="s">
        <v>1291</v>
      </c>
      <c r="E3190">
        <v>201915990</v>
      </c>
      <c r="F3190">
        <v>177227969</v>
      </c>
      <c r="G3190">
        <v>136540818</v>
      </c>
      <c r="P3190">
        <v>111</v>
      </c>
      <c r="Q3190" t="s">
        <v>6712</v>
      </c>
    </row>
    <row r="3191" spans="1:17" x14ac:dyDescent="0.3">
      <c r="A3191" t="s">
        <v>73</v>
      </c>
      <c r="B3191" t="str">
        <f>"300942"</f>
        <v>300942</v>
      </c>
      <c r="C3191" t="s">
        <v>6713</v>
      </c>
      <c r="D3191" t="s">
        <v>773</v>
      </c>
      <c r="E3191">
        <v>201003769</v>
      </c>
      <c r="F3191">
        <v>57680269</v>
      </c>
      <c r="H3191">
        <v>54087202</v>
      </c>
      <c r="P3191">
        <v>98</v>
      </c>
      <c r="Q3191" t="s">
        <v>6714</v>
      </c>
    </row>
    <row r="3192" spans="1:17" x14ac:dyDescent="0.3">
      <c r="A3192" t="s">
        <v>17</v>
      </c>
      <c r="B3192" t="str">
        <f>"688597"</f>
        <v>688597</v>
      </c>
      <c r="C3192" t="s">
        <v>6715</v>
      </c>
      <c r="D3192" t="s">
        <v>1280</v>
      </c>
      <c r="E3192">
        <v>200890371</v>
      </c>
      <c r="F3192">
        <v>165731940</v>
      </c>
      <c r="G3192">
        <v>84577436</v>
      </c>
      <c r="P3192">
        <v>17</v>
      </c>
      <c r="Q3192" t="s">
        <v>6716</v>
      </c>
    </row>
    <row r="3193" spans="1:17" x14ac:dyDescent="0.3">
      <c r="A3193" t="s">
        <v>73</v>
      </c>
      <c r="B3193" t="str">
        <f>"300570"</f>
        <v>300570</v>
      </c>
      <c r="C3193" t="s">
        <v>6717</v>
      </c>
      <c r="D3193" t="s">
        <v>189</v>
      </c>
      <c r="E3193">
        <v>200725221</v>
      </c>
      <c r="F3193">
        <v>144435734</v>
      </c>
      <c r="G3193">
        <v>98033382</v>
      </c>
      <c r="H3193">
        <v>121212579</v>
      </c>
      <c r="I3193">
        <v>85997202</v>
      </c>
      <c r="J3193">
        <v>84132865</v>
      </c>
      <c r="K3193">
        <v>0</v>
      </c>
      <c r="P3193">
        <v>229</v>
      </c>
      <c r="Q3193" t="s">
        <v>6718</v>
      </c>
    </row>
    <row r="3194" spans="1:17" x14ac:dyDescent="0.3">
      <c r="A3194" t="s">
        <v>17</v>
      </c>
      <c r="B3194" t="str">
        <f>"600075"</f>
        <v>600075</v>
      </c>
      <c r="C3194" t="s">
        <v>6719</v>
      </c>
      <c r="D3194" t="s">
        <v>641</v>
      </c>
      <c r="E3194">
        <v>200708469</v>
      </c>
      <c r="F3194">
        <v>274926808</v>
      </c>
      <c r="G3194">
        <v>346515731</v>
      </c>
      <c r="H3194">
        <v>285958558</v>
      </c>
      <c r="I3194">
        <v>848869037</v>
      </c>
      <c r="J3194">
        <v>731995527</v>
      </c>
      <c r="K3194">
        <v>834057273</v>
      </c>
      <c r="L3194">
        <v>425205970</v>
      </c>
      <c r="M3194">
        <v>425986807</v>
      </c>
      <c r="N3194">
        <v>328005637</v>
      </c>
      <c r="O3194">
        <v>213748096</v>
      </c>
      <c r="P3194">
        <v>194</v>
      </c>
      <c r="Q3194" t="s">
        <v>6720</v>
      </c>
    </row>
    <row r="3195" spans="1:17" x14ac:dyDescent="0.3">
      <c r="A3195" t="s">
        <v>73</v>
      </c>
      <c r="B3195" t="str">
        <f>"002731"</f>
        <v>002731</v>
      </c>
      <c r="C3195" t="s">
        <v>6721</v>
      </c>
      <c r="D3195" t="s">
        <v>1260</v>
      </c>
      <c r="E3195">
        <v>200516179</v>
      </c>
      <c r="F3195">
        <v>227981466</v>
      </c>
      <c r="G3195">
        <v>390414146</v>
      </c>
      <c r="H3195">
        <v>261578966</v>
      </c>
      <c r="I3195">
        <v>140357405</v>
      </c>
      <c r="J3195">
        <v>242779445</v>
      </c>
      <c r="K3195">
        <v>429076146</v>
      </c>
      <c r="L3195">
        <v>121903837</v>
      </c>
      <c r="M3195">
        <v>0</v>
      </c>
      <c r="P3195">
        <v>81</v>
      </c>
      <c r="Q3195" t="s">
        <v>6722</v>
      </c>
    </row>
    <row r="3196" spans="1:17" x14ac:dyDescent="0.3">
      <c r="A3196" t="s">
        <v>73</v>
      </c>
      <c r="B3196" t="str">
        <f>"301198"</f>
        <v>301198</v>
      </c>
      <c r="C3196" t="s">
        <v>6723</v>
      </c>
      <c r="D3196" t="s">
        <v>1474</v>
      </c>
      <c r="E3196">
        <v>200395046</v>
      </c>
      <c r="P3196">
        <v>16</v>
      </c>
      <c r="Q3196" t="s">
        <v>6724</v>
      </c>
    </row>
    <row r="3197" spans="1:17" x14ac:dyDescent="0.3">
      <c r="A3197" t="s">
        <v>17</v>
      </c>
      <c r="B3197" t="str">
        <f>"603217"</f>
        <v>603217</v>
      </c>
      <c r="C3197" t="s">
        <v>6725</v>
      </c>
      <c r="D3197" t="s">
        <v>588</v>
      </c>
      <c r="E3197">
        <v>200194755</v>
      </c>
      <c r="F3197">
        <v>124281021</v>
      </c>
      <c r="G3197">
        <v>96192598</v>
      </c>
      <c r="H3197">
        <v>0</v>
      </c>
      <c r="P3197">
        <v>71</v>
      </c>
      <c r="Q3197" t="s">
        <v>6726</v>
      </c>
    </row>
    <row r="3198" spans="1:17" x14ac:dyDescent="0.3">
      <c r="A3198" t="s">
        <v>73</v>
      </c>
      <c r="B3198" t="str">
        <f>"300449"</f>
        <v>300449</v>
      </c>
      <c r="C3198" t="s">
        <v>6727</v>
      </c>
      <c r="D3198" t="s">
        <v>119</v>
      </c>
      <c r="E3198">
        <v>200117661</v>
      </c>
      <c r="F3198">
        <v>330467028</v>
      </c>
      <c r="G3198">
        <v>547818430</v>
      </c>
      <c r="H3198">
        <v>689725637</v>
      </c>
      <c r="I3198">
        <v>675132471</v>
      </c>
      <c r="J3198">
        <v>445590664</v>
      </c>
      <c r="K3198">
        <v>386374417</v>
      </c>
      <c r="L3198">
        <v>281698238</v>
      </c>
      <c r="M3198">
        <v>0</v>
      </c>
      <c r="P3198">
        <v>85</v>
      </c>
      <c r="Q3198" t="s">
        <v>6728</v>
      </c>
    </row>
    <row r="3199" spans="1:17" x14ac:dyDescent="0.3">
      <c r="A3199" t="s">
        <v>73</v>
      </c>
      <c r="B3199" t="str">
        <f>"000908"</f>
        <v>000908</v>
      </c>
      <c r="C3199" t="s">
        <v>6729</v>
      </c>
      <c r="D3199" t="s">
        <v>348</v>
      </c>
      <c r="E3199">
        <v>200082507</v>
      </c>
      <c r="F3199">
        <v>389495889</v>
      </c>
      <c r="G3199">
        <v>796034988</v>
      </c>
      <c r="H3199">
        <v>776040905</v>
      </c>
      <c r="I3199">
        <v>715748773</v>
      </c>
      <c r="J3199">
        <v>837863834</v>
      </c>
      <c r="K3199">
        <v>772107050</v>
      </c>
      <c r="L3199">
        <v>435708833</v>
      </c>
      <c r="M3199">
        <v>68649008</v>
      </c>
      <c r="N3199">
        <v>67727674</v>
      </c>
      <c r="O3199">
        <v>72866121</v>
      </c>
      <c r="P3199">
        <v>186</v>
      </c>
      <c r="Q3199" t="s">
        <v>6730</v>
      </c>
    </row>
    <row r="3200" spans="1:17" x14ac:dyDescent="0.3">
      <c r="A3200" t="s">
        <v>17</v>
      </c>
      <c r="B3200" t="str">
        <f>"601199"</f>
        <v>601199</v>
      </c>
      <c r="C3200" t="s">
        <v>6731</v>
      </c>
      <c r="D3200" t="s">
        <v>308</v>
      </c>
      <c r="E3200">
        <v>199980616</v>
      </c>
      <c r="F3200">
        <v>37169122</v>
      </c>
      <c r="G3200">
        <v>115442545</v>
      </c>
      <c r="H3200">
        <v>181900129</v>
      </c>
      <c r="I3200">
        <v>143879264</v>
      </c>
      <c r="J3200">
        <v>43910368</v>
      </c>
      <c r="K3200">
        <v>22288210</v>
      </c>
      <c r="L3200">
        <v>12801066</v>
      </c>
      <c r="M3200">
        <v>14454114</v>
      </c>
      <c r="N3200">
        <v>18419213</v>
      </c>
      <c r="O3200">
        <v>36660444</v>
      </c>
      <c r="P3200">
        <v>186</v>
      </c>
      <c r="Q3200" t="s">
        <v>6732</v>
      </c>
    </row>
    <row r="3201" spans="1:17" x14ac:dyDescent="0.3">
      <c r="A3201" t="s">
        <v>17</v>
      </c>
      <c r="B3201" t="str">
        <f>"603229"</f>
        <v>603229</v>
      </c>
      <c r="C3201" t="s">
        <v>6733</v>
      </c>
      <c r="D3201" t="s">
        <v>908</v>
      </c>
      <c r="E3201">
        <v>199964154</v>
      </c>
      <c r="F3201">
        <v>110559658</v>
      </c>
      <c r="G3201">
        <v>46083860</v>
      </c>
      <c r="H3201">
        <v>59619996</v>
      </c>
      <c r="I3201">
        <v>44995840</v>
      </c>
      <c r="J3201">
        <v>42257409</v>
      </c>
      <c r="P3201">
        <v>164</v>
      </c>
      <c r="Q3201" t="s">
        <v>6734</v>
      </c>
    </row>
    <row r="3202" spans="1:17" x14ac:dyDescent="0.3">
      <c r="A3202" t="s">
        <v>17</v>
      </c>
      <c r="B3202" t="str">
        <f>"603388"</f>
        <v>603388</v>
      </c>
      <c r="C3202" t="s">
        <v>6735</v>
      </c>
      <c r="D3202" t="s">
        <v>445</v>
      </c>
      <c r="E3202">
        <v>199825322</v>
      </c>
      <c r="F3202">
        <v>490484825</v>
      </c>
      <c r="G3202">
        <v>418548765</v>
      </c>
      <c r="H3202">
        <v>0</v>
      </c>
      <c r="I3202">
        <v>87775562</v>
      </c>
      <c r="J3202">
        <v>72854159</v>
      </c>
      <c r="P3202">
        <v>63</v>
      </c>
      <c r="Q3202" t="s">
        <v>6736</v>
      </c>
    </row>
    <row r="3203" spans="1:17" x14ac:dyDescent="0.3">
      <c r="A3203" t="s">
        <v>17</v>
      </c>
      <c r="B3203" t="str">
        <f>"603223"</f>
        <v>603223</v>
      </c>
      <c r="C3203" t="s">
        <v>6737</v>
      </c>
      <c r="D3203" t="s">
        <v>1341</v>
      </c>
      <c r="E3203">
        <v>199753532</v>
      </c>
      <c r="F3203">
        <v>138998635</v>
      </c>
      <c r="G3203">
        <v>157859381</v>
      </c>
      <c r="H3203">
        <v>192502823</v>
      </c>
      <c r="I3203">
        <v>119444129</v>
      </c>
      <c r="J3203">
        <v>89012557</v>
      </c>
      <c r="K3203">
        <v>90711321</v>
      </c>
      <c r="L3203">
        <v>0</v>
      </c>
      <c r="M3203">
        <v>0</v>
      </c>
      <c r="P3203">
        <v>98</v>
      </c>
      <c r="Q3203" t="s">
        <v>6738</v>
      </c>
    </row>
    <row r="3204" spans="1:17" x14ac:dyDescent="0.3">
      <c r="A3204" t="s">
        <v>73</v>
      </c>
      <c r="B3204" t="str">
        <f>"300778"</f>
        <v>300778</v>
      </c>
      <c r="C3204" t="s">
        <v>6739</v>
      </c>
      <c r="D3204" t="s">
        <v>661</v>
      </c>
      <c r="E3204">
        <v>199464818</v>
      </c>
      <c r="F3204">
        <v>165737090</v>
      </c>
      <c r="G3204">
        <v>284004324</v>
      </c>
      <c r="H3204">
        <v>0</v>
      </c>
      <c r="I3204">
        <v>0</v>
      </c>
      <c r="P3204">
        <v>104</v>
      </c>
      <c r="Q3204" t="s">
        <v>6740</v>
      </c>
    </row>
    <row r="3205" spans="1:17" x14ac:dyDescent="0.3">
      <c r="A3205" t="s">
        <v>17</v>
      </c>
      <c r="B3205" t="str">
        <f>"600611"</f>
        <v>600611</v>
      </c>
      <c r="C3205" t="s">
        <v>6741</v>
      </c>
      <c r="D3205" t="s">
        <v>4964</v>
      </c>
      <c r="E3205">
        <v>199324802</v>
      </c>
      <c r="F3205">
        <v>141482542</v>
      </c>
      <c r="G3205">
        <v>165017931</v>
      </c>
      <c r="H3205">
        <v>137782164</v>
      </c>
      <c r="I3205">
        <v>228891577</v>
      </c>
      <c r="J3205">
        <v>120156600</v>
      </c>
      <c r="K3205">
        <v>137737886</v>
      </c>
      <c r="L3205">
        <v>170068889</v>
      </c>
      <c r="M3205">
        <v>146674974</v>
      </c>
      <c r="N3205">
        <v>158782531</v>
      </c>
      <c r="O3205">
        <v>122651072</v>
      </c>
      <c r="P3205">
        <v>243</v>
      </c>
      <c r="Q3205" t="s">
        <v>6742</v>
      </c>
    </row>
    <row r="3206" spans="1:17" x14ac:dyDescent="0.3">
      <c r="A3206" t="s">
        <v>73</v>
      </c>
      <c r="B3206" t="str">
        <f>"300325"</f>
        <v>300325</v>
      </c>
      <c r="C3206" t="s">
        <v>6743</v>
      </c>
      <c r="D3206" t="s">
        <v>3079</v>
      </c>
      <c r="E3206">
        <v>199245006</v>
      </c>
      <c r="F3206">
        <v>184412312</v>
      </c>
      <c r="G3206">
        <v>240195861</v>
      </c>
      <c r="H3206">
        <v>0</v>
      </c>
      <c r="I3206">
        <v>1249644806</v>
      </c>
      <c r="J3206">
        <v>1104629771</v>
      </c>
      <c r="K3206">
        <v>525100704</v>
      </c>
      <c r="L3206">
        <v>451735771</v>
      </c>
      <c r="M3206">
        <v>288668838</v>
      </c>
      <c r="N3206">
        <v>225263547</v>
      </c>
      <c r="O3206">
        <v>191792248</v>
      </c>
      <c r="P3206">
        <v>81</v>
      </c>
      <c r="Q3206" t="s">
        <v>6744</v>
      </c>
    </row>
    <row r="3207" spans="1:17" x14ac:dyDescent="0.3">
      <c r="A3207" t="s">
        <v>73</v>
      </c>
      <c r="B3207" t="str">
        <f>"002141"</f>
        <v>002141</v>
      </c>
      <c r="C3207" t="s">
        <v>6745</v>
      </c>
      <c r="D3207" t="s">
        <v>651</v>
      </c>
      <c r="E3207">
        <v>199063889</v>
      </c>
      <c r="F3207">
        <v>236637939</v>
      </c>
      <c r="G3207">
        <v>187484772</v>
      </c>
      <c r="H3207">
        <v>176568859</v>
      </c>
      <c r="I3207">
        <v>203926065</v>
      </c>
      <c r="J3207">
        <v>194739458</v>
      </c>
      <c r="K3207">
        <v>119957838</v>
      </c>
      <c r="L3207">
        <v>142187344</v>
      </c>
      <c r="M3207">
        <v>173561740</v>
      </c>
      <c r="N3207">
        <v>202842728</v>
      </c>
      <c r="O3207">
        <v>198375011</v>
      </c>
      <c r="P3207">
        <v>74</v>
      </c>
      <c r="Q3207" t="s">
        <v>6746</v>
      </c>
    </row>
    <row r="3208" spans="1:17" x14ac:dyDescent="0.3">
      <c r="A3208" t="s">
        <v>17</v>
      </c>
      <c r="B3208" t="str">
        <f>"605399"</f>
        <v>605399</v>
      </c>
      <c r="C3208" t="s">
        <v>6747</v>
      </c>
      <c r="D3208" t="s">
        <v>1309</v>
      </c>
      <c r="E3208">
        <v>198893570</v>
      </c>
      <c r="F3208">
        <v>114465258</v>
      </c>
      <c r="G3208">
        <v>102023939</v>
      </c>
      <c r="P3208">
        <v>126</v>
      </c>
      <c r="Q3208" t="s">
        <v>6748</v>
      </c>
    </row>
    <row r="3209" spans="1:17" x14ac:dyDescent="0.3">
      <c r="A3209" t="s">
        <v>73</v>
      </c>
      <c r="B3209" t="str">
        <f>"002884"</f>
        <v>002884</v>
      </c>
      <c r="C3209" t="s">
        <v>6749</v>
      </c>
      <c r="D3209" t="s">
        <v>873</v>
      </c>
      <c r="E3209">
        <v>198818412</v>
      </c>
      <c r="F3209">
        <v>160831058</v>
      </c>
      <c r="G3209">
        <v>88271222</v>
      </c>
      <c r="H3209">
        <v>84503136</v>
      </c>
      <c r="I3209">
        <v>79602218</v>
      </c>
      <c r="J3209">
        <v>0</v>
      </c>
      <c r="P3209">
        <v>995</v>
      </c>
      <c r="Q3209" t="s">
        <v>6750</v>
      </c>
    </row>
    <row r="3210" spans="1:17" x14ac:dyDescent="0.3">
      <c r="A3210" t="s">
        <v>73</v>
      </c>
      <c r="B3210" t="str">
        <f>"002773"</f>
        <v>002773</v>
      </c>
      <c r="C3210" t="s">
        <v>6751</v>
      </c>
      <c r="D3210" t="s">
        <v>348</v>
      </c>
      <c r="E3210">
        <v>198704673</v>
      </c>
      <c r="F3210">
        <v>296568899</v>
      </c>
      <c r="G3210">
        <v>395834468</v>
      </c>
      <c r="H3210">
        <v>430359053</v>
      </c>
      <c r="I3210">
        <v>355579781</v>
      </c>
      <c r="J3210">
        <v>206346666</v>
      </c>
      <c r="K3210">
        <v>204894831</v>
      </c>
      <c r="L3210">
        <v>0</v>
      </c>
      <c r="M3210">
        <v>0</v>
      </c>
      <c r="P3210">
        <v>5281</v>
      </c>
      <c r="Q3210" t="s">
        <v>6752</v>
      </c>
    </row>
    <row r="3211" spans="1:17" x14ac:dyDescent="0.3">
      <c r="A3211" t="s">
        <v>17</v>
      </c>
      <c r="B3211" t="str">
        <f>"601008"</f>
        <v>601008</v>
      </c>
      <c r="C3211" t="s">
        <v>6753</v>
      </c>
      <c r="D3211" t="s">
        <v>706</v>
      </c>
      <c r="E3211">
        <v>198419600</v>
      </c>
      <c r="F3211">
        <v>217700100</v>
      </c>
      <c r="G3211">
        <v>253849996</v>
      </c>
      <c r="H3211">
        <v>309250103</v>
      </c>
      <c r="I3211">
        <v>318752233</v>
      </c>
      <c r="J3211">
        <v>259019827</v>
      </c>
      <c r="K3211">
        <v>184662754</v>
      </c>
      <c r="L3211">
        <v>186046924</v>
      </c>
      <c r="M3211">
        <v>170447303</v>
      </c>
      <c r="N3211">
        <v>153043537</v>
      </c>
      <c r="O3211">
        <v>138155915</v>
      </c>
      <c r="P3211">
        <v>131</v>
      </c>
      <c r="Q3211" t="s">
        <v>6754</v>
      </c>
    </row>
    <row r="3212" spans="1:17" x14ac:dyDescent="0.3">
      <c r="A3212" t="s">
        <v>73</v>
      </c>
      <c r="B3212" t="str">
        <f>"300649"</f>
        <v>300649</v>
      </c>
      <c r="C3212" t="s">
        <v>6755</v>
      </c>
      <c r="D3212" t="s">
        <v>445</v>
      </c>
      <c r="E3212">
        <v>198040246</v>
      </c>
      <c r="F3212">
        <v>232475325</v>
      </c>
      <c r="G3212">
        <v>307833930</v>
      </c>
      <c r="H3212">
        <v>148199672</v>
      </c>
      <c r="I3212">
        <v>124380207</v>
      </c>
      <c r="J3212">
        <v>85916689</v>
      </c>
      <c r="K3212">
        <v>0</v>
      </c>
      <c r="P3212">
        <v>91</v>
      </c>
      <c r="Q3212" t="s">
        <v>6756</v>
      </c>
    </row>
    <row r="3213" spans="1:17" x14ac:dyDescent="0.3">
      <c r="A3213" t="s">
        <v>17</v>
      </c>
      <c r="B3213" t="str">
        <f>"603036"</f>
        <v>603036</v>
      </c>
      <c r="C3213" t="s">
        <v>6757</v>
      </c>
      <c r="D3213" t="s">
        <v>311</v>
      </c>
      <c r="E3213">
        <v>197846823</v>
      </c>
      <c r="F3213">
        <v>174947260</v>
      </c>
      <c r="G3213">
        <v>185712839</v>
      </c>
      <c r="H3213">
        <v>191824284</v>
      </c>
      <c r="I3213">
        <v>164629255</v>
      </c>
      <c r="J3213">
        <v>161492622</v>
      </c>
      <c r="P3213">
        <v>61</v>
      </c>
      <c r="Q3213" t="s">
        <v>6758</v>
      </c>
    </row>
    <row r="3214" spans="1:17" x14ac:dyDescent="0.3">
      <c r="A3214" t="s">
        <v>73</v>
      </c>
      <c r="B3214" t="str">
        <f>"300918"</f>
        <v>300918</v>
      </c>
      <c r="C3214" t="s">
        <v>6759</v>
      </c>
      <c r="D3214" t="s">
        <v>3204</v>
      </c>
      <c r="E3214">
        <v>197629504</v>
      </c>
      <c r="F3214">
        <v>243605232</v>
      </c>
      <c r="P3214">
        <v>38</v>
      </c>
      <c r="Q3214" t="s">
        <v>6760</v>
      </c>
    </row>
    <row r="3215" spans="1:17" x14ac:dyDescent="0.3">
      <c r="A3215" t="s">
        <v>17</v>
      </c>
      <c r="B3215" t="str">
        <f>"688768"</f>
        <v>688768</v>
      </c>
      <c r="C3215" t="s">
        <v>6761</v>
      </c>
      <c r="D3215" t="s">
        <v>2280</v>
      </c>
      <c r="E3215">
        <v>197602939</v>
      </c>
      <c r="F3215">
        <v>133348465</v>
      </c>
      <c r="P3215">
        <v>30</v>
      </c>
      <c r="Q3215" t="s">
        <v>6762</v>
      </c>
    </row>
    <row r="3216" spans="1:17" x14ac:dyDescent="0.3">
      <c r="A3216" t="s">
        <v>73</v>
      </c>
      <c r="B3216" t="str">
        <f>"002766"</f>
        <v>002766</v>
      </c>
      <c r="C3216" t="s">
        <v>6763</v>
      </c>
      <c r="D3216" t="s">
        <v>442</v>
      </c>
      <c r="E3216">
        <v>197579017</v>
      </c>
      <c r="F3216">
        <v>435157146</v>
      </c>
      <c r="G3216">
        <v>722310965</v>
      </c>
      <c r="H3216">
        <v>891074568</v>
      </c>
      <c r="I3216">
        <v>701944088</v>
      </c>
      <c r="J3216">
        <v>346314324</v>
      </c>
      <c r="K3216">
        <v>297096727</v>
      </c>
      <c r="L3216">
        <v>220417497</v>
      </c>
      <c r="M3216">
        <v>0</v>
      </c>
      <c r="P3216">
        <v>85</v>
      </c>
      <c r="Q3216" t="s">
        <v>6764</v>
      </c>
    </row>
    <row r="3217" spans="1:17" x14ac:dyDescent="0.3">
      <c r="A3217" t="s">
        <v>73</v>
      </c>
      <c r="B3217" t="str">
        <f>"300103"</f>
        <v>300103</v>
      </c>
      <c r="C3217" t="s">
        <v>6765</v>
      </c>
      <c r="D3217" t="s">
        <v>1451</v>
      </c>
      <c r="E3217">
        <v>197448419</v>
      </c>
      <c r="F3217">
        <v>152977677</v>
      </c>
      <c r="G3217">
        <v>116927415</v>
      </c>
      <c r="H3217">
        <v>98531146</v>
      </c>
      <c r="I3217">
        <v>99332824</v>
      </c>
      <c r="J3217">
        <v>84757133</v>
      </c>
      <c r="K3217">
        <v>80957869</v>
      </c>
      <c r="L3217">
        <v>109459071</v>
      </c>
      <c r="M3217">
        <v>193589289</v>
      </c>
      <c r="N3217">
        <v>64530542</v>
      </c>
      <c r="O3217">
        <v>44436875</v>
      </c>
      <c r="P3217">
        <v>53</v>
      </c>
      <c r="Q3217" t="s">
        <v>6766</v>
      </c>
    </row>
    <row r="3218" spans="1:17" x14ac:dyDescent="0.3">
      <c r="A3218" t="s">
        <v>73</v>
      </c>
      <c r="B3218" t="str">
        <f>"002907"</f>
        <v>002907</v>
      </c>
      <c r="C3218" t="s">
        <v>6767</v>
      </c>
      <c r="D3218" t="s">
        <v>215</v>
      </c>
      <c r="E3218">
        <v>197242429</v>
      </c>
      <c r="F3218">
        <v>202735751</v>
      </c>
      <c r="G3218">
        <v>232580548</v>
      </c>
      <c r="H3218">
        <v>229784455</v>
      </c>
      <c r="I3218">
        <v>185326054</v>
      </c>
      <c r="P3218">
        <v>286</v>
      </c>
      <c r="Q3218" t="s">
        <v>6768</v>
      </c>
    </row>
    <row r="3219" spans="1:17" x14ac:dyDescent="0.3">
      <c r="A3219" t="s">
        <v>73</v>
      </c>
      <c r="B3219" t="str">
        <f>"300823"</f>
        <v>300823</v>
      </c>
      <c r="C3219" t="s">
        <v>6769</v>
      </c>
      <c r="D3219" t="s">
        <v>1451</v>
      </c>
      <c r="E3219">
        <v>197130138</v>
      </c>
      <c r="F3219">
        <v>199559828</v>
      </c>
      <c r="G3219">
        <v>193513234</v>
      </c>
      <c r="H3219">
        <v>0</v>
      </c>
      <c r="P3219">
        <v>109</v>
      </c>
      <c r="Q3219" t="s">
        <v>6770</v>
      </c>
    </row>
    <row r="3220" spans="1:17" x14ac:dyDescent="0.3">
      <c r="A3220" t="s">
        <v>73</v>
      </c>
      <c r="B3220" t="str">
        <f>"002200"</f>
        <v>002200</v>
      </c>
      <c r="C3220" t="s">
        <v>6771</v>
      </c>
      <c r="D3220" t="s">
        <v>445</v>
      </c>
      <c r="E3220">
        <v>197122664</v>
      </c>
      <c r="F3220">
        <v>213347037</v>
      </c>
      <c r="G3220">
        <v>381825259</v>
      </c>
      <c r="H3220">
        <v>485225102</v>
      </c>
      <c r="I3220">
        <v>463924920</v>
      </c>
      <c r="J3220">
        <v>411859408</v>
      </c>
      <c r="K3220">
        <v>339218132</v>
      </c>
      <c r="L3220">
        <v>285686198</v>
      </c>
      <c r="M3220">
        <v>268601506</v>
      </c>
      <c r="N3220">
        <v>200288612</v>
      </c>
      <c r="O3220">
        <v>137724180</v>
      </c>
      <c r="P3220">
        <v>53</v>
      </c>
      <c r="Q3220" t="s">
        <v>6772</v>
      </c>
    </row>
    <row r="3221" spans="1:17" x14ac:dyDescent="0.3">
      <c r="A3221" t="s">
        <v>17</v>
      </c>
      <c r="B3221" t="str">
        <f>"605166"</f>
        <v>605166</v>
      </c>
      <c r="C3221" t="s">
        <v>6773</v>
      </c>
      <c r="D3221" t="s">
        <v>1911</v>
      </c>
      <c r="E3221">
        <v>197104163</v>
      </c>
      <c r="F3221">
        <v>153209100</v>
      </c>
      <c r="G3221">
        <v>81796118</v>
      </c>
      <c r="H3221">
        <v>0</v>
      </c>
      <c r="P3221">
        <v>68</v>
      </c>
      <c r="Q3221" t="s">
        <v>6774</v>
      </c>
    </row>
    <row r="3222" spans="1:17" x14ac:dyDescent="0.3">
      <c r="A3222" t="s">
        <v>73</v>
      </c>
      <c r="B3222" t="str">
        <f>"002016"</f>
        <v>002016</v>
      </c>
      <c r="C3222" t="s">
        <v>6775</v>
      </c>
      <c r="D3222" t="s">
        <v>27</v>
      </c>
      <c r="E3222">
        <v>196993182</v>
      </c>
      <c r="F3222">
        <v>17439155</v>
      </c>
      <c r="G3222">
        <v>15010296</v>
      </c>
      <c r="H3222">
        <v>13047322</v>
      </c>
      <c r="I3222">
        <v>9308670</v>
      </c>
      <c r="J3222">
        <v>8839813</v>
      </c>
      <c r="K3222">
        <v>3304911</v>
      </c>
      <c r="L3222">
        <v>3232676</v>
      </c>
      <c r="M3222">
        <v>372675</v>
      </c>
      <c r="N3222">
        <v>848988</v>
      </c>
      <c r="O3222">
        <v>2121574</v>
      </c>
      <c r="P3222">
        <v>457</v>
      </c>
      <c r="Q3222" t="s">
        <v>6776</v>
      </c>
    </row>
    <row r="3223" spans="1:17" x14ac:dyDescent="0.3">
      <c r="A3223" t="s">
        <v>73</v>
      </c>
      <c r="B3223" t="str">
        <f>"301022"</f>
        <v>301022</v>
      </c>
      <c r="C3223" t="s">
        <v>6777</v>
      </c>
      <c r="D3223" t="s">
        <v>722</v>
      </c>
      <c r="E3223">
        <v>196898706</v>
      </c>
      <c r="F3223">
        <v>139239755</v>
      </c>
      <c r="P3223">
        <v>24</v>
      </c>
      <c r="Q3223" t="s">
        <v>6778</v>
      </c>
    </row>
    <row r="3224" spans="1:17" x14ac:dyDescent="0.3">
      <c r="A3224" t="s">
        <v>73</v>
      </c>
      <c r="B3224" t="str">
        <f>"000962"</f>
        <v>000962</v>
      </c>
      <c r="C3224" t="s">
        <v>6779</v>
      </c>
      <c r="D3224" t="s">
        <v>1240</v>
      </c>
      <c r="E3224">
        <v>196807171</v>
      </c>
      <c r="F3224">
        <v>168918917</v>
      </c>
      <c r="G3224">
        <v>95278551</v>
      </c>
      <c r="H3224">
        <v>156196920</v>
      </c>
      <c r="I3224">
        <v>189686142</v>
      </c>
      <c r="J3224">
        <v>197899259</v>
      </c>
      <c r="K3224">
        <v>345486809</v>
      </c>
      <c r="L3224">
        <v>485022977</v>
      </c>
      <c r="M3224">
        <v>614284193</v>
      </c>
      <c r="N3224">
        <v>689594355</v>
      </c>
      <c r="O3224">
        <v>686313327</v>
      </c>
      <c r="P3224">
        <v>131</v>
      </c>
      <c r="Q3224" t="s">
        <v>6780</v>
      </c>
    </row>
    <row r="3225" spans="1:17" x14ac:dyDescent="0.3">
      <c r="A3225" t="s">
        <v>73</v>
      </c>
      <c r="B3225" t="str">
        <f>"002379"</f>
        <v>002379</v>
      </c>
      <c r="C3225" t="s">
        <v>6781</v>
      </c>
      <c r="D3225" t="s">
        <v>616</v>
      </c>
      <c r="E3225">
        <v>196718526</v>
      </c>
      <c r="F3225">
        <v>197026731</v>
      </c>
      <c r="G3225">
        <v>223075439</v>
      </c>
      <c r="H3225">
        <v>194883609</v>
      </c>
      <c r="I3225">
        <v>229175249</v>
      </c>
      <c r="J3225">
        <v>207335051</v>
      </c>
      <c r="K3225">
        <v>270186659</v>
      </c>
      <c r="L3225">
        <v>264886848</v>
      </c>
      <c r="M3225">
        <v>302686413</v>
      </c>
      <c r="N3225">
        <v>214071281</v>
      </c>
      <c r="O3225">
        <v>214598830</v>
      </c>
      <c r="P3225">
        <v>88</v>
      </c>
      <c r="Q3225" t="s">
        <v>6782</v>
      </c>
    </row>
    <row r="3226" spans="1:17" x14ac:dyDescent="0.3">
      <c r="A3226" t="s">
        <v>73</v>
      </c>
      <c r="B3226" t="str">
        <f>"300535"</f>
        <v>300535</v>
      </c>
      <c r="C3226" t="s">
        <v>6783</v>
      </c>
      <c r="D3226" t="s">
        <v>588</v>
      </c>
      <c r="E3226">
        <v>196637339</v>
      </c>
      <c r="F3226">
        <v>216171334</v>
      </c>
      <c r="G3226">
        <v>174183592</v>
      </c>
      <c r="H3226">
        <v>170226663</v>
      </c>
      <c r="I3226">
        <v>132582706</v>
      </c>
      <c r="J3226">
        <v>128795840</v>
      </c>
      <c r="K3226">
        <v>116272375</v>
      </c>
      <c r="L3226">
        <v>0</v>
      </c>
      <c r="P3226">
        <v>73</v>
      </c>
      <c r="Q3226" t="s">
        <v>6784</v>
      </c>
    </row>
    <row r="3227" spans="1:17" x14ac:dyDescent="0.3">
      <c r="A3227" t="s">
        <v>17</v>
      </c>
      <c r="B3227" t="str">
        <f>"605369"</f>
        <v>605369</v>
      </c>
      <c r="C3227" t="s">
        <v>6785</v>
      </c>
      <c r="D3227" t="s">
        <v>1523</v>
      </c>
      <c r="E3227">
        <v>196322711</v>
      </c>
      <c r="F3227">
        <v>164652169</v>
      </c>
      <c r="P3227">
        <v>177</v>
      </c>
      <c r="Q3227" t="s">
        <v>6786</v>
      </c>
    </row>
    <row r="3228" spans="1:17" x14ac:dyDescent="0.3">
      <c r="A3228" t="s">
        <v>73</v>
      </c>
      <c r="B3228" t="str">
        <f>"002117"</f>
        <v>002117</v>
      </c>
      <c r="C3228" t="s">
        <v>6787</v>
      </c>
      <c r="D3228" t="s">
        <v>4179</v>
      </c>
      <c r="E3228">
        <v>196280725</v>
      </c>
      <c r="F3228">
        <v>244931533</v>
      </c>
      <c r="G3228">
        <v>236685352</v>
      </c>
      <c r="H3228">
        <v>434429966</v>
      </c>
      <c r="I3228">
        <v>388148539</v>
      </c>
      <c r="J3228">
        <v>383166166</v>
      </c>
      <c r="K3228">
        <v>284675107</v>
      </c>
      <c r="L3228">
        <v>222794701</v>
      </c>
      <c r="M3228">
        <v>177402435</v>
      </c>
      <c r="N3228">
        <v>175874258</v>
      </c>
      <c r="O3228">
        <v>166635377</v>
      </c>
      <c r="P3228">
        <v>392</v>
      </c>
      <c r="Q3228" t="s">
        <v>6788</v>
      </c>
    </row>
    <row r="3229" spans="1:17" x14ac:dyDescent="0.3">
      <c r="A3229" t="s">
        <v>17</v>
      </c>
      <c r="B3229" t="str">
        <f>"600425"</f>
        <v>600425</v>
      </c>
      <c r="C3229" t="s">
        <v>6789</v>
      </c>
      <c r="D3229" t="s">
        <v>90</v>
      </c>
      <c r="E3229">
        <v>196180325</v>
      </c>
      <c r="F3229">
        <v>147388325</v>
      </c>
      <c r="G3229">
        <v>165855797</v>
      </c>
      <c r="H3229">
        <v>207003887</v>
      </c>
      <c r="I3229">
        <v>225438701</v>
      </c>
      <c r="J3229">
        <v>335099234</v>
      </c>
      <c r="K3229">
        <v>461528113</v>
      </c>
      <c r="L3229">
        <v>500231578</v>
      </c>
      <c r="M3229">
        <v>489489249</v>
      </c>
      <c r="N3229">
        <v>181747674</v>
      </c>
      <c r="O3229">
        <v>125064635</v>
      </c>
      <c r="P3229">
        <v>167</v>
      </c>
      <c r="Q3229" t="s">
        <v>6790</v>
      </c>
    </row>
    <row r="3230" spans="1:17" x14ac:dyDescent="0.3">
      <c r="A3230" t="s">
        <v>17</v>
      </c>
      <c r="B3230" t="str">
        <f>"603688"</f>
        <v>603688</v>
      </c>
      <c r="C3230" t="s">
        <v>6791</v>
      </c>
      <c r="D3230" t="s">
        <v>1674</v>
      </c>
      <c r="E3230">
        <v>196164463</v>
      </c>
      <c r="F3230">
        <v>175298274</v>
      </c>
      <c r="G3230">
        <v>178626612</v>
      </c>
      <c r="H3230">
        <v>171854746</v>
      </c>
      <c r="I3230">
        <v>200802038</v>
      </c>
      <c r="J3230">
        <v>143012826</v>
      </c>
      <c r="K3230">
        <v>146685798</v>
      </c>
      <c r="L3230">
        <v>122733758</v>
      </c>
      <c r="M3230">
        <v>0</v>
      </c>
      <c r="P3230">
        <v>219</v>
      </c>
      <c r="Q3230" t="s">
        <v>6792</v>
      </c>
    </row>
    <row r="3231" spans="1:17" x14ac:dyDescent="0.3">
      <c r="A3231" t="s">
        <v>73</v>
      </c>
      <c r="B3231" t="str">
        <f>"300367"</f>
        <v>300367</v>
      </c>
      <c r="C3231" t="s">
        <v>6793</v>
      </c>
      <c r="D3231" t="s">
        <v>119</v>
      </c>
      <c r="E3231">
        <v>195950668</v>
      </c>
      <c r="F3231">
        <v>536118809</v>
      </c>
      <c r="G3231">
        <v>836805291</v>
      </c>
      <c r="H3231">
        <v>2865933346</v>
      </c>
      <c r="I3231">
        <v>2039278996</v>
      </c>
      <c r="J3231">
        <v>1416895064</v>
      </c>
      <c r="K3231">
        <v>786059938</v>
      </c>
      <c r="L3231">
        <v>343788515</v>
      </c>
      <c r="M3231">
        <v>226246316</v>
      </c>
      <c r="N3231">
        <v>0</v>
      </c>
      <c r="P3231">
        <v>196</v>
      </c>
      <c r="Q3231" t="s">
        <v>6794</v>
      </c>
    </row>
    <row r="3232" spans="1:17" x14ac:dyDescent="0.3">
      <c r="A3232" t="s">
        <v>17</v>
      </c>
      <c r="B3232" t="str">
        <f>"688733"</f>
        <v>688733</v>
      </c>
      <c r="C3232" t="s">
        <v>6795</v>
      </c>
      <c r="D3232" t="s">
        <v>561</v>
      </c>
      <c r="E3232">
        <v>195883066</v>
      </c>
      <c r="F3232">
        <v>88790734</v>
      </c>
      <c r="P3232">
        <v>47</v>
      </c>
      <c r="Q3232" t="s">
        <v>6796</v>
      </c>
    </row>
    <row r="3233" spans="1:17" x14ac:dyDescent="0.3">
      <c r="A3233" t="s">
        <v>17</v>
      </c>
      <c r="B3233" t="str">
        <f>"603948"</f>
        <v>603948</v>
      </c>
      <c r="C3233" t="s">
        <v>6797</v>
      </c>
      <c r="D3233" t="s">
        <v>588</v>
      </c>
      <c r="E3233">
        <v>195603154</v>
      </c>
      <c r="F3233">
        <v>183941277</v>
      </c>
      <c r="G3233">
        <v>146945407</v>
      </c>
      <c r="P3233">
        <v>60</v>
      </c>
      <c r="Q3233" t="s">
        <v>6798</v>
      </c>
    </row>
    <row r="3234" spans="1:17" x14ac:dyDescent="0.3">
      <c r="A3234" t="s">
        <v>73</v>
      </c>
      <c r="B3234" t="str">
        <f>"002137"</f>
        <v>002137</v>
      </c>
      <c r="C3234" t="s">
        <v>6799</v>
      </c>
      <c r="D3234" t="s">
        <v>425</v>
      </c>
      <c r="E3234">
        <v>195514619</v>
      </c>
      <c r="F3234">
        <v>204224134</v>
      </c>
      <c r="G3234">
        <v>196021041</v>
      </c>
      <c r="H3234">
        <v>183705167</v>
      </c>
      <c r="I3234">
        <v>262265677</v>
      </c>
      <c r="J3234">
        <v>179051579</v>
      </c>
      <c r="K3234">
        <v>201313466</v>
      </c>
      <c r="L3234">
        <v>114794371</v>
      </c>
      <c r="M3234">
        <v>112062150</v>
      </c>
      <c r="N3234">
        <v>142944719</v>
      </c>
      <c r="O3234">
        <v>272793435</v>
      </c>
      <c r="P3234">
        <v>148</v>
      </c>
      <c r="Q3234" t="s">
        <v>6800</v>
      </c>
    </row>
    <row r="3235" spans="1:17" x14ac:dyDescent="0.3">
      <c r="A3235" t="s">
        <v>17</v>
      </c>
      <c r="B3235" t="str">
        <f>"603519"</f>
        <v>603519</v>
      </c>
      <c r="C3235" t="s">
        <v>6801</v>
      </c>
      <c r="D3235" t="s">
        <v>654</v>
      </c>
      <c r="E3235">
        <v>195482375</v>
      </c>
      <c r="F3235">
        <v>270906234</v>
      </c>
      <c r="G3235">
        <v>184528415</v>
      </c>
      <c r="H3235">
        <v>254233158</v>
      </c>
      <c r="I3235">
        <v>209236754</v>
      </c>
      <c r="J3235">
        <v>228502634</v>
      </c>
      <c r="K3235">
        <v>177079181</v>
      </c>
      <c r="L3235">
        <v>189594858</v>
      </c>
      <c r="M3235">
        <v>0</v>
      </c>
      <c r="P3235">
        <v>148</v>
      </c>
      <c r="Q3235" t="s">
        <v>6802</v>
      </c>
    </row>
    <row r="3236" spans="1:17" x14ac:dyDescent="0.3">
      <c r="A3236" t="s">
        <v>17</v>
      </c>
      <c r="B3236" t="str">
        <f>"600965"</f>
        <v>600965</v>
      </c>
      <c r="C3236" t="s">
        <v>6803</v>
      </c>
      <c r="D3236" t="s">
        <v>591</v>
      </c>
      <c r="E3236">
        <v>195302949</v>
      </c>
      <c r="F3236">
        <v>137988018</v>
      </c>
      <c r="G3236">
        <v>157927355</v>
      </c>
      <c r="H3236">
        <v>171222777</v>
      </c>
      <c r="I3236">
        <v>140950349</v>
      </c>
      <c r="J3236">
        <v>106837723</v>
      </c>
      <c r="K3236">
        <v>122386181</v>
      </c>
      <c r="L3236">
        <v>129028735</v>
      </c>
      <c r="M3236">
        <v>80341546</v>
      </c>
      <c r="N3236">
        <v>66972824</v>
      </c>
      <c r="O3236">
        <v>56864513</v>
      </c>
      <c r="P3236">
        <v>113</v>
      </c>
      <c r="Q3236" t="s">
        <v>6804</v>
      </c>
    </row>
    <row r="3237" spans="1:17" x14ac:dyDescent="0.3">
      <c r="A3237" t="s">
        <v>17</v>
      </c>
      <c r="B3237" t="str">
        <f>"605018"</f>
        <v>605018</v>
      </c>
      <c r="C3237" t="s">
        <v>6805</v>
      </c>
      <c r="D3237" t="s">
        <v>722</v>
      </c>
      <c r="E3237">
        <v>195052437</v>
      </c>
      <c r="F3237">
        <v>139972004</v>
      </c>
      <c r="P3237">
        <v>48</v>
      </c>
      <c r="Q3237" t="s">
        <v>6806</v>
      </c>
    </row>
    <row r="3238" spans="1:17" x14ac:dyDescent="0.3">
      <c r="A3238" t="s">
        <v>17</v>
      </c>
      <c r="B3238" t="str">
        <f>"600698"</f>
        <v>600698</v>
      </c>
      <c r="C3238" t="s">
        <v>6807</v>
      </c>
      <c r="D3238" t="s">
        <v>122</v>
      </c>
      <c r="E3238">
        <v>195016900</v>
      </c>
      <c r="F3238">
        <v>284870724</v>
      </c>
      <c r="G3238">
        <v>230316063</v>
      </c>
      <c r="H3238">
        <v>204866232</v>
      </c>
      <c r="I3238">
        <v>254640225</v>
      </c>
      <c r="J3238">
        <v>342874639</v>
      </c>
      <c r="K3238">
        <v>241498049</v>
      </c>
      <c r="L3238">
        <v>250388118</v>
      </c>
      <c r="M3238">
        <v>267826832</v>
      </c>
      <c r="N3238">
        <v>232316061</v>
      </c>
      <c r="O3238">
        <v>223983050</v>
      </c>
      <c r="P3238">
        <v>93</v>
      </c>
      <c r="Q3238" t="s">
        <v>6808</v>
      </c>
    </row>
    <row r="3239" spans="1:17" x14ac:dyDescent="0.3">
      <c r="A3239" t="s">
        <v>17</v>
      </c>
      <c r="B3239" t="str">
        <f>"688355"</f>
        <v>688355</v>
      </c>
      <c r="C3239" t="s">
        <v>6809</v>
      </c>
      <c r="D3239" t="s">
        <v>146</v>
      </c>
      <c r="E3239">
        <v>194999931</v>
      </c>
      <c r="F3239">
        <v>108662832</v>
      </c>
      <c r="P3239">
        <v>21</v>
      </c>
      <c r="Q3239" t="s">
        <v>6810</v>
      </c>
    </row>
    <row r="3240" spans="1:17" x14ac:dyDescent="0.3">
      <c r="A3240" t="s">
        <v>73</v>
      </c>
      <c r="B3240" t="str">
        <f>"300572"</f>
        <v>300572</v>
      </c>
      <c r="C3240" t="s">
        <v>6811</v>
      </c>
      <c r="D3240" t="s">
        <v>2608</v>
      </c>
      <c r="E3240">
        <v>194972941</v>
      </c>
      <c r="F3240">
        <v>238727199</v>
      </c>
      <c r="G3240">
        <v>208478242</v>
      </c>
      <c r="H3240">
        <v>89985186</v>
      </c>
      <c r="I3240">
        <v>66569051</v>
      </c>
      <c r="J3240">
        <v>79888981</v>
      </c>
      <c r="K3240">
        <v>0</v>
      </c>
      <c r="P3240">
        <v>466</v>
      </c>
      <c r="Q3240" t="s">
        <v>6812</v>
      </c>
    </row>
    <row r="3241" spans="1:17" x14ac:dyDescent="0.3">
      <c r="A3241" t="s">
        <v>17</v>
      </c>
      <c r="B3241" t="str">
        <f>"688608"</f>
        <v>688608</v>
      </c>
      <c r="C3241" t="s">
        <v>6813</v>
      </c>
      <c r="D3241" t="s">
        <v>890</v>
      </c>
      <c r="E3241">
        <v>194875286</v>
      </c>
      <c r="F3241">
        <v>38983990</v>
      </c>
      <c r="G3241">
        <v>0</v>
      </c>
      <c r="P3241">
        <v>123</v>
      </c>
      <c r="Q3241" t="s">
        <v>6814</v>
      </c>
    </row>
    <row r="3242" spans="1:17" x14ac:dyDescent="0.3">
      <c r="A3242" t="s">
        <v>73</v>
      </c>
      <c r="B3242" t="str">
        <f>"002841"</f>
        <v>002841</v>
      </c>
      <c r="C3242" t="s">
        <v>6815</v>
      </c>
      <c r="D3242" t="s">
        <v>4229</v>
      </c>
      <c r="E3242">
        <v>194794300</v>
      </c>
      <c r="F3242">
        <v>139891433</v>
      </c>
      <c r="G3242">
        <v>80830980</v>
      </c>
      <c r="H3242">
        <v>133021944</v>
      </c>
      <c r="I3242">
        <v>63028116</v>
      </c>
      <c r="J3242">
        <v>70600280</v>
      </c>
      <c r="P3242">
        <v>3102</v>
      </c>
      <c r="Q3242" t="s">
        <v>6816</v>
      </c>
    </row>
    <row r="3243" spans="1:17" x14ac:dyDescent="0.3">
      <c r="A3243" t="s">
        <v>73</v>
      </c>
      <c r="B3243" t="str">
        <f>"301036"</f>
        <v>301036</v>
      </c>
      <c r="C3243" t="s">
        <v>6817</v>
      </c>
      <c r="D3243" t="s">
        <v>3072</v>
      </c>
      <c r="E3243">
        <v>194777863</v>
      </c>
      <c r="F3243">
        <v>208928994</v>
      </c>
      <c r="P3243">
        <v>20</v>
      </c>
      <c r="Q3243" t="s">
        <v>6818</v>
      </c>
    </row>
    <row r="3244" spans="1:17" x14ac:dyDescent="0.3">
      <c r="A3244" t="s">
        <v>17</v>
      </c>
      <c r="B3244" t="str">
        <f>"688360"</f>
        <v>688360</v>
      </c>
      <c r="C3244" t="s">
        <v>6819</v>
      </c>
      <c r="D3244" t="s">
        <v>873</v>
      </c>
      <c r="E3244">
        <v>194736311</v>
      </c>
      <c r="F3244">
        <v>154991105</v>
      </c>
      <c r="G3244">
        <v>231699154</v>
      </c>
      <c r="H3244">
        <v>0</v>
      </c>
      <c r="P3244">
        <v>84</v>
      </c>
      <c r="Q3244" t="s">
        <v>6820</v>
      </c>
    </row>
    <row r="3245" spans="1:17" x14ac:dyDescent="0.3">
      <c r="A3245" t="s">
        <v>17</v>
      </c>
      <c r="B3245" t="str">
        <f>"603261"</f>
        <v>603261</v>
      </c>
      <c r="C3245" t="s">
        <v>6821</v>
      </c>
      <c r="E3245">
        <v>194578414</v>
      </c>
      <c r="P3245">
        <v>7</v>
      </c>
      <c r="Q3245" t="s">
        <v>6822</v>
      </c>
    </row>
    <row r="3246" spans="1:17" x14ac:dyDescent="0.3">
      <c r="A3246" t="s">
        <v>17</v>
      </c>
      <c r="B3246" t="str">
        <f>"603238"</f>
        <v>603238</v>
      </c>
      <c r="C3246" t="s">
        <v>6823</v>
      </c>
      <c r="D3246" t="s">
        <v>2759</v>
      </c>
      <c r="E3246">
        <v>194437494</v>
      </c>
      <c r="F3246">
        <v>229292065</v>
      </c>
      <c r="G3246">
        <v>140605488</v>
      </c>
      <c r="H3246">
        <v>138066467</v>
      </c>
      <c r="I3246">
        <v>78308334</v>
      </c>
      <c r="J3246">
        <v>29227781</v>
      </c>
      <c r="P3246">
        <v>240</v>
      </c>
      <c r="Q3246" t="s">
        <v>6824</v>
      </c>
    </row>
    <row r="3247" spans="1:17" x14ac:dyDescent="0.3">
      <c r="A3247" t="s">
        <v>73</v>
      </c>
      <c r="B3247" t="str">
        <f>"200019"</f>
        <v>200019</v>
      </c>
      <c r="C3247" t="s">
        <v>6825</v>
      </c>
      <c r="E3247">
        <v>194236089.292</v>
      </c>
      <c r="F3247">
        <v>551604554.11150002</v>
      </c>
      <c r="G3247">
        <v>155350016.9472</v>
      </c>
      <c r="H3247">
        <v>483509894.17140001</v>
      </c>
      <c r="I3247">
        <v>81920437.572999999</v>
      </c>
      <c r="J3247">
        <v>73153092.715200007</v>
      </c>
      <c r="K3247">
        <v>74811173.733999997</v>
      </c>
      <c r="L3247">
        <v>81032766.25</v>
      </c>
      <c r="M3247">
        <v>77157775.220400006</v>
      </c>
      <c r="N3247">
        <v>126272636.895</v>
      </c>
      <c r="O3247">
        <v>50563279.520999998</v>
      </c>
      <c r="P3247">
        <v>23</v>
      </c>
      <c r="Q3247" t="s">
        <v>6826</v>
      </c>
    </row>
    <row r="3248" spans="1:17" x14ac:dyDescent="0.3">
      <c r="A3248" t="s">
        <v>17</v>
      </c>
      <c r="B3248" t="str">
        <f>"600727"</f>
        <v>600727</v>
      </c>
      <c r="C3248" t="s">
        <v>6827</v>
      </c>
      <c r="D3248" t="s">
        <v>1162</v>
      </c>
      <c r="E3248">
        <v>194174367</v>
      </c>
      <c r="F3248">
        <v>206706221</v>
      </c>
      <c r="G3248">
        <v>7053187</v>
      </c>
      <c r="H3248">
        <v>20915180</v>
      </c>
      <c r="I3248">
        <v>11372052</v>
      </c>
      <c r="J3248">
        <v>24893874</v>
      </c>
      <c r="K3248">
        <v>67642064</v>
      </c>
      <c r="L3248">
        <v>44658359</v>
      </c>
      <c r="M3248">
        <v>26557362</v>
      </c>
      <c r="N3248">
        <v>25505882</v>
      </c>
      <c r="O3248">
        <v>12872715</v>
      </c>
      <c r="P3248">
        <v>138</v>
      </c>
      <c r="Q3248" t="s">
        <v>6828</v>
      </c>
    </row>
    <row r="3249" spans="1:17" x14ac:dyDescent="0.3">
      <c r="A3249" t="s">
        <v>17</v>
      </c>
      <c r="B3249" t="str">
        <f>"603516"</f>
        <v>603516</v>
      </c>
      <c r="C3249" t="s">
        <v>6829</v>
      </c>
      <c r="D3249" t="s">
        <v>158</v>
      </c>
      <c r="E3249">
        <v>194163071</v>
      </c>
      <c r="F3249">
        <v>225817578</v>
      </c>
      <c r="G3249">
        <v>187302503</v>
      </c>
      <c r="H3249">
        <v>123844124</v>
      </c>
      <c r="I3249">
        <v>101600532</v>
      </c>
      <c r="J3249">
        <v>0</v>
      </c>
      <c r="P3249">
        <v>202</v>
      </c>
      <c r="Q3249" t="s">
        <v>6830</v>
      </c>
    </row>
    <row r="3250" spans="1:17" x14ac:dyDescent="0.3">
      <c r="A3250" t="s">
        <v>17</v>
      </c>
      <c r="B3250" t="str">
        <f>"600239"</f>
        <v>600239</v>
      </c>
      <c r="C3250" t="s">
        <v>6831</v>
      </c>
      <c r="D3250" t="s">
        <v>27</v>
      </c>
      <c r="E3250">
        <v>193986841</v>
      </c>
      <c r="F3250">
        <v>147773027</v>
      </c>
      <c r="G3250">
        <v>330761814</v>
      </c>
      <c r="H3250">
        <v>525849557</v>
      </c>
      <c r="I3250">
        <v>870323133</v>
      </c>
      <c r="J3250">
        <v>1322849518</v>
      </c>
      <c r="K3250">
        <v>1273714216</v>
      </c>
      <c r="L3250">
        <v>1882470747</v>
      </c>
      <c r="M3250">
        <v>163109937</v>
      </c>
      <c r="N3250">
        <v>45386177</v>
      </c>
      <c r="O3250">
        <v>31382975</v>
      </c>
      <c r="P3250">
        <v>128</v>
      </c>
      <c r="Q3250" t="s">
        <v>6832</v>
      </c>
    </row>
    <row r="3251" spans="1:17" x14ac:dyDescent="0.3">
      <c r="A3251" t="s">
        <v>73</v>
      </c>
      <c r="B3251" t="str">
        <f>"000952"</f>
        <v>000952</v>
      </c>
      <c r="C3251" t="s">
        <v>6833</v>
      </c>
      <c r="D3251" t="s">
        <v>908</v>
      </c>
      <c r="E3251">
        <v>193938140</v>
      </c>
      <c r="F3251">
        <v>116035640</v>
      </c>
      <c r="G3251">
        <v>122952149</v>
      </c>
      <c r="H3251">
        <v>116983744</v>
      </c>
      <c r="I3251">
        <v>167186133</v>
      </c>
      <c r="J3251">
        <v>80042445</v>
      </c>
      <c r="K3251">
        <v>77184653</v>
      </c>
      <c r="L3251">
        <v>39200421</v>
      </c>
      <c r="M3251">
        <v>49440297</v>
      </c>
      <c r="N3251">
        <v>66197504</v>
      </c>
      <c r="O3251">
        <v>75719883</v>
      </c>
      <c r="P3251">
        <v>169</v>
      </c>
      <c r="Q3251" t="s">
        <v>6834</v>
      </c>
    </row>
    <row r="3252" spans="1:17" x14ac:dyDescent="0.3">
      <c r="A3252" t="s">
        <v>73</v>
      </c>
      <c r="B3252" t="str">
        <f>"300634"</f>
        <v>300634</v>
      </c>
      <c r="C3252" t="s">
        <v>6835</v>
      </c>
      <c r="D3252" t="s">
        <v>302</v>
      </c>
      <c r="E3252">
        <v>193785896</v>
      </c>
      <c r="F3252">
        <v>100302576</v>
      </c>
      <c r="G3252">
        <v>87512140</v>
      </c>
      <c r="H3252">
        <v>387343283</v>
      </c>
      <c r="I3252">
        <v>300577643</v>
      </c>
      <c r="J3252">
        <v>0</v>
      </c>
      <c r="P3252">
        <v>159</v>
      </c>
      <c r="Q3252" t="s">
        <v>6836</v>
      </c>
    </row>
    <row r="3253" spans="1:17" x14ac:dyDescent="0.3">
      <c r="A3253" t="s">
        <v>73</v>
      </c>
      <c r="B3253" t="str">
        <f>"300004"</f>
        <v>300004</v>
      </c>
      <c r="C3253" t="s">
        <v>6837</v>
      </c>
      <c r="D3253" t="s">
        <v>1451</v>
      </c>
      <c r="E3253">
        <v>193599757</v>
      </c>
      <c r="F3253">
        <v>377786322</v>
      </c>
      <c r="G3253">
        <v>519265721</v>
      </c>
      <c r="H3253">
        <v>694687624</v>
      </c>
      <c r="I3253">
        <v>749208873</v>
      </c>
      <c r="J3253">
        <v>638782882</v>
      </c>
      <c r="K3253">
        <v>467498558</v>
      </c>
      <c r="L3253">
        <v>522514092</v>
      </c>
      <c r="M3253">
        <v>408347569</v>
      </c>
      <c r="N3253">
        <v>396641112</v>
      </c>
      <c r="O3253">
        <v>364903004</v>
      </c>
      <c r="P3253">
        <v>84</v>
      </c>
      <c r="Q3253" t="s">
        <v>6838</v>
      </c>
    </row>
    <row r="3254" spans="1:17" x14ac:dyDescent="0.3">
      <c r="A3254" t="s">
        <v>17</v>
      </c>
      <c r="B3254" t="str">
        <f>"600055"</f>
        <v>600055</v>
      </c>
      <c r="C3254" t="s">
        <v>6839</v>
      </c>
      <c r="D3254" t="s">
        <v>692</v>
      </c>
      <c r="E3254">
        <v>193535334</v>
      </c>
      <c r="F3254">
        <v>144689836</v>
      </c>
      <c r="G3254">
        <v>202708813</v>
      </c>
      <c r="H3254">
        <v>294229780</v>
      </c>
      <c r="I3254">
        <v>281054013</v>
      </c>
      <c r="J3254">
        <v>167116294</v>
      </c>
      <c r="K3254">
        <v>156984354</v>
      </c>
      <c r="L3254">
        <v>206726922</v>
      </c>
      <c r="M3254">
        <v>180888551</v>
      </c>
      <c r="N3254">
        <v>245102879</v>
      </c>
      <c r="O3254">
        <v>212536979</v>
      </c>
      <c r="P3254">
        <v>358</v>
      </c>
      <c r="Q3254" t="s">
        <v>6840</v>
      </c>
    </row>
    <row r="3255" spans="1:17" x14ac:dyDescent="0.3">
      <c r="A3255" t="s">
        <v>17</v>
      </c>
      <c r="B3255" t="str">
        <f>"688766"</f>
        <v>688766</v>
      </c>
      <c r="C3255" t="s">
        <v>6841</v>
      </c>
      <c r="D3255" t="s">
        <v>890</v>
      </c>
      <c r="E3255">
        <v>193421302</v>
      </c>
      <c r="G3255">
        <v>87027495</v>
      </c>
      <c r="P3255">
        <v>42</v>
      </c>
      <c r="Q3255" t="s">
        <v>6842</v>
      </c>
    </row>
    <row r="3256" spans="1:17" x14ac:dyDescent="0.3">
      <c r="A3256" t="s">
        <v>73</v>
      </c>
      <c r="B3256" t="str">
        <f>"002338"</f>
        <v>002338</v>
      </c>
      <c r="C3256" t="s">
        <v>6843</v>
      </c>
      <c r="D3256" t="s">
        <v>502</v>
      </c>
      <c r="E3256">
        <v>193348281</v>
      </c>
      <c r="F3256">
        <v>180846891</v>
      </c>
      <c r="G3256">
        <v>117743817</v>
      </c>
      <c r="H3256">
        <v>164922595</v>
      </c>
      <c r="I3256">
        <v>165193338</v>
      </c>
      <c r="J3256">
        <v>171085394</v>
      </c>
      <c r="K3256">
        <v>170595492</v>
      </c>
      <c r="L3256">
        <v>218106603</v>
      </c>
      <c r="M3256">
        <v>174927272</v>
      </c>
      <c r="N3256">
        <v>149983855</v>
      </c>
      <c r="O3256">
        <v>119876916</v>
      </c>
      <c r="P3256">
        <v>147</v>
      </c>
      <c r="Q3256" t="s">
        <v>6844</v>
      </c>
    </row>
    <row r="3257" spans="1:17" x14ac:dyDescent="0.3">
      <c r="A3257" t="s">
        <v>73</v>
      </c>
      <c r="B3257" t="str">
        <f>"300667"</f>
        <v>300667</v>
      </c>
      <c r="C3257" t="s">
        <v>6845</v>
      </c>
      <c r="D3257" t="s">
        <v>2280</v>
      </c>
      <c r="E3257">
        <v>193221582</v>
      </c>
      <c r="F3257">
        <v>222117204</v>
      </c>
      <c r="G3257">
        <v>211181980</v>
      </c>
      <c r="H3257">
        <v>132326811</v>
      </c>
      <c r="I3257">
        <v>105204507</v>
      </c>
      <c r="J3257">
        <v>72619731</v>
      </c>
      <c r="K3257">
        <v>0</v>
      </c>
      <c r="P3257">
        <v>144</v>
      </c>
      <c r="Q3257" t="s">
        <v>6846</v>
      </c>
    </row>
    <row r="3258" spans="1:17" x14ac:dyDescent="0.3">
      <c r="A3258" t="s">
        <v>73</v>
      </c>
      <c r="B3258" t="str">
        <f>"002287"</f>
        <v>002287</v>
      </c>
      <c r="C3258" t="s">
        <v>6847</v>
      </c>
      <c r="D3258" t="s">
        <v>215</v>
      </c>
      <c r="E3258">
        <v>193179575</v>
      </c>
      <c r="F3258">
        <v>108003582</v>
      </c>
      <c r="G3258">
        <v>62482288</v>
      </c>
      <c r="H3258">
        <v>143173349</v>
      </c>
      <c r="I3258">
        <v>140030443</v>
      </c>
      <c r="J3258">
        <v>153505650</v>
      </c>
      <c r="K3258">
        <v>122582824</v>
      </c>
      <c r="L3258">
        <v>127330029</v>
      </c>
      <c r="M3258">
        <v>75953045</v>
      </c>
      <c r="N3258">
        <v>108637996</v>
      </c>
      <c r="O3258">
        <v>65018250</v>
      </c>
      <c r="P3258">
        <v>13304</v>
      </c>
      <c r="Q3258" t="s">
        <v>6848</v>
      </c>
    </row>
    <row r="3259" spans="1:17" x14ac:dyDescent="0.3">
      <c r="A3259" t="s">
        <v>73</v>
      </c>
      <c r="B3259" t="str">
        <f>"300027"</f>
        <v>300027</v>
      </c>
      <c r="C3259" t="s">
        <v>6849</v>
      </c>
      <c r="D3259" t="s">
        <v>1306</v>
      </c>
      <c r="E3259">
        <v>193038733</v>
      </c>
      <c r="F3259">
        <v>624589136</v>
      </c>
      <c r="G3259">
        <v>211819342</v>
      </c>
      <c r="H3259">
        <v>1080768348</v>
      </c>
      <c r="I3259">
        <v>1610870200</v>
      </c>
      <c r="J3259">
        <v>1291745636</v>
      </c>
      <c r="K3259">
        <v>1580779549</v>
      </c>
      <c r="L3259">
        <v>1442865512</v>
      </c>
      <c r="M3259">
        <v>894258774</v>
      </c>
      <c r="N3259">
        <v>1290971661</v>
      </c>
      <c r="O3259">
        <v>473837291</v>
      </c>
      <c r="P3259">
        <v>475</v>
      </c>
      <c r="Q3259" t="s">
        <v>6850</v>
      </c>
    </row>
    <row r="3260" spans="1:17" x14ac:dyDescent="0.3">
      <c r="A3260" t="s">
        <v>73</v>
      </c>
      <c r="B3260" t="str">
        <f>"002077"</f>
        <v>002077</v>
      </c>
      <c r="C3260" t="s">
        <v>6851</v>
      </c>
      <c r="D3260" t="s">
        <v>554</v>
      </c>
      <c r="E3260">
        <v>192917515</v>
      </c>
      <c r="F3260">
        <v>295116603</v>
      </c>
      <c r="G3260">
        <v>544277459</v>
      </c>
      <c r="H3260">
        <v>1179526238</v>
      </c>
      <c r="I3260">
        <v>781588564</v>
      </c>
      <c r="J3260">
        <v>888771422</v>
      </c>
      <c r="K3260">
        <v>1165047734</v>
      </c>
      <c r="L3260">
        <v>1863232136</v>
      </c>
      <c r="M3260">
        <v>1993727270</v>
      </c>
      <c r="N3260">
        <v>1351975030</v>
      </c>
      <c r="O3260">
        <v>827646233</v>
      </c>
      <c r="P3260">
        <v>125</v>
      </c>
      <c r="Q3260" t="s">
        <v>6852</v>
      </c>
    </row>
    <row r="3261" spans="1:17" x14ac:dyDescent="0.3">
      <c r="A3261" t="s">
        <v>17</v>
      </c>
      <c r="B3261" t="str">
        <f>"603701"</f>
        <v>603701</v>
      </c>
      <c r="C3261" t="s">
        <v>6853</v>
      </c>
      <c r="D3261" t="s">
        <v>122</v>
      </c>
      <c r="E3261">
        <v>192797945</v>
      </c>
      <c r="F3261">
        <v>245384156</v>
      </c>
      <c r="G3261">
        <v>159287630</v>
      </c>
      <c r="H3261">
        <v>183363678</v>
      </c>
      <c r="I3261">
        <v>167846369</v>
      </c>
      <c r="J3261">
        <v>138570632</v>
      </c>
      <c r="K3261">
        <v>121942144</v>
      </c>
      <c r="L3261">
        <v>0</v>
      </c>
      <c r="P3261">
        <v>93</v>
      </c>
      <c r="Q3261" t="s">
        <v>6854</v>
      </c>
    </row>
    <row r="3262" spans="1:17" x14ac:dyDescent="0.3">
      <c r="A3262" t="s">
        <v>73</v>
      </c>
      <c r="B3262" t="str">
        <f>"300052"</f>
        <v>300052</v>
      </c>
      <c r="C3262" t="s">
        <v>6855</v>
      </c>
      <c r="D3262" t="s">
        <v>899</v>
      </c>
      <c r="E3262">
        <v>192794598</v>
      </c>
      <c r="F3262">
        <v>140268231</v>
      </c>
      <c r="G3262">
        <v>174869004</v>
      </c>
      <c r="H3262">
        <v>112260393</v>
      </c>
      <c r="I3262">
        <v>104810252</v>
      </c>
      <c r="J3262">
        <v>105899483</v>
      </c>
      <c r="K3262">
        <v>133381425</v>
      </c>
      <c r="L3262">
        <v>179242740</v>
      </c>
      <c r="M3262">
        <v>92752392</v>
      </c>
      <c r="N3262">
        <v>23316938</v>
      </c>
      <c r="O3262">
        <v>16325740</v>
      </c>
      <c r="P3262">
        <v>219</v>
      </c>
      <c r="Q3262" t="s">
        <v>6856</v>
      </c>
    </row>
    <row r="3263" spans="1:17" x14ac:dyDescent="0.3">
      <c r="A3263" t="s">
        <v>73</v>
      </c>
      <c r="B3263" t="str">
        <f>"301163"</f>
        <v>301163</v>
      </c>
      <c r="C3263" t="s">
        <v>6857</v>
      </c>
      <c r="E3263">
        <v>192659987</v>
      </c>
      <c r="P3263">
        <v>3</v>
      </c>
      <c r="Q3263" t="s">
        <v>6858</v>
      </c>
    </row>
    <row r="3264" spans="1:17" x14ac:dyDescent="0.3">
      <c r="A3264" t="s">
        <v>17</v>
      </c>
      <c r="B3264" t="str">
        <f>"688118"</f>
        <v>688118</v>
      </c>
      <c r="C3264" t="s">
        <v>6859</v>
      </c>
      <c r="D3264" t="s">
        <v>795</v>
      </c>
      <c r="E3264">
        <v>192654982</v>
      </c>
      <c r="F3264">
        <v>183541862</v>
      </c>
      <c r="G3264">
        <v>201966230</v>
      </c>
      <c r="H3264">
        <v>135005015</v>
      </c>
      <c r="P3264">
        <v>71</v>
      </c>
      <c r="Q3264" t="s">
        <v>6860</v>
      </c>
    </row>
    <row r="3265" spans="1:17" x14ac:dyDescent="0.3">
      <c r="A3265" t="s">
        <v>73</v>
      </c>
      <c r="B3265" t="str">
        <f>"300766"</f>
        <v>300766</v>
      </c>
      <c r="C3265" t="s">
        <v>6861</v>
      </c>
      <c r="D3265" t="s">
        <v>404</v>
      </c>
      <c r="E3265">
        <v>192619472</v>
      </c>
      <c r="F3265">
        <v>254149919</v>
      </c>
      <c r="G3265">
        <v>196936982</v>
      </c>
      <c r="H3265">
        <v>123918108</v>
      </c>
      <c r="I3265">
        <v>0</v>
      </c>
      <c r="P3265">
        <v>140</v>
      </c>
      <c r="Q3265" t="s">
        <v>6862</v>
      </c>
    </row>
    <row r="3266" spans="1:17" x14ac:dyDescent="0.3">
      <c r="A3266" t="s">
        <v>73</v>
      </c>
      <c r="B3266" t="str">
        <f>"300239"</f>
        <v>300239</v>
      </c>
      <c r="C3266" t="s">
        <v>6863</v>
      </c>
      <c r="D3266" t="s">
        <v>1505</v>
      </c>
      <c r="E3266">
        <v>192431476</v>
      </c>
      <c r="F3266">
        <v>98034733</v>
      </c>
      <c r="G3266">
        <v>99485384</v>
      </c>
      <c r="H3266">
        <v>116165925</v>
      </c>
      <c r="I3266">
        <v>78420717</v>
      </c>
      <c r="J3266">
        <v>54843309</v>
      </c>
      <c r="K3266">
        <v>53383409</v>
      </c>
      <c r="L3266">
        <v>41683007</v>
      </c>
      <c r="M3266">
        <v>49488271</v>
      </c>
      <c r="N3266">
        <v>8789926</v>
      </c>
      <c r="O3266">
        <v>19941163</v>
      </c>
      <c r="P3266">
        <v>107</v>
      </c>
      <c r="Q3266" t="s">
        <v>6864</v>
      </c>
    </row>
    <row r="3267" spans="1:17" x14ac:dyDescent="0.3">
      <c r="A3267" t="s">
        <v>73</v>
      </c>
      <c r="B3267" t="str">
        <f>"300125"</f>
        <v>300125</v>
      </c>
      <c r="C3267" t="s">
        <v>6865</v>
      </c>
      <c r="D3267" t="s">
        <v>278</v>
      </c>
      <c r="E3267">
        <v>192324931</v>
      </c>
      <c r="F3267">
        <v>276745769</v>
      </c>
      <c r="G3267">
        <v>165574941</v>
      </c>
      <c r="H3267">
        <v>175447604</v>
      </c>
      <c r="I3267">
        <v>152145995</v>
      </c>
      <c r="J3267">
        <v>96691908</v>
      </c>
      <c r="K3267">
        <v>115770612</v>
      </c>
      <c r="L3267">
        <v>102333297</v>
      </c>
      <c r="M3267">
        <v>152402267</v>
      </c>
      <c r="N3267">
        <v>161518537</v>
      </c>
      <c r="O3267">
        <v>149235416</v>
      </c>
      <c r="P3267">
        <v>59</v>
      </c>
      <c r="Q3267" t="s">
        <v>6866</v>
      </c>
    </row>
    <row r="3268" spans="1:17" x14ac:dyDescent="0.3">
      <c r="A3268" t="s">
        <v>17</v>
      </c>
      <c r="B3268" t="str">
        <f>"605009"</f>
        <v>605009</v>
      </c>
      <c r="C3268" t="s">
        <v>6867</v>
      </c>
      <c r="D3268" t="s">
        <v>2759</v>
      </c>
      <c r="E3268">
        <v>192316183</v>
      </c>
      <c r="F3268">
        <v>141801670</v>
      </c>
      <c r="P3268">
        <v>355</v>
      </c>
      <c r="Q3268" t="s">
        <v>6868</v>
      </c>
    </row>
    <row r="3269" spans="1:17" x14ac:dyDescent="0.3">
      <c r="A3269" t="s">
        <v>17</v>
      </c>
      <c r="B3269" t="str">
        <f>"688103"</f>
        <v>688103</v>
      </c>
      <c r="C3269" t="s">
        <v>6869</v>
      </c>
      <c r="D3269" t="s">
        <v>651</v>
      </c>
      <c r="E3269">
        <v>192073262</v>
      </c>
      <c r="P3269">
        <v>13</v>
      </c>
      <c r="Q3269" t="s">
        <v>6870</v>
      </c>
    </row>
    <row r="3270" spans="1:17" x14ac:dyDescent="0.3">
      <c r="A3270" t="s">
        <v>73</v>
      </c>
      <c r="B3270" t="str">
        <f>"300966"</f>
        <v>300966</v>
      </c>
      <c r="C3270" t="s">
        <v>6871</v>
      </c>
      <c r="D3270" t="s">
        <v>908</v>
      </c>
      <c r="E3270">
        <v>191464029</v>
      </c>
      <c r="F3270">
        <v>230783179</v>
      </c>
      <c r="P3270">
        <v>32</v>
      </c>
      <c r="Q3270" t="s">
        <v>6872</v>
      </c>
    </row>
    <row r="3271" spans="1:17" x14ac:dyDescent="0.3">
      <c r="A3271" t="s">
        <v>73</v>
      </c>
      <c r="B3271" t="str">
        <f>"002253"</f>
        <v>002253</v>
      </c>
      <c r="C3271" t="s">
        <v>6873</v>
      </c>
      <c r="D3271" t="s">
        <v>795</v>
      </c>
      <c r="E3271">
        <v>191454241</v>
      </c>
      <c r="F3271">
        <v>186793773</v>
      </c>
      <c r="G3271">
        <v>161657993</v>
      </c>
      <c r="H3271">
        <v>145984162</v>
      </c>
      <c r="I3271">
        <v>132691588</v>
      </c>
      <c r="J3271">
        <v>124194516</v>
      </c>
      <c r="K3271">
        <v>108391890</v>
      </c>
      <c r="L3271">
        <v>97494859</v>
      </c>
      <c r="M3271">
        <v>116147557</v>
      </c>
      <c r="N3271">
        <v>119880386</v>
      </c>
      <c r="O3271">
        <v>111613709</v>
      </c>
      <c r="P3271">
        <v>151</v>
      </c>
      <c r="Q3271" t="s">
        <v>6874</v>
      </c>
    </row>
    <row r="3272" spans="1:17" x14ac:dyDescent="0.3">
      <c r="A3272" t="s">
        <v>73</v>
      </c>
      <c r="B3272" t="str">
        <f>"300209"</f>
        <v>300209</v>
      </c>
      <c r="C3272" t="s">
        <v>6875</v>
      </c>
      <c r="D3272" t="s">
        <v>795</v>
      </c>
      <c r="E3272">
        <v>191437000</v>
      </c>
      <c r="F3272">
        <v>857042448</v>
      </c>
      <c r="G3272">
        <v>1154419472</v>
      </c>
      <c r="H3272">
        <v>1287189895</v>
      </c>
      <c r="I3272">
        <v>791762184</v>
      </c>
      <c r="J3272">
        <v>652887057</v>
      </c>
      <c r="K3272">
        <v>144429158</v>
      </c>
      <c r="L3272">
        <v>76975934</v>
      </c>
      <c r="M3272">
        <v>71729623</v>
      </c>
      <c r="N3272">
        <v>50125968</v>
      </c>
      <c r="O3272">
        <v>26261922</v>
      </c>
      <c r="P3272">
        <v>143</v>
      </c>
      <c r="Q3272" t="s">
        <v>6876</v>
      </c>
    </row>
    <row r="3273" spans="1:17" x14ac:dyDescent="0.3">
      <c r="A3273" t="s">
        <v>73</v>
      </c>
      <c r="B3273" t="str">
        <f>"300656"</f>
        <v>300656</v>
      </c>
      <c r="C3273" t="s">
        <v>6877</v>
      </c>
      <c r="D3273" t="s">
        <v>651</v>
      </c>
      <c r="E3273">
        <v>191386229</v>
      </c>
      <c r="F3273">
        <v>175874483</v>
      </c>
      <c r="G3273">
        <v>141974629</v>
      </c>
      <c r="H3273">
        <v>91913667</v>
      </c>
      <c r="I3273">
        <v>42825452</v>
      </c>
      <c r="J3273">
        <v>23108678</v>
      </c>
      <c r="K3273">
        <v>0</v>
      </c>
      <c r="P3273">
        <v>80</v>
      </c>
      <c r="Q3273" t="s">
        <v>6878</v>
      </c>
    </row>
    <row r="3274" spans="1:17" x14ac:dyDescent="0.3">
      <c r="A3274" t="s">
        <v>17</v>
      </c>
      <c r="B3274" t="str">
        <f>"603511"</f>
        <v>603511</v>
      </c>
      <c r="C3274" t="s">
        <v>6879</v>
      </c>
      <c r="D3274" t="s">
        <v>2601</v>
      </c>
      <c r="E3274">
        <v>191126684</v>
      </c>
      <c r="F3274">
        <v>181628668</v>
      </c>
      <c r="P3274">
        <v>47</v>
      </c>
      <c r="Q3274" t="s">
        <v>6880</v>
      </c>
    </row>
    <row r="3275" spans="1:17" x14ac:dyDescent="0.3">
      <c r="A3275" t="s">
        <v>73</v>
      </c>
      <c r="B3275" t="str">
        <f>"301006"</f>
        <v>301006</v>
      </c>
      <c r="C3275" t="s">
        <v>6881</v>
      </c>
      <c r="D3275" t="s">
        <v>2280</v>
      </c>
      <c r="E3275">
        <v>190967832</v>
      </c>
      <c r="F3275">
        <v>154704961</v>
      </c>
      <c r="P3275">
        <v>50</v>
      </c>
      <c r="Q3275" t="s">
        <v>6882</v>
      </c>
    </row>
    <row r="3276" spans="1:17" x14ac:dyDescent="0.3">
      <c r="A3276" t="s">
        <v>73</v>
      </c>
      <c r="B3276" t="str">
        <f>"301120"</f>
        <v>301120</v>
      </c>
      <c r="C3276" t="s">
        <v>6883</v>
      </c>
      <c r="E3276">
        <v>190748965</v>
      </c>
      <c r="P3276">
        <v>7</v>
      </c>
      <c r="Q3276" t="s">
        <v>6884</v>
      </c>
    </row>
    <row r="3277" spans="1:17" x14ac:dyDescent="0.3">
      <c r="A3277" t="s">
        <v>73</v>
      </c>
      <c r="B3277" t="str">
        <f>"300429"</f>
        <v>300429</v>
      </c>
      <c r="C3277" t="s">
        <v>6885</v>
      </c>
      <c r="D3277" t="s">
        <v>2178</v>
      </c>
      <c r="E3277">
        <v>190399242</v>
      </c>
      <c r="F3277">
        <v>156299678</v>
      </c>
      <c r="G3277">
        <v>115298624</v>
      </c>
      <c r="H3277">
        <v>102590393</v>
      </c>
      <c r="I3277">
        <v>98887493</v>
      </c>
      <c r="J3277">
        <v>72511543</v>
      </c>
      <c r="K3277">
        <v>43483346</v>
      </c>
      <c r="L3277">
        <v>32503010</v>
      </c>
      <c r="M3277">
        <v>0</v>
      </c>
      <c r="P3277">
        <v>261</v>
      </c>
      <c r="Q3277" t="s">
        <v>6886</v>
      </c>
    </row>
    <row r="3278" spans="1:17" x14ac:dyDescent="0.3">
      <c r="A3278" t="s">
        <v>73</v>
      </c>
      <c r="B3278" t="str">
        <f>"002093"</f>
        <v>002093</v>
      </c>
      <c r="C3278" t="s">
        <v>6887</v>
      </c>
      <c r="D3278" t="s">
        <v>853</v>
      </c>
      <c r="E3278">
        <v>190336171</v>
      </c>
      <c r="F3278">
        <v>188879011</v>
      </c>
      <c r="G3278">
        <v>197552186</v>
      </c>
      <c r="H3278">
        <v>275163994</v>
      </c>
      <c r="I3278">
        <v>311737947</v>
      </c>
      <c r="J3278">
        <v>225059523</v>
      </c>
      <c r="K3278">
        <v>201898275</v>
      </c>
      <c r="L3278">
        <v>196872621</v>
      </c>
      <c r="M3278">
        <v>177642885</v>
      </c>
      <c r="N3278">
        <v>136915130</v>
      </c>
      <c r="O3278">
        <v>213733987</v>
      </c>
      <c r="P3278">
        <v>288</v>
      </c>
      <c r="Q3278" t="s">
        <v>6888</v>
      </c>
    </row>
    <row r="3279" spans="1:17" x14ac:dyDescent="0.3">
      <c r="A3279" t="s">
        <v>17</v>
      </c>
      <c r="B3279" t="str">
        <f>"603022"</f>
        <v>603022</v>
      </c>
      <c r="C3279" t="s">
        <v>6889</v>
      </c>
      <c r="D3279" t="s">
        <v>5851</v>
      </c>
      <c r="E3279">
        <v>189956180</v>
      </c>
      <c r="F3279">
        <v>162414564</v>
      </c>
      <c r="G3279">
        <v>148950123</v>
      </c>
      <c r="H3279">
        <v>127997235</v>
      </c>
      <c r="I3279">
        <v>149214026</v>
      </c>
      <c r="J3279">
        <v>126994928</v>
      </c>
      <c r="K3279">
        <v>81697615</v>
      </c>
      <c r="L3279">
        <v>0</v>
      </c>
      <c r="M3279">
        <v>0</v>
      </c>
      <c r="P3279">
        <v>51</v>
      </c>
      <c r="Q3279" t="s">
        <v>6890</v>
      </c>
    </row>
    <row r="3280" spans="1:17" x14ac:dyDescent="0.3">
      <c r="A3280" t="s">
        <v>73</v>
      </c>
      <c r="B3280" t="str">
        <f>"002229"</f>
        <v>002229</v>
      </c>
      <c r="C3280" t="s">
        <v>6891</v>
      </c>
      <c r="D3280" t="s">
        <v>4179</v>
      </c>
      <c r="E3280">
        <v>189762232</v>
      </c>
      <c r="F3280">
        <v>157212172</v>
      </c>
      <c r="G3280">
        <v>109109003</v>
      </c>
      <c r="H3280">
        <v>137689434</v>
      </c>
      <c r="I3280">
        <v>120470014</v>
      </c>
      <c r="J3280">
        <v>149956318</v>
      </c>
      <c r="K3280">
        <v>228695470</v>
      </c>
      <c r="L3280">
        <v>210023989</v>
      </c>
      <c r="M3280">
        <v>174811123</v>
      </c>
      <c r="N3280">
        <v>221010313</v>
      </c>
      <c r="O3280">
        <v>157765816</v>
      </c>
      <c r="P3280">
        <v>118</v>
      </c>
      <c r="Q3280" t="s">
        <v>6892</v>
      </c>
    </row>
    <row r="3281" spans="1:17" x14ac:dyDescent="0.3">
      <c r="A3281" t="s">
        <v>17</v>
      </c>
      <c r="B3281" t="str">
        <f>"603155"</f>
        <v>603155</v>
      </c>
      <c r="C3281" t="s">
        <v>6893</v>
      </c>
      <c r="D3281" t="s">
        <v>1309</v>
      </c>
      <c r="E3281">
        <v>189684419</v>
      </c>
      <c r="F3281">
        <v>121105452</v>
      </c>
      <c r="P3281">
        <v>76</v>
      </c>
      <c r="Q3281" t="s">
        <v>6894</v>
      </c>
    </row>
    <row r="3282" spans="1:17" x14ac:dyDescent="0.3">
      <c r="A3282" t="s">
        <v>17</v>
      </c>
      <c r="B3282" t="str">
        <f>"688048"</f>
        <v>688048</v>
      </c>
      <c r="C3282" t="s">
        <v>6895</v>
      </c>
      <c r="E3282">
        <v>189671883</v>
      </c>
      <c r="P3282">
        <v>12</v>
      </c>
      <c r="Q3282" t="s">
        <v>6896</v>
      </c>
    </row>
    <row r="3283" spans="1:17" x14ac:dyDescent="0.3">
      <c r="A3283" t="s">
        <v>73</v>
      </c>
      <c r="B3283" t="str">
        <f>"300179"</f>
        <v>300179</v>
      </c>
      <c r="C3283" t="s">
        <v>6897</v>
      </c>
      <c r="D3283" t="s">
        <v>3119</v>
      </c>
      <c r="E3283">
        <v>189326643</v>
      </c>
      <c r="F3283">
        <v>138509661</v>
      </c>
      <c r="G3283">
        <v>173719995</v>
      </c>
      <c r="H3283">
        <v>156820946</v>
      </c>
      <c r="I3283">
        <v>108053493</v>
      </c>
      <c r="J3283">
        <v>122534463</v>
      </c>
      <c r="K3283">
        <v>107464266</v>
      </c>
      <c r="L3283">
        <v>87352360</v>
      </c>
      <c r="M3283">
        <v>84593064</v>
      </c>
      <c r="N3283">
        <v>48158501</v>
      </c>
      <c r="O3283">
        <v>47575593</v>
      </c>
      <c r="P3283">
        <v>166</v>
      </c>
      <c r="Q3283" t="s">
        <v>6898</v>
      </c>
    </row>
    <row r="3284" spans="1:17" x14ac:dyDescent="0.3">
      <c r="A3284" t="s">
        <v>17</v>
      </c>
      <c r="B3284" t="str">
        <f>"600358"</f>
        <v>600358</v>
      </c>
      <c r="C3284" t="s">
        <v>6899</v>
      </c>
      <c r="D3284" t="s">
        <v>425</v>
      </c>
      <c r="E3284">
        <v>188833654</v>
      </c>
      <c r="F3284">
        <v>198509539</v>
      </c>
      <c r="G3284">
        <v>177230185</v>
      </c>
      <c r="H3284">
        <v>112212778</v>
      </c>
      <c r="I3284">
        <v>143207636</v>
      </c>
      <c r="J3284">
        <v>16833003</v>
      </c>
      <c r="K3284">
        <v>4401620</v>
      </c>
      <c r="L3284">
        <v>5207286</v>
      </c>
      <c r="M3284">
        <v>3548911</v>
      </c>
      <c r="N3284">
        <v>8004632</v>
      </c>
      <c r="O3284">
        <v>7458088</v>
      </c>
      <c r="P3284">
        <v>64</v>
      </c>
      <c r="Q3284" t="s">
        <v>6900</v>
      </c>
    </row>
    <row r="3285" spans="1:17" x14ac:dyDescent="0.3">
      <c r="A3285" t="s">
        <v>73</v>
      </c>
      <c r="B3285" t="str">
        <f>"002942"</f>
        <v>002942</v>
      </c>
      <c r="C3285" t="s">
        <v>6901</v>
      </c>
      <c r="D3285" t="s">
        <v>272</v>
      </c>
      <c r="E3285">
        <v>188668994</v>
      </c>
      <c r="F3285">
        <v>119201393</v>
      </c>
      <c r="G3285">
        <v>133879306</v>
      </c>
      <c r="H3285">
        <v>120578020</v>
      </c>
      <c r="I3285">
        <v>160941259</v>
      </c>
      <c r="P3285">
        <v>414</v>
      </c>
      <c r="Q3285" t="s">
        <v>6902</v>
      </c>
    </row>
    <row r="3286" spans="1:17" x14ac:dyDescent="0.3">
      <c r="A3286" t="s">
        <v>73</v>
      </c>
      <c r="B3286" t="str">
        <f>"300770"</f>
        <v>300770</v>
      </c>
      <c r="C3286" t="s">
        <v>6903</v>
      </c>
      <c r="D3286" t="s">
        <v>1040</v>
      </c>
      <c r="E3286">
        <v>188521031</v>
      </c>
      <c r="F3286">
        <v>355582273</v>
      </c>
      <c r="G3286">
        <v>178703182</v>
      </c>
      <c r="H3286">
        <v>216378131</v>
      </c>
      <c r="I3286">
        <v>0</v>
      </c>
      <c r="P3286">
        <v>632</v>
      </c>
      <c r="Q3286" t="s">
        <v>6904</v>
      </c>
    </row>
    <row r="3287" spans="1:17" x14ac:dyDescent="0.3">
      <c r="A3287" t="s">
        <v>17</v>
      </c>
      <c r="B3287" t="str">
        <f>"688510"</f>
        <v>688510</v>
      </c>
      <c r="C3287" t="s">
        <v>6905</v>
      </c>
      <c r="D3287" t="s">
        <v>130</v>
      </c>
      <c r="E3287">
        <v>188419524</v>
      </c>
      <c r="F3287">
        <v>147999225</v>
      </c>
      <c r="P3287">
        <v>66</v>
      </c>
      <c r="Q3287" t="s">
        <v>6906</v>
      </c>
    </row>
    <row r="3288" spans="1:17" x14ac:dyDescent="0.3">
      <c r="A3288" t="s">
        <v>17</v>
      </c>
      <c r="B3288" t="str">
        <f>"688260"</f>
        <v>688260</v>
      </c>
      <c r="C3288" t="s">
        <v>6907</v>
      </c>
      <c r="D3288" t="s">
        <v>42</v>
      </c>
      <c r="E3288">
        <v>188303580</v>
      </c>
      <c r="F3288">
        <v>158944224</v>
      </c>
      <c r="P3288">
        <v>24</v>
      </c>
      <c r="Q3288" t="s">
        <v>6908</v>
      </c>
    </row>
    <row r="3289" spans="1:17" x14ac:dyDescent="0.3">
      <c r="A3289" t="s">
        <v>17</v>
      </c>
      <c r="B3289" t="str">
        <f>"603637"</f>
        <v>603637</v>
      </c>
      <c r="C3289" t="s">
        <v>6909</v>
      </c>
      <c r="D3289" t="s">
        <v>141</v>
      </c>
      <c r="E3289">
        <v>188111635</v>
      </c>
      <c r="F3289">
        <v>125197227</v>
      </c>
      <c r="G3289">
        <v>101238650</v>
      </c>
      <c r="H3289">
        <v>103447650</v>
      </c>
      <c r="I3289">
        <v>106955658</v>
      </c>
      <c r="J3289">
        <v>111748569</v>
      </c>
      <c r="P3289">
        <v>70</v>
      </c>
      <c r="Q3289" t="s">
        <v>6910</v>
      </c>
    </row>
    <row r="3290" spans="1:17" x14ac:dyDescent="0.3">
      <c r="A3290" t="s">
        <v>17</v>
      </c>
      <c r="B3290" t="str">
        <f>"600242"</f>
        <v>600242</v>
      </c>
      <c r="C3290" t="s">
        <v>6911</v>
      </c>
      <c r="D3290" t="s">
        <v>425</v>
      </c>
      <c r="E3290">
        <v>187973850</v>
      </c>
      <c r="F3290">
        <v>463437495</v>
      </c>
      <c r="G3290">
        <v>363193892</v>
      </c>
      <c r="H3290">
        <v>813406682</v>
      </c>
      <c r="I3290">
        <v>625560289</v>
      </c>
      <c r="J3290">
        <v>274724480</v>
      </c>
      <c r="K3290">
        <v>246694331</v>
      </c>
      <c r="L3290">
        <v>163533450</v>
      </c>
      <c r="M3290">
        <v>207672386</v>
      </c>
      <c r="N3290">
        <v>233755163</v>
      </c>
      <c r="O3290">
        <v>100657824</v>
      </c>
      <c r="P3290">
        <v>84</v>
      </c>
      <c r="Q3290" t="s">
        <v>6912</v>
      </c>
    </row>
    <row r="3291" spans="1:17" x14ac:dyDescent="0.3">
      <c r="A3291" t="s">
        <v>73</v>
      </c>
      <c r="B3291" t="str">
        <f>"002006"</f>
        <v>002006</v>
      </c>
      <c r="C3291" t="s">
        <v>6913</v>
      </c>
      <c r="D3291" t="s">
        <v>1451</v>
      </c>
      <c r="E3291">
        <v>187847439</v>
      </c>
      <c r="F3291">
        <v>227898625</v>
      </c>
      <c r="G3291">
        <v>194827941</v>
      </c>
      <c r="H3291">
        <v>348626856</v>
      </c>
      <c r="I3291">
        <v>222750761</v>
      </c>
      <c r="J3291">
        <v>219813723</v>
      </c>
      <c r="K3291">
        <v>246740931</v>
      </c>
      <c r="L3291">
        <v>139649128</v>
      </c>
      <c r="M3291">
        <v>282619795</v>
      </c>
      <c r="N3291">
        <v>357705540</v>
      </c>
      <c r="O3291">
        <v>573196778</v>
      </c>
      <c r="P3291">
        <v>127</v>
      </c>
      <c r="Q3291" t="s">
        <v>6914</v>
      </c>
    </row>
    <row r="3292" spans="1:17" x14ac:dyDescent="0.3">
      <c r="A3292" t="s">
        <v>17</v>
      </c>
      <c r="B3292" t="str">
        <f>"601595"</f>
        <v>601595</v>
      </c>
      <c r="C3292" t="s">
        <v>6915</v>
      </c>
      <c r="D3292" t="s">
        <v>1306</v>
      </c>
      <c r="E3292">
        <v>187573339</v>
      </c>
      <c r="F3292">
        <v>207032106</v>
      </c>
      <c r="G3292">
        <v>150167372</v>
      </c>
      <c r="H3292">
        <v>248307748</v>
      </c>
      <c r="I3292">
        <v>345608055</v>
      </c>
      <c r="J3292">
        <v>213439539</v>
      </c>
      <c r="K3292">
        <v>0</v>
      </c>
      <c r="L3292">
        <v>0</v>
      </c>
      <c r="P3292">
        <v>158</v>
      </c>
      <c r="Q3292" t="s">
        <v>6916</v>
      </c>
    </row>
    <row r="3293" spans="1:17" x14ac:dyDescent="0.3">
      <c r="A3293" t="s">
        <v>17</v>
      </c>
      <c r="B3293" t="str">
        <f>"603976"</f>
        <v>603976</v>
      </c>
      <c r="C3293" t="s">
        <v>6917</v>
      </c>
      <c r="D3293" t="s">
        <v>1523</v>
      </c>
      <c r="E3293">
        <v>187338503</v>
      </c>
      <c r="F3293">
        <v>144844079</v>
      </c>
      <c r="G3293">
        <v>157766182</v>
      </c>
      <c r="H3293">
        <v>160297115</v>
      </c>
      <c r="I3293">
        <v>135455772</v>
      </c>
      <c r="J3293">
        <v>0</v>
      </c>
      <c r="P3293">
        <v>216</v>
      </c>
      <c r="Q3293" t="s">
        <v>6918</v>
      </c>
    </row>
    <row r="3294" spans="1:17" x14ac:dyDescent="0.3">
      <c r="A3294" t="s">
        <v>73</v>
      </c>
      <c r="B3294" t="str">
        <f>"300483"</f>
        <v>300483</v>
      </c>
      <c r="C3294" t="s">
        <v>6919</v>
      </c>
      <c r="D3294" t="s">
        <v>469</v>
      </c>
      <c r="E3294">
        <v>187057812</v>
      </c>
      <c r="F3294">
        <v>222769131</v>
      </c>
      <c r="G3294">
        <v>256537154</v>
      </c>
      <c r="H3294">
        <v>0</v>
      </c>
      <c r="I3294">
        <v>105068440</v>
      </c>
      <c r="J3294">
        <v>214497092</v>
      </c>
      <c r="K3294">
        <v>143589784</v>
      </c>
      <c r="L3294">
        <v>153377147</v>
      </c>
      <c r="M3294">
        <v>0</v>
      </c>
      <c r="P3294">
        <v>140</v>
      </c>
      <c r="Q3294" t="s">
        <v>6920</v>
      </c>
    </row>
    <row r="3295" spans="1:17" x14ac:dyDescent="0.3">
      <c r="A3295" t="s">
        <v>73</v>
      </c>
      <c r="B3295" t="str">
        <f>"002485"</f>
        <v>002485</v>
      </c>
      <c r="C3295" t="s">
        <v>6921</v>
      </c>
      <c r="D3295" t="s">
        <v>991</v>
      </c>
      <c r="E3295">
        <v>187035008</v>
      </c>
      <c r="F3295">
        <v>278970922</v>
      </c>
      <c r="G3295">
        <v>448064266</v>
      </c>
      <c r="H3295">
        <v>405838163</v>
      </c>
      <c r="I3295">
        <v>389773353</v>
      </c>
      <c r="J3295">
        <v>311942493</v>
      </c>
      <c r="K3295">
        <v>450203640</v>
      </c>
      <c r="L3295">
        <v>497211711</v>
      </c>
      <c r="M3295">
        <v>514163817</v>
      </c>
      <c r="N3295">
        <v>346342739</v>
      </c>
      <c r="O3295">
        <v>168442594</v>
      </c>
      <c r="P3295">
        <v>80</v>
      </c>
      <c r="Q3295" t="s">
        <v>6922</v>
      </c>
    </row>
    <row r="3296" spans="1:17" x14ac:dyDescent="0.3">
      <c r="A3296" t="s">
        <v>73</v>
      </c>
      <c r="B3296" t="str">
        <f>"301159"</f>
        <v>301159</v>
      </c>
      <c r="C3296" t="s">
        <v>6923</v>
      </c>
      <c r="D3296" t="s">
        <v>795</v>
      </c>
      <c r="E3296">
        <v>186964509</v>
      </c>
      <c r="G3296">
        <v>93874149</v>
      </c>
      <c r="P3296">
        <v>10</v>
      </c>
      <c r="Q3296" t="s">
        <v>6924</v>
      </c>
    </row>
    <row r="3297" spans="1:17" x14ac:dyDescent="0.3">
      <c r="A3297" t="s">
        <v>17</v>
      </c>
      <c r="B3297" t="str">
        <f>"900953"</f>
        <v>900953</v>
      </c>
      <c r="C3297" t="s">
        <v>6925</v>
      </c>
      <c r="E3297">
        <v>186891791.463</v>
      </c>
      <c r="F3297">
        <v>164633266.71959999</v>
      </c>
      <c r="G3297">
        <v>150821523.458</v>
      </c>
      <c r="H3297">
        <v>155236307.38800001</v>
      </c>
      <c r="I3297">
        <v>170667271.40979999</v>
      </c>
      <c r="J3297">
        <v>97042813.216800004</v>
      </c>
      <c r="K3297">
        <v>107180571.1785</v>
      </c>
      <c r="L3297">
        <v>91900082.867699996</v>
      </c>
      <c r="M3297">
        <v>110714214.1056</v>
      </c>
      <c r="N3297">
        <v>108415093.675</v>
      </c>
      <c r="O3297">
        <v>105604746.1284</v>
      </c>
      <c r="P3297">
        <v>6</v>
      </c>
      <c r="Q3297" t="s">
        <v>6926</v>
      </c>
    </row>
    <row r="3298" spans="1:17" x14ac:dyDescent="0.3">
      <c r="A3298" t="s">
        <v>73</v>
      </c>
      <c r="B3298" t="str">
        <f>"300713"</f>
        <v>300713</v>
      </c>
      <c r="C3298" t="s">
        <v>6927</v>
      </c>
      <c r="D3298" t="s">
        <v>747</v>
      </c>
      <c r="E3298">
        <v>186749584</v>
      </c>
      <c r="F3298">
        <v>157762871</v>
      </c>
      <c r="G3298">
        <v>204600389</v>
      </c>
      <c r="H3298">
        <v>285532789</v>
      </c>
      <c r="I3298">
        <v>287483356</v>
      </c>
      <c r="J3298">
        <v>0</v>
      </c>
      <c r="P3298">
        <v>81</v>
      </c>
      <c r="Q3298" t="s">
        <v>6928</v>
      </c>
    </row>
    <row r="3299" spans="1:17" x14ac:dyDescent="0.3">
      <c r="A3299" t="s">
        <v>17</v>
      </c>
      <c r="B3299" t="str">
        <f>"603365"</f>
        <v>603365</v>
      </c>
      <c r="C3299" t="s">
        <v>6929</v>
      </c>
      <c r="D3299" t="s">
        <v>4320</v>
      </c>
      <c r="E3299">
        <v>186480892</v>
      </c>
      <c r="F3299">
        <v>191879036</v>
      </c>
      <c r="G3299">
        <v>153235612</v>
      </c>
      <c r="H3299">
        <v>148176027</v>
      </c>
      <c r="I3299">
        <v>128429074</v>
      </c>
      <c r="P3299">
        <v>243</v>
      </c>
      <c r="Q3299" t="s">
        <v>6930</v>
      </c>
    </row>
    <row r="3300" spans="1:17" x14ac:dyDescent="0.3">
      <c r="A3300" t="s">
        <v>73</v>
      </c>
      <c r="B3300" t="str">
        <f>"002256"</f>
        <v>002256</v>
      </c>
      <c r="C3300" t="s">
        <v>6931</v>
      </c>
      <c r="D3300" t="s">
        <v>278</v>
      </c>
      <c r="E3300">
        <v>186416749</v>
      </c>
      <c r="F3300">
        <v>479377791</v>
      </c>
      <c r="G3300">
        <v>424959657</v>
      </c>
      <c r="H3300">
        <v>380712729</v>
      </c>
      <c r="I3300">
        <v>373714451</v>
      </c>
      <c r="J3300">
        <v>243147546</v>
      </c>
      <c r="K3300">
        <v>190866970</v>
      </c>
      <c r="L3300">
        <v>147847880</v>
      </c>
      <c r="M3300">
        <v>97528378</v>
      </c>
      <c r="N3300">
        <v>156793455</v>
      </c>
      <c r="O3300">
        <v>68445348</v>
      </c>
      <c r="P3300">
        <v>151</v>
      </c>
      <c r="Q3300" t="s">
        <v>6932</v>
      </c>
    </row>
    <row r="3301" spans="1:17" x14ac:dyDescent="0.3">
      <c r="A3301" t="s">
        <v>73</v>
      </c>
      <c r="B3301" t="str">
        <f>"300786"</f>
        <v>300786</v>
      </c>
      <c r="C3301" t="s">
        <v>6933</v>
      </c>
      <c r="D3301" t="s">
        <v>540</v>
      </c>
      <c r="E3301">
        <v>186388123</v>
      </c>
      <c r="F3301">
        <v>159902326</v>
      </c>
      <c r="G3301">
        <v>175958967</v>
      </c>
      <c r="H3301">
        <v>0</v>
      </c>
      <c r="I3301">
        <v>0</v>
      </c>
      <c r="P3301">
        <v>95</v>
      </c>
      <c r="Q3301" t="s">
        <v>6934</v>
      </c>
    </row>
    <row r="3302" spans="1:17" x14ac:dyDescent="0.3">
      <c r="A3302" t="s">
        <v>73</v>
      </c>
      <c r="B3302" t="str">
        <f>"002694"</f>
        <v>002694</v>
      </c>
      <c r="C3302" t="s">
        <v>6935</v>
      </c>
      <c r="D3302" t="s">
        <v>1836</v>
      </c>
      <c r="E3302">
        <v>186218212</v>
      </c>
      <c r="F3302">
        <v>216907245</v>
      </c>
      <c r="G3302">
        <v>320991660</v>
      </c>
      <c r="H3302">
        <v>0</v>
      </c>
      <c r="I3302">
        <v>559227918</v>
      </c>
      <c r="J3302">
        <v>491396982</v>
      </c>
      <c r="K3302">
        <v>440002479</v>
      </c>
      <c r="L3302">
        <v>509471135</v>
      </c>
      <c r="M3302">
        <v>405436234</v>
      </c>
      <c r="N3302">
        <v>243118793</v>
      </c>
      <c r="O3302">
        <v>0</v>
      </c>
      <c r="P3302">
        <v>71</v>
      </c>
      <c r="Q3302" t="s">
        <v>6936</v>
      </c>
    </row>
    <row r="3303" spans="1:17" x14ac:dyDescent="0.3">
      <c r="A3303" t="s">
        <v>73</v>
      </c>
      <c r="B3303" t="str">
        <f>"301079"</f>
        <v>301079</v>
      </c>
      <c r="C3303" t="s">
        <v>6937</v>
      </c>
      <c r="D3303" t="s">
        <v>2394</v>
      </c>
      <c r="E3303">
        <v>186031307</v>
      </c>
      <c r="P3303">
        <v>22</v>
      </c>
      <c r="Q3303" t="s">
        <v>6938</v>
      </c>
    </row>
    <row r="3304" spans="1:17" x14ac:dyDescent="0.3">
      <c r="A3304" t="s">
        <v>73</v>
      </c>
      <c r="B3304" t="str">
        <f>"300916"</f>
        <v>300916</v>
      </c>
      <c r="C3304" t="s">
        <v>6939</v>
      </c>
      <c r="D3304" t="s">
        <v>42</v>
      </c>
      <c r="E3304">
        <v>185849124</v>
      </c>
      <c r="F3304">
        <v>207607274</v>
      </c>
      <c r="P3304">
        <v>79</v>
      </c>
      <c r="Q3304" t="s">
        <v>6940</v>
      </c>
    </row>
    <row r="3305" spans="1:17" x14ac:dyDescent="0.3">
      <c r="A3305" t="s">
        <v>73</v>
      </c>
      <c r="B3305" t="str">
        <f>"300960"</f>
        <v>300960</v>
      </c>
      <c r="C3305" t="s">
        <v>6941</v>
      </c>
      <c r="D3305" t="s">
        <v>47</v>
      </c>
      <c r="E3305">
        <v>185743000</v>
      </c>
      <c r="F3305">
        <v>186211544</v>
      </c>
      <c r="P3305">
        <v>26</v>
      </c>
      <c r="Q3305" t="s">
        <v>6942</v>
      </c>
    </row>
    <row r="3306" spans="1:17" x14ac:dyDescent="0.3">
      <c r="A3306" t="s">
        <v>17</v>
      </c>
      <c r="B3306" t="str">
        <f>"600333"</f>
        <v>600333</v>
      </c>
      <c r="C3306" t="s">
        <v>6943</v>
      </c>
      <c r="D3306" t="s">
        <v>469</v>
      </c>
      <c r="E3306">
        <v>185735980</v>
      </c>
      <c r="F3306">
        <v>107244848</v>
      </c>
      <c r="G3306">
        <v>108850340</v>
      </c>
      <c r="H3306">
        <v>92144882</v>
      </c>
      <c r="I3306">
        <v>76860860</v>
      </c>
      <c r="J3306">
        <v>69528008</v>
      </c>
      <c r="K3306">
        <v>33547317</v>
      </c>
      <c r="L3306">
        <v>107446769</v>
      </c>
      <c r="M3306">
        <v>129179656</v>
      </c>
      <c r="N3306">
        <v>152091822</v>
      </c>
      <c r="O3306">
        <v>144355547</v>
      </c>
      <c r="P3306">
        <v>103</v>
      </c>
      <c r="Q3306" t="s">
        <v>6944</v>
      </c>
    </row>
    <row r="3307" spans="1:17" x14ac:dyDescent="0.3">
      <c r="A3307" t="s">
        <v>73</v>
      </c>
      <c r="B3307" t="str">
        <f>"002297"</f>
        <v>002297</v>
      </c>
      <c r="C3307" t="s">
        <v>6945</v>
      </c>
      <c r="D3307" t="s">
        <v>130</v>
      </c>
      <c r="E3307">
        <v>185076681</v>
      </c>
      <c r="F3307">
        <v>195326407</v>
      </c>
      <c r="G3307">
        <v>184147905</v>
      </c>
      <c r="H3307">
        <v>144072702</v>
      </c>
      <c r="I3307">
        <v>235899201</v>
      </c>
      <c r="J3307">
        <v>222970444</v>
      </c>
      <c r="K3307">
        <v>174484126</v>
      </c>
      <c r="L3307">
        <v>189515428</v>
      </c>
      <c r="M3307">
        <v>181618781</v>
      </c>
      <c r="N3307">
        <v>193514617</v>
      </c>
      <c r="O3307">
        <v>159458572</v>
      </c>
      <c r="P3307">
        <v>100</v>
      </c>
      <c r="Q3307" t="s">
        <v>6946</v>
      </c>
    </row>
    <row r="3308" spans="1:17" x14ac:dyDescent="0.3">
      <c r="A3308" t="s">
        <v>73</v>
      </c>
      <c r="B3308" t="str">
        <f>"002355"</f>
        <v>002355</v>
      </c>
      <c r="C3308" t="s">
        <v>6947</v>
      </c>
      <c r="D3308" t="s">
        <v>781</v>
      </c>
      <c r="E3308">
        <v>184896154</v>
      </c>
      <c r="F3308">
        <v>558428910</v>
      </c>
      <c r="G3308">
        <v>467062178</v>
      </c>
      <c r="H3308">
        <v>634004710</v>
      </c>
      <c r="I3308">
        <v>507422688</v>
      </c>
      <c r="J3308">
        <v>397038801</v>
      </c>
      <c r="K3308">
        <v>343551687</v>
      </c>
      <c r="L3308">
        <v>206049616</v>
      </c>
      <c r="M3308">
        <v>165257619</v>
      </c>
      <c r="N3308">
        <v>262708809</v>
      </c>
      <c r="O3308">
        <v>214049076</v>
      </c>
      <c r="P3308">
        <v>120</v>
      </c>
      <c r="Q3308" t="s">
        <v>6948</v>
      </c>
    </row>
    <row r="3309" spans="1:17" x14ac:dyDescent="0.3">
      <c r="A3309" t="s">
        <v>17</v>
      </c>
      <c r="B3309" t="str">
        <f>"600285"</f>
        <v>600285</v>
      </c>
      <c r="C3309" t="s">
        <v>6949</v>
      </c>
      <c r="D3309" t="s">
        <v>215</v>
      </c>
      <c r="E3309">
        <v>184885663</v>
      </c>
      <c r="F3309">
        <v>176067624</v>
      </c>
      <c r="G3309">
        <v>235783918</v>
      </c>
      <c r="H3309">
        <v>245368711</v>
      </c>
      <c r="I3309">
        <v>221330827</v>
      </c>
      <c r="J3309">
        <v>64231479</v>
      </c>
      <c r="K3309">
        <v>29457879</v>
      </c>
      <c r="L3309">
        <v>20481312</v>
      </c>
      <c r="M3309">
        <v>12253380</v>
      </c>
      <c r="N3309">
        <v>14824722</v>
      </c>
      <c r="O3309">
        <v>21170638</v>
      </c>
      <c r="P3309">
        <v>606</v>
      </c>
      <c r="Q3309" t="s">
        <v>6950</v>
      </c>
    </row>
    <row r="3310" spans="1:17" x14ac:dyDescent="0.3">
      <c r="A3310" t="s">
        <v>73</v>
      </c>
      <c r="B3310" t="str">
        <f>"300267"</f>
        <v>300267</v>
      </c>
      <c r="C3310" t="s">
        <v>6951</v>
      </c>
      <c r="D3310" t="s">
        <v>908</v>
      </c>
      <c r="E3310">
        <v>184786360</v>
      </c>
      <c r="F3310">
        <v>301355002</v>
      </c>
      <c r="G3310">
        <v>380014207</v>
      </c>
      <c r="H3310">
        <v>442462024</v>
      </c>
      <c r="I3310">
        <v>346636441</v>
      </c>
      <c r="J3310">
        <v>303715496</v>
      </c>
      <c r="K3310">
        <v>280914800</v>
      </c>
      <c r="L3310">
        <v>195371064</v>
      </c>
      <c r="M3310">
        <v>175790407</v>
      </c>
      <c r="N3310">
        <v>104952283</v>
      </c>
      <c r="O3310">
        <v>39909265</v>
      </c>
      <c r="P3310">
        <v>237</v>
      </c>
      <c r="Q3310" t="s">
        <v>6952</v>
      </c>
    </row>
    <row r="3311" spans="1:17" x14ac:dyDescent="0.3">
      <c r="A3311" t="s">
        <v>73</v>
      </c>
      <c r="B3311" t="str">
        <f>"300998"</f>
        <v>300998</v>
      </c>
      <c r="C3311" t="s">
        <v>6953</v>
      </c>
      <c r="D3311" t="s">
        <v>722</v>
      </c>
      <c r="E3311">
        <v>184744747</v>
      </c>
      <c r="F3311">
        <v>153071093</v>
      </c>
      <c r="P3311">
        <v>26</v>
      </c>
      <c r="Q3311" t="s">
        <v>6954</v>
      </c>
    </row>
    <row r="3312" spans="1:17" x14ac:dyDescent="0.3">
      <c r="A3312" t="s">
        <v>73</v>
      </c>
      <c r="B3312" t="str">
        <f>"301229"</f>
        <v>301229</v>
      </c>
      <c r="C3312" t="s">
        <v>6955</v>
      </c>
      <c r="E3312">
        <v>184529768</v>
      </c>
      <c r="P3312">
        <v>6</v>
      </c>
      <c r="Q3312" t="s">
        <v>6956</v>
      </c>
    </row>
    <row r="3313" spans="1:17" x14ac:dyDescent="0.3">
      <c r="A3313" t="s">
        <v>73</v>
      </c>
      <c r="B3313" t="str">
        <f>"300845"</f>
        <v>300845</v>
      </c>
      <c r="C3313" t="s">
        <v>6957</v>
      </c>
      <c r="D3313" t="s">
        <v>158</v>
      </c>
      <c r="E3313">
        <v>184482847</v>
      </c>
      <c r="F3313">
        <v>157723464</v>
      </c>
      <c r="G3313">
        <v>147173274</v>
      </c>
      <c r="H3313">
        <v>0</v>
      </c>
      <c r="P3313">
        <v>83</v>
      </c>
      <c r="Q3313" t="s">
        <v>6958</v>
      </c>
    </row>
    <row r="3314" spans="1:17" x14ac:dyDescent="0.3">
      <c r="A3314" t="s">
        <v>17</v>
      </c>
      <c r="B3314" t="str">
        <f>"605068"</f>
        <v>605068</v>
      </c>
      <c r="C3314" t="s">
        <v>6959</v>
      </c>
      <c r="D3314" t="s">
        <v>106</v>
      </c>
      <c r="E3314">
        <v>184361560</v>
      </c>
      <c r="F3314">
        <v>203868012</v>
      </c>
      <c r="P3314">
        <v>89</v>
      </c>
      <c r="Q3314" t="s">
        <v>6960</v>
      </c>
    </row>
    <row r="3315" spans="1:17" x14ac:dyDescent="0.3">
      <c r="A3315" t="s">
        <v>73</v>
      </c>
      <c r="B3315" t="str">
        <f>"001234"</f>
        <v>001234</v>
      </c>
      <c r="C3315" t="s">
        <v>6961</v>
      </c>
      <c r="D3315" t="s">
        <v>3204</v>
      </c>
      <c r="E3315">
        <v>184223890</v>
      </c>
      <c r="P3315">
        <v>16</v>
      </c>
      <c r="Q3315" t="s">
        <v>6962</v>
      </c>
    </row>
    <row r="3316" spans="1:17" x14ac:dyDescent="0.3">
      <c r="A3316" t="s">
        <v>17</v>
      </c>
      <c r="B3316" t="str">
        <f>"600860"</f>
        <v>600860</v>
      </c>
      <c r="C3316" t="s">
        <v>6963</v>
      </c>
      <c r="D3316" t="s">
        <v>146</v>
      </c>
      <c r="E3316">
        <v>184171685</v>
      </c>
      <c r="F3316">
        <v>166767502</v>
      </c>
      <c r="G3316">
        <v>181619954</v>
      </c>
      <c r="H3316">
        <v>185950147</v>
      </c>
      <c r="I3316">
        <v>298619056</v>
      </c>
      <c r="J3316">
        <v>264738104</v>
      </c>
      <c r="K3316">
        <v>289614264</v>
      </c>
      <c r="L3316">
        <v>411871456</v>
      </c>
      <c r="M3316">
        <v>501417608</v>
      </c>
      <c r="N3316">
        <v>206052147</v>
      </c>
      <c r="O3316">
        <v>232395336</v>
      </c>
      <c r="P3316">
        <v>108</v>
      </c>
      <c r="Q3316" t="s">
        <v>6964</v>
      </c>
    </row>
    <row r="3317" spans="1:17" x14ac:dyDescent="0.3">
      <c r="A3317" t="s">
        <v>17</v>
      </c>
      <c r="B3317" t="str">
        <f>"688329"</f>
        <v>688329</v>
      </c>
      <c r="C3317" t="s">
        <v>6965</v>
      </c>
      <c r="D3317" t="s">
        <v>1967</v>
      </c>
      <c r="E3317">
        <v>183715901</v>
      </c>
      <c r="F3317">
        <v>146863625</v>
      </c>
      <c r="P3317">
        <v>43</v>
      </c>
      <c r="Q3317" t="s">
        <v>6966</v>
      </c>
    </row>
    <row r="3318" spans="1:17" x14ac:dyDescent="0.3">
      <c r="A3318" t="s">
        <v>73</v>
      </c>
      <c r="B3318" t="str">
        <f>"301162"</f>
        <v>301162</v>
      </c>
      <c r="C3318" t="s">
        <v>6967</v>
      </c>
      <c r="E3318">
        <v>183439514</v>
      </c>
      <c r="P3318">
        <v>2</v>
      </c>
      <c r="Q3318" t="s">
        <v>6968</v>
      </c>
    </row>
    <row r="3319" spans="1:17" x14ac:dyDescent="0.3">
      <c r="A3319" t="s">
        <v>17</v>
      </c>
      <c r="B3319" t="str">
        <f>"603590"</f>
        <v>603590</v>
      </c>
      <c r="C3319" t="s">
        <v>6969</v>
      </c>
      <c r="D3319" t="s">
        <v>1505</v>
      </c>
      <c r="E3319">
        <v>183384896</v>
      </c>
      <c r="F3319">
        <v>185166210</v>
      </c>
      <c r="G3319">
        <v>130322970</v>
      </c>
      <c r="H3319">
        <v>178716804</v>
      </c>
      <c r="P3319">
        <v>158</v>
      </c>
      <c r="Q3319" t="s">
        <v>6970</v>
      </c>
    </row>
    <row r="3320" spans="1:17" x14ac:dyDescent="0.3">
      <c r="A3320" t="s">
        <v>17</v>
      </c>
      <c r="B3320" t="str">
        <f>"603938"</f>
        <v>603938</v>
      </c>
      <c r="C3320" t="s">
        <v>6971</v>
      </c>
      <c r="D3320" t="s">
        <v>4044</v>
      </c>
      <c r="E3320">
        <v>183073825</v>
      </c>
      <c r="F3320">
        <v>67716812</v>
      </c>
      <c r="G3320">
        <v>57949453</v>
      </c>
      <c r="H3320">
        <v>82634509</v>
      </c>
      <c r="I3320">
        <v>74731465</v>
      </c>
      <c r="J3320">
        <v>47300098</v>
      </c>
      <c r="K3320">
        <v>0</v>
      </c>
      <c r="P3320">
        <v>102</v>
      </c>
      <c r="Q3320" t="s">
        <v>6972</v>
      </c>
    </row>
    <row r="3321" spans="1:17" x14ac:dyDescent="0.3">
      <c r="A3321" t="s">
        <v>73</v>
      </c>
      <c r="B3321" t="str">
        <f>"301072"</f>
        <v>301072</v>
      </c>
      <c r="C3321" t="s">
        <v>6973</v>
      </c>
      <c r="D3321" t="s">
        <v>122</v>
      </c>
      <c r="E3321">
        <v>183042665</v>
      </c>
      <c r="P3321">
        <v>17</v>
      </c>
      <c r="Q3321" t="s">
        <v>6974</v>
      </c>
    </row>
    <row r="3322" spans="1:17" x14ac:dyDescent="0.3">
      <c r="A3322" t="s">
        <v>17</v>
      </c>
      <c r="B3322" t="str">
        <f>"688278"</f>
        <v>688278</v>
      </c>
      <c r="C3322" t="s">
        <v>6975</v>
      </c>
      <c r="D3322" t="s">
        <v>1505</v>
      </c>
      <c r="E3322">
        <v>183034792</v>
      </c>
      <c r="F3322">
        <v>122129106</v>
      </c>
      <c r="G3322">
        <v>117897963</v>
      </c>
      <c r="H3322">
        <v>0</v>
      </c>
      <c r="P3322">
        <v>154</v>
      </c>
      <c r="Q3322" t="s">
        <v>6976</v>
      </c>
    </row>
    <row r="3323" spans="1:17" x14ac:dyDescent="0.3">
      <c r="A3323" t="s">
        <v>73</v>
      </c>
      <c r="B3323" t="str">
        <f>"300547"</f>
        <v>300547</v>
      </c>
      <c r="C3323" t="s">
        <v>6977</v>
      </c>
      <c r="D3323" t="s">
        <v>122</v>
      </c>
      <c r="E3323">
        <v>182827704</v>
      </c>
      <c r="F3323">
        <v>178355538</v>
      </c>
      <c r="G3323">
        <v>188456193</v>
      </c>
      <c r="H3323">
        <v>127969208</v>
      </c>
      <c r="I3323">
        <v>208061764</v>
      </c>
      <c r="J3323">
        <v>176336293</v>
      </c>
      <c r="K3323">
        <v>0</v>
      </c>
      <c r="P3323">
        <v>181</v>
      </c>
      <c r="Q3323" t="s">
        <v>6978</v>
      </c>
    </row>
    <row r="3324" spans="1:17" x14ac:dyDescent="0.3">
      <c r="A3324" t="s">
        <v>73</v>
      </c>
      <c r="B3324" t="str">
        <f>"002719"</f>
        <v>002719</v>
      </c>
      <c r="C3324" t="s">
        <v>6979</v>
      </c>
      <c r="D3324" t="s">
        <v>1027</v>
      </c>
      <c r="E3324">
        <v>182443227</v>
      </c>
      <c r="F3324">
        <v>144000411</v>
      </c>
      <c r="G3324">
        <v>172747628</v>
      </c>
      <c r="H3324">
        <v>102594804</v>
      </c>
      <c r="I3324">
        <v>107170765</v>
      </c>
      <c r="J3324">
        <v>110529016</v>
      </c>
      <c r="K3324">
        <v>75014768</v>
      </c>
      <c r="L3324">
        <v>72025609</v>
      </c>
      <c r="M3324">
        <v>87259002</v>
      </c>
      <c r="N3324">
        <v>0</v>
      </c>
      <c r="P3324">
        <v>97</v>
      </c>
      <c r="Q3324" t="s">
        <v>6980</v>
      </c>
    </row>
    <row r="3325" spans="1:17" x14ac:dyDescent="0.3">
      <c r="A3325" t="s">
        <v>73</v>
      </c>
      <c r="B3325" t="str">
        <f>"002933"</f>
        <v>002933</v>
      </c>
      <c r="C3325" t="s">
        <v>6981</v>
      </c>
      <c r="D3325" t="s">
        <v>130</v>
      </c>
      <c r="E3325">
        <v>182361414</v>
      </c>
      <c r="F3325">
        <v>220940073</v>
      </c>
      <c r="G3325">
        <v>324029755</v>
      </c>
      <c r="H3325">
        <v>344061726</v>
      </c>
      <c r="P3325">
        <v>314</v>
      </c>
      <c r="Q3325" t="s">
        <v>6982</v>
      </c>
    </row>
    <row r="3326" spans="1:17" x14ac:dyDescent="0.3">
      <c r="A3326" t="s">
        <v>73</v>
      </c>
      <c r="B3326" t="str">
        <f>"301031"</f>
        <v>301031</v>
      </c>
      <c r="C3326" t="s">
        <v>6983</v>
      </c>
      <c r="D3326" t="s">
        <v>651</v>
      </c>
      <c r="E3326">
        <v>181927210</v>
      </c>
      <c r="F3326">
        <v>117933209</v>
      </c>
      <c r="P3326">
        <v>77</v>
      </c>
      <c r="Q3326" t="s">
        <v>6984</v>
      </c>
    </row>
    <row r="3327" spans="1:17" x14ac:dyDescent="0.3">
      <c r="A3327" t="s">
        <v>73</v>
      </c>
      <c r="B3327" t="str">
        <f>"001203"</f>
        <v>001203</v>
      </c>
      <c r="C3327" t="s">
        <v>6985</v>
      </c>
      <c r="D3327" t="s">
        <v>2108</v>
      </c>
      <c r="E3327">
        <v>181896751</v>
      </c>
      <c r="F3327">
        <v>126075339</v>
      </c>
      <c r="P3327">
        <v>80</v>
      </c>
      <c r="Q3327" t="s">
        <v>6986</v>
      </c>
    </row>
    <row r="3328" spans="1:17" x14ac:dyDescent="0.3">
      <c r="A3328" t="s">
        <v>17</v>
      </c>
      <c r="B3328" t="str">
        <f>"688681"</f>
        <v>688681</v>
      </c>
      <c r="C3328" t="s">
        <v>6987</v>
      </c>
      <c r="D3328" t="s">
        <v>161</v>
      </c>
      <c r="E3328">
        <v>181869596</v>
      </c>
      <c r="F3328">
        <v>157559437</v>
      </c>
      <c r="P3328">
        <v>31</v>
      </c>
      <c r="Q3328" t="s">
        <v>6988</v>
      </c>
    </row>
    <row r="3329" spans="1:17" x14ac:dyDescent="0.3">
      <c r="A3329" t="s">
        <v>73</v>
      </c>
      <c r="B3329" t="str">
        <f>"002445"</f>
        <v>002445</v>
      </c>
      <c r="C3329" t="s">
        <v>6989</v>
      </c>
      <c r="D3329" t="s">
        <v>899</v>
      </c>
      <c r="E3329">
        <v>181758470</v>
      </c>
      <c r="F3329">
        <v>241651484</v>
      </c>
      <c r="G3329">
        <v>389934039</v>
      </c>
      <c r="H3329">
        <v>753757643</v>
      </c>
      <c r="I3329">
        <v>1007363262</v>
      </c>
      <c r="J3329">
        <v>983824808</v>
      </c>
      <c r="K3329">
        <v>891316828</v>
      </c>
      <c r="L3329">
        <v>835052922</v>
      </c>
      <c r="M3329">
        <v>405697246</v>
      </c>
      <c r="N3329">
        <v>310200380</v>
      </c>
      <c r="O3329">
        <v>315629971</v>
      </c>
      <c r="P3329">
        <v>110</v>
      </c>
      <c r="Q3329" t="s">
        <v>6990</v>
      </c>
    </row>
    <row r="3330" spans="1:17" x14ac:dyDescent="0.3">
      <c r="A3330" t="s">
        <v>17</v>
      </c>
      <c r="B3330" t="str">
        <f>"605016"</f>
        <v>605016</v>
      </c>
      <c r="C3330" t="s">
        <v>6991</v>
      </c>
      <c r="D3330" t="s">
        <v>1430</v>
      </c>
      <c r="E3330">
        <v>181657245</v>
      </c>
      <c r="F3330">
        <v>131754770</v>
      </c>
      <c r="P3330">
        <v>65</v>
      </c>
      <c r="Q3330" t="s">
        <v>6992</v>
      </c>
    </row>
    <row r="3331" spans="1:17" x14ac:dyDescent="0.3">
      <c r="A3331" t="s">
        <v>17</v>
      </c>
      <c r="B3331" t="str">
        <f>"603708"</f>
        <v>603708</v>
      </c>
      <c r="C3331" t="s">
        <v>6993</v>
      </c>
      <c r="D3331" t="s">
        <v>3633</v>
      </c>
      <c r="E3331">
        <v>181618015</v>
      </c>
      <c r="F3331">
        <v>135865313</v>
      </c>
      <c r="G3331">
        <v>57653482</v>
      </c>
      <c r="H3331">
        <v>72315647</v>
      </c>
      <c r="I3331">
        <v>29723078</v>
      </c>
      <c r="J3331">
        <v>15633662</v>
      </c>
      <c r="P3331">
        <v>702</v>
      </c>
      <c r="Q3331" t="s">
        <v>6994</v>
      </c>
    </row>
    <row r="3332" spans="1:17" x14ac:dyDescent="0.3">
      <c r="A3332" t="s">
        <v>73</v>
      </c>
      <c r="B3332" t="str">
        <f>"300595"</f>
        <v>300595</v>
      </c>
      <c r="C3332" t="s">
        <v>6995</v>
      </c>
      <c r="D3332" t="s">
        <v>1523</v>
      </c>
      <c r="E3332">
        <v>181085438</v>
      </c>
      <c r="F3332">
        <v>154854109</v>
      </c>
      <c r="G3332">
        <v>98578558</v>
      </c>
      <c r="H3332">
        <v>84994895</v>
      </c>
      <c r="I3332">
        <v>38289850</v>
      </c>
      <c r="J3332">
        <v>27221895</v>
      </c>
      <c r="K3332">
        <v>0</v>
      </c>
      <c r="P3332">
        <v>4330</v>
      </c>
      <c r="Q3332" t="s">
        <v>6996</v>
      </c>
    </row>
    <row r="3333" spans="1:17" x14ac:dyDescent="0.3">
      <c r="A3333" t="s">
        <v>73</v>
      </c>
      <c r="B3333" t="str">
        <f>"300154"</f>
        <v>300154</v>
      </c>
      <c r="C3333" t="s">
        <v>6997</v>
      </c>
      <c r="D3333" t="s">
        <v>873</v>
      </c>
      <c r="E3333">
        <v>181063579</v>
      </c>
      <c r="F3333">
        <v>97336643</v>
      </c>
      <c r="G3333">
        <v>49542789</v>
      </c>
      <c r="H3333">
        <v>50630893</v>
      </c>
      <c r="I3333">
        <v>44832531</v>
      </c>
      <c r="J3333">
        <v>50219430</v>
      </c>
      <c r="K3333">
        <v>64281338</v>
      </c>
      <c r="L3333">
        <v>83880039</v>
      </c>
      <c r="M3333">
        <v>77707869</v>
      </c>
      <c r="N3333">
        <v>72718968</v>
      </c>
      <c r="O3333">
        <v>83103879</v>
      </c>
      <c r="P3333">
        <v>82</v>
      </c>
      <c r="Q3333" t="s">
        <v>6998</v>
      </c>
    </row>
    <row r="3334" spans="1:17" x14ac:dyDescent="0.3">
      <c r="A3334" t="s">
        <v>17</v>
      </c>
      <c r="B3334" t="str">
        <f>"688300"</f>
        <v>688300</v>
      </c>
      <c r="C3334" t="s">
        <v>6999</v>
      </c>
      <c r="D3334" t="s">
        <v>1674</v>
      </c>
      <c r="E3334">
        <v>180793190</v>
      </c>
      <c r="F3334">
        <v>141470829</v>
      </c>
      <c r="G3334">
        <v>87923069</v>
      </c>
      <c r="H3334">
        <v>0</v>
      </c>
      <c r="I3334">
        <v>76156537</v>
      </c>
      <c r="P3334">
        <v>196</v>
      </c>
      <c r="Q3334" t="s">
        <v>7000</v>
      </c>
    </row>
    <row r="3335" spans="1:17" x14ac:dyDescent="0.3">
      <c r="A3335" t="s">
        <v>17</v>
      </c>
      <c r="B3335" t="str">
        <f>"605300"</f>
        <v>605300</v>
      </c>
      <c r="C3335" t="s">
        <v>7001</v>
      </c>
      <c r="D3335" t="s">
        <v>1027</v>
      </c>
      <c r="E3335">
        <v>180748301</v>
      </c>
      <c r="F3335">
        <v>171607564</v>
      </c>
      <c r="P3335">
        <v>56</v>
      </c>
      <c r="Q3335" t="s">
        <v>7002</v>
      </c>
    </row>
    <row r="3336" spans="1:17" x14ac:dyDescent="0.3">
      <c r="A3336" t="s">
        <v>17</v>
      </c>
      <c r="B3336" t="str">
        <f>"688595"</f>
        <v>688595</v>
      </c>
      <c r="C3336" t="s">
        <v>7003</v>
      </c>
      <c r="D3336" t="s">
        <v>3360</v>
      </c>
      <c r="E3336">
        <v>180708487</v>
      </c>
      <c r="F3336">
        <v>71687504</v>
      </c>
      <c r="G3336">
        <v>90033351</v>
      </c>
      <c r="P3336">
        <v>128</v>
      </c>
      <c r="Q3336" t="s">
        <v>7004</v>
      </c>
    </row>
    <row r="3337" spans="1:17" x14ac:dyDescent="0.3">
      <c r="A3337" t="s">
        <v>73</v>
      </c>
      <c r="B3337" t="str">
        <f>"002104"</f>
        <v>002104</v>
      </c>
      <c r="C3337" t="s">
        <v>7005</v>
      </c>
      <c r="D3337" t="s">
        <v>332</v>
      </c>
      <c r="E3337">
        <v>180565912</v>
      </c>
      <c r="F3337">
        <v>221918103</v>
      </c>
      <c r="G3337">
        <v>162121612</v>
      </c>
      <c r="H3337">
        <v>145846712</v>
      </c>
      <c r="I3337">
        <v>264811528</v>
      </c>
      <c r="J3337">
        <v>314674862</v>
      </c>
      <c r="K3337">
        <v>423987873</v>
      </c>
      <c r="L3337">
        <v>298250899</v>
      </c>
      <c r="M3337">
        <v>238729873</v>
      </c>
      <c r="N3337">
        <v>223739348</v>
      </c>
      <c r="O3337">
        <v>159522857</v>
      </c>
      <c r="P3337">
        <v>416</v>
      </c>
      <c r="Q3337" t="s">
        <v>7006</v>
      </c>
    </row>
    <row r="3338" spans="1:17" x14ac:dyDescent="0.3">
      <c r="A3338" t="s">
        <v>73</v>
      </c>
      <c r="B3338" t="str">
        <f>"003016"</f>
        <v>003016</v>
      </c>
      <c r="C3338" t="s">
        <v>7007</v>
      </c>
      <c r="D3338" t="s">
        <v>991</v>
      </c>
      <c r="E3338">
        <v>180316775</v>
      </c>
      <c r="F3338">
        <v>172442675</v>
      </c>
      <c r="P3338">
        <v>58</v>
      </c>
      <c r="Q3338" t="s">
        <v>7008</v>
      </c>
    </row>
    <row r="3339" spans="1:17" x14ac:dyDescent="0.3">
      <c r="A3339" t="s">
        <v>73</v>
      </c>
      <c r="B3339" t="str">
        <f>"002940"</f>
        <v>002940</v>
      </c>
      <c r="C3339" t="s">
        <v>7009</v>
      </c>
      <c r="D3339" t="s">
        <v>348</v>
      </c>
      <c r="E3339">
        <v>180296232</v>
      </c>
      <c r="F3339">
        <v>155577490</v>
      </c>
      <c r="G3339">
        <v>164058238</v>
      </c>
      <c r="H3339">
        <v>201039700</v>
      </c>
      <c r="P3339">
        <v>148</v>
      </c>
      <c r="Q3339" t="s">
        <v>7010</v>
      </c>
    </row>
    <row r="3340" spans="1:17" x14ac:dyDescent="0.3">
      <c r="A3340" t="s">
        <v>73</v>
      </c>
      <c r="B3340" t="str">
        <f>"002474"</f>
        <v>002474</v>
      </c>
      <c r="C3340" t="s">
        <v>7011</v>
      </c>
      <c r="D3340" t="s">
        <v>302</v>
      </c>
      <c r="E3340">
        <v>180014730</v>
      </c>
      <c r="F3340">
        <v>174242394</v>
      </c>
      <c r="G3340">
        <v>171276263</v>
      </c>
      <c r="H3340">
        <v>189979846</v>
      </c>
      <c r="I3340">
        <v>149581141</v>
      </c>
      <c r="J3340">
        <v>131905232</v>
      </c>
      <c r="K3340">
        <v>88144377</v>
      </c>
      <c r="L3340">
        <v>89922350</v>
      </c>
      <c r="M3340">
        <v>84506343</v>
      </c>
      <c r="N3340">
        <v>68599560</v>
      </c>
      <c r="O3340">
        <v>58220209</v>
      </c>
      <c r="P3340">
        <v>180</v>
      </c>
      <c r="Q3340" t="s">
        <v>7012</v>
      </c>
    </row>
    <row r="3341" spans="1:17" x14ac:dyDescent="0.3">
      <c r="A3341" t="s">
        <v>17</v>
      </c>
      <c r="B3341" t="str">
        <f>"603311"</f>
        <v>603311</v>
      </c>
      <c r="C3341" t="s">
        <v>7013</v>
      </c>
      <c r="D3341" t="s">
        <v>654</v>
      </c>
      <c r="E3341">
        <v>179861463</v>
      </c>
      <c r="F3341">
        <v>200094144</v>
      </c>
      <c r="G3341">
        <v>131977604</v>
      </c>
      <c r="H3341">
        <v>126201926</v>
      </c>
      <c r="I3341">
        <v>146119483</v>
      </c>
      <c r="J3341">
        <v>146353854</v>
      </c>
      <c r="K3341">
        <v>122316702</v>
      </c>
      <c r="L3341">
        <v>115926639</v>
      </c>
      <c r="M3341">
        <v>0</v>
      </c>
      <c r="P3341">
        <v>96</v>
      </c>
      <c r="Q3341" t="s">
        <v>7014</v>
      </c>
    </row>
    <row r="3342" spans="1:17" x14ac:dyDescent="0.3">
      <c r="A3342" t="s">
        <v>73</v>
      </c>
      <c r="B3342" t="str">
        <f>"002931"</f>
        <v>002931</v>
      </c>
      <c r="C3342" t="s">
        <v>7015</v>
      </c>
      <c r="D3342" t="s">
        <v>146</v>
      </c>
      <c r="E3342">
        <v>179773165</v>
      </c>
      <c r="F3342">
        <v>155468653</v>
      </c>
      <c r="G3342">
        <v>113097078</v>
      </c>
      <c r="H3342">
        <v>81076117</v>
      </c>
      <c r="I3342">
        <v>71973823</v>
      </c>
      <c r="P3342">
        <v>107</v>
      </c>
      <c r="Q3342" t="s">
        <v>7016</v>
      </c>
    </row>
    <row r="3343" spans="1:17" x14ac:dyDescent="0.3">
      <c r="A3343" t="s">
        <v>17</v>
      </c>
      <c r="B3343" t="str">
        <f>"688685"</f>
        <v>688685</v>
      </c>
      <c r="C3343" t="s">
        <v>7017</v>
      </c>
      <c r="D3343" t="s">
        <v>130</v>
      </c>
      <c r="E3343">
        <v>179771986</v>
      </c>
      <c r="F3343">
        <v>200324970</v>
      </c>
      <c r="P3343">
        <v>21</v>
      </c>
      <c r="Q3343" t="s">
        <v>7018</v>
      </c>
    </row>
    <row r="3344" spans="1:17" x14ac:dyDescent="0.3">
      <c r="A3344" t="s">
        <v>73</v>
      </c>
      <c r="B3344" t="str">
        <f>"002621"</f>
        <v>002621</v>
      </c>
      <c r="C3344" t="s">
        <v>7019</v>
      </c>
      <c r="D3344" t="s">
        <v>4778</v>
      </c>
      <c r="E3344">
        <v>179722532</v>
      </c>
      <c r="F3344">
        <v>153607288</v>
      </c>
      <c r="G3344">
        <v>72483424</v>
      </c>
      <c r="H3344">
        <v>90809153</v>
      </c>
      <c r="I3344">
        <v>27490215</v>
      </c>
      <c r="J3344">
        <v>16920377</v>
      </c>
      <c r="K3344">
        <v>16411664</v>
      </c>
      <c r="L3344">
        <v>13654930</v>
      </c>
      <c r="M3344">
        <v>14640160</v>
      </c>
      <c r="N3344">
        <v>17589579</v>
      </c>
      <c r="O3344">
        <v>13486958</v>
      </c>
      <c r="P3344">
        <v>143</v>
      </c>
      <c r="Q3344" t="s">
        <v>7020</v>
      </c>
    </row>
    <row r="3345" spans="1:17" x14ac:dyDescent="0.3">
      <c r="A3345" t="s">
        <v>17</v>
      </c>
      <c r="B3345" t="str">
        <f>"688272"</f>
        <v>688272</v>
      </c>
      <c r="C3345" t="s">
        <v>7021</v>
      </c>
      <c r="D3345" t="s">
        <v>502</v>
      </c>
      <c r="E3345">
        <v>179720877</v>
      </c>
      <c r="P3345">
        <v>11</v>
      </c>
      <c r="Q3345" t="s">
        <v>7022</v>
      </c>
    </row>
    <row r="3346" spans="1:17" x14ac:dyDescent="0.3">
      <c r="A3346" t="s">
        <v>73</v>
      </c>
      <c r="B3346" t="str">
        <f>"301049"</f>
        <v>301049</v>
      </c>
      <c r="C3346" t="s">
        <v>7023</v>
      </c>
      <c r="D3346" t="s">
        <v>623</v>
      </c>
      <c r="E3346">
        <v>179697869</v>
      </c>
      <c r="P3346">
        <v>26</v>
      </c>
      <c r="Q3346" t="s">
        <v>7024</v>
      </c>
    </row>
    <row r="3347" spans="1:17" x14ac:dyDescent="0.3">
      <c r="A3347" t="s">
        <v>73</v>
      </c>
      <c r="B3347" t="str">
        <f>"000673"</f>
        <v>000673</v>
      </c>
      <c r="C3347" t="s">
        <v>7025</v>
      </c>
      <c r="D3347" t="s">
        <v>1306</v>
      </c>
      <c r="E3347">
        <v>179303625</v>
      </c>
      <c r="F3347">
        <v>275848254</v>
      </c>
      <c r="G3347">
        <v>338527774</v>
      </c>
      <c r="H3347">
        <v>380617930</v>
      </c>
      <c r="I3347">
        <v>635067250</v>
      </c>
      <c r="J3347">
        <v>503606919</v>
      </c>
      <c r="K3347">
        <v>190429788</v>
      </c>
      <c r="L3347">
        <v>1931728</v>
      </c>
      <c r="M3347">
        <v>4315000</v>
      </c>
      <c r="N3347">
        <v>2000000</v>
      </c>
      <c r="O3347">
        <v>95000</v>
      </c>
      <c r="P3347">
        <v>90</v>
      </c>
      <c r="Q3347" t="s">
        <v>7026</v>
      </c>
    </row>
    <row r="3348" spans="1:17" x14ac:dyDescent="0.3">
      <c r="A3348" t="s">
        <v>17</v>
      </c>
      <c r="B3348" t="str">
        <f>"603801"</f>
        <v>603801</v>
      </c>
      <c r="C3348" t="s">
        <v>7027</v>
      </c>
      <c r="D3348" t="s">
        <v>2533</v>
      </c>
      <c r="E3348">
        <v>179266844</v>
      </c>
      <c r="F3348">
        <v>82059100</v>
      </c>
      <c r="G3348">
        <v>265406136</v>
      </c>
      <c r="H3348">
        <v>139690530</v>
      </c>
      <c r="I3348">
        <v>35816978</v>
      </c>
      <c r="J3348">
        <v>115010218</v>
      </c>
      <c r="P3348">
        <v>768</v>
      </c>
      <c r="Q3348" t="s">
        <v>7028</v>
      </c>
    </row>
    <row r="3349" spans="1:17" x14ac:dyDescent="0.3">
      <c r="A3349" t="s">
        <v>73</v>
      </c>
      <c r="B3349" t="str">
        <f>"000895"</f>
        <v>000895</v>
      </c>
      <c r="C3349" t="s">
        <v>7029</v>
      </c>
      <c r="D3349" t="s">
        <v>1381</v>
      </c>
      <c r="E3349">
        <v>179237729</v>
      </c>
      <c r="F3349">
        <v>228663358</v>
      </c>
      <c r="G3349">
        <v>237651949</v>
      </c>
      <c r="H3349">
        <v>104135898</v>
      </c>
      <c r="I3349">
        <v>103438313</v>
      </c>
      <c r="J3349">
        <v>94830896</v>
      </c>
      <c r="K3349">
        <v>115307830</v>
      </c>
      <c r="L3349">
        <v>115657058</v>
      </c>
      <c r="M3349">
        <v>143034159</v>
      </c>
      <c r="N3349">
        <v>164361002</v>
      </c>
      <c r="O3349">
        <v>170665038</v>
      </c>
      <c r="P3349">
        <v>37259</v>
      </c>
      <c r="Q3349" t="s">
        <v>7030</v>
      </c>
    </row>
    <row r="3350" spans="1:17" x14ac:dyDescent="0.3">
      <c r="A3350" t="s">
        <v>73</v>
      </c>
      <c r="B3350" t="str">
        <f>"300174"</f>
        <v>300174</v>
      </c>
      <c r="C3350" t="s">
        <v>7031</v>
      </c>
      <c r="D3350" t="s">
        <v>588</v>
      </c>
      <c r="E3350">
        <v>179181892</v>
      </c>
      <c r="F3350">
        <v>140914699</v>
      </c>
      <c r="G3350">
        <v>100463784</v>
      </c>
      <c r="H3350">
        <v>110617127</v>
      </c>
      <c r="I3350">
        <v>128160367</v>
      </c>
      <c r="J3350">
        <v>91075926</v>
      </c>
      <c r="K3350">
        <v>63926815</v>
      </c>
      <c r="L3350">
        <v>56911869</v>
      </c>
      <c r="M3350">
        <v>52476256</v>
      </c>
      <c r="N3350">
        <v>47450445</v>
      </c>
      <c r="O3350">
        <v>31214104</v>
      </c>
      <c r="P3350">
        <v>90</v>
      </c>
      <c r="Q3350" t="s">
        <v>7032</v>
      </c>
    </row>
    <row r="3351" spans="1:17" x14ac:dyDescent="0.3">
      <c r="A3351" t="s">
        <v>17</v>
      </c>
      <c r="B3351" t="str">
        <f>"603297"</f>
        <v>603297</v>
      </c>
      <c r="C3351" t="s">
        <v>7033</v>
      </c>
      <c r="D3351" t="s">
        <v>477</v>
      </c>
      <c r="E3351">
        <v>179161318</v>
      </c>
      <c r="F3351">
        <v>138822817</v>
      </c>
      <c r="G3351">
        <v>111666957</v>
      </c>
      <c r="H3351">
        <v>104392700</v>
      </c>
      <c r="P3351">
        <v>238</v>
      </c>
      <c r="Q3351" t="s">
        <v>7034</v>
      </c>
    </row>
    <row r="3352" spans="1:17" x14ac:dyDescent="0.3">
      <c r="A3352" t="s">
        <v>17</v>
      </c>
      <c r="B3352" t="str">
        <f>"601996"</f>
        <v>601996</v>
      </c>
      <c r="C3352" t="s">
        <v>7035</v>
      </c>
      <c r="D3352" t="s">
        <v>972</v>
      </c>
      <c r="E3352">
        <v>179156878</v>
      </c>
      <c r="F3352">
        <v>218533470</v>
      </c>
      <c r="G3352">
        <v>136548996</v>
      </c>
      <c r="H3352">
        <v>215790872</v>
      </c>
      <c r="I3352">
        <v>128610201</v>
      </c>
      <c r="J3352">
        <v>162891606</v>
      </c>
      <c r="K3352">
        <v>174001822</v>
      </c>
      <c r="L3352">
        <v>140762585</v>
      </c>
      <c r="M3352">
        <v>115543765</v>
      </c>
      <c r="N3352">
        <v>91306420</v>
      </c>
      <c r="O3352">
        <v>84568568</v>
      </c>
      <c r="P3352">
        <v>143</v>
      </c>
      <c r="Q3352" t="s">
        <v>7036</v>
      </c>
    </row>
    <row r="3353" spans="1:17" x14ac:dyDescent="0.3">
      <c r="A3353" t="s">
        <v>73</v>
      </c>
      <c r="B3353" t="str">
        <f>"301178"</f>
        <v>301178</v>
      </c>
      <c r="C3353" t="s">
        <v>7037</v>
      </c>
      <c r="D3353" t="s">
        <v>302</v>
      </c>
      <c r="E3353">
        <v>179155559</v>
      </c>
      <c r="P3353">
        <v>15</v>
      </c>
      <c r="Q3353" t="s">
        <v>7038</v>
      </c>
    </row>
    <row r="3354" spans="1:17" x14ac:dyDescent="0.3">
      <c r="A3354" t="s">
        <v>73</v>
      </c>
      <c r="B3354" t="str">
        <f>"300626"</f>
        <v>300626</v>
      </c>
      <c r="C3354" t="s">
        <v>7039</v>
      </c>
      <c r="D3354" t="s">
        <v>689</v>
      </c>
      <c r="E3354">
        <v>178875082</v>
      </c>
      <c r="F3354">
        <v>181725535</v>
      </c>
      <c r="G3354">
        <v>158076906</v>
      </c>
      <c r="H3354">
        <v>213013420</v>
      </c>
      <c r="I3354">
        <v>189323050</v>
      </c>
      <c r="J3354">
        <v>164901118</v>
      </c>
      <c r="K3354">
        <v>0</v>
      </c>
      <c r="P3354">
        <v>55</v>
      </c>
      <c r="Q3354" t="s">
        <v>7040</v>
      </c>
    </row>
    <row r="3355" spans="1:17" x14ac:dyDescent="0.3">
      <c r="A3355" t="s">
        <v>73</v>
      </c>
      <c r="B3355" t="str">
        <f>"301196"</f>
        <v>301196</v>
      </c>
      <c r="C3355" t="s">
        <v>7041</v>
      </c>
      <c r="D3355" t="s">
        <v>3079</v>
      </c>
      <c r="E3355">
        <v>178861593</v>
      </c>
      <c r="P3355">
        <v>7</v>
      </c>
      <c r="Q3355" t="s">
        <v>7042</v>
      </c>
    </row>
    <row r="3356" spans="1:17" x14ac:dyDescent="0.3">
      <c r="A3356" t="s">
        <v>73</v>
      </c>
      <c r="B3356" t="str">
        <f>"301106"</f>
        <v>301106</v>
      </c>
      <c r="C3356" t="s">
        <v>7043</v>
      </c>
      <c r="E3356">
        <v>178836383</v>
      </c>
      <c r="P3356">
        <v>8</v>
      </c>
      <c r="Q3356" t="s">
        <v>7044</v>
      </c>
    </row>
    <row r="3357" spans="1:17" x14ac:dyDescent="0.3">
      <c r="A3357" t="s">
        <v>73</v>
      </c>
      <c r="B3357" t="str">
        <f>"000812"</f>
        <v>000812</v>
      </c>
      <c r="C3357" t="s">
        <v>7045</v>
      </c>
      <c r="D3357" t="s">
        <v>577</v>
      </c>
      <c r="E3357">
        <v>178721973</v>
      </c>
      <c r="F3357">
        <v>232055605</v>
      </c>
      <c r="G3357">
        <v>173462240</v>
      </c>
      <c r="H3357">
        <v>197457657</v>
      </c>
      <c r="I3357">
        <v>137558074</v>
      </c>
      <c r="J3357">
        <v>67868647</v>
      </c>
      <c r="K3357">
        <v>82937165</v>
      </c>
      <c r="L3357">
        <v>57677665</v>
      </c>
      <c r="M3357">
        <v>84233398</v>
      </c>
      <c r="N3357">
        <v>82751937</v>
      </c>
      <c r="O3357">
        <v>62920334</v>
      </c>
      <c r="P3357">
        <v>111</v>
      </c>
      <c r="Q3357" t="s">
        <v>7046</v>
      </c>
    </row>
    <row r="3358" spans="1:17" x14ac:dyDescent="0.3">
      <c r="A3358" t="s">
        <v>73</v>
      </c>
      <c r="B3358" t="str">
        <f>"301001"</f>
        <v>301001</v>
      </c>
      <c r="C3358" t="s">
        <v>7047</v>
      </c>
      <c r="D3358" t="s">
        <v>1960</v>
      </c>
      <c r="E3358">
        <v>178537465</v>
      </c>
      <c r="F3358">
        <v>165470766</v>
      </c>
      <c r="G3358">
        <v>163710542</v>
      </c>
      <c r="P3358">
        <v>23</v>
      </c>
      <c r="Q3358" t="s">
        <v>7048</v>
      </c>
    </row>
    <row r="3359" spans="1:17" x14ac:dyDescent="0.3">
      <c r="A3359" t="s">
        <v>73</v>
      </c>
      <c r="B3359" t="str">
        <f>"000858"</f>
        <v>000858</v>
      </c>
      <c r="C3359" t="s">
        <v>7049</v>
      </c>
      <c r="D3359" t="s">
        <v>7050</v>
      </c>
      <c r="E3359">
        <v>178249728</v>
      </c>
      <c r="F3359">
        <v>144440921</v>
      </c>
      <c r="G3359">
        <v>192455093</v>
      </c>
      <c r="H3359">
        <v>324502036</v>
      </c>
      <c r="I3359">
        <v>153117071</v>
      </c>
      <c r="J3359">
        <v>153556781</v>
      </c>
      <c r="K3359">
        <v>146053118</v>
      </c>
      <c r="L3359">
        <v>214776783</v>
      </c>
      <c r="M3359">
        <v>94682124</v>
      </c>
      <c r="N3359">
        <v>137135845</v>
      </c>
      <c r="O3359">
        <v>91302404</v>
      </c>
      <c r="P3359">
        <v>11635</v>
      </c>
      <c r="Q3359" t="s">
        <v>7051</v>
      </c>
    </row>
    <row r="3360" spans="1:17" x14ac:dyDescent="0.3">
      <c r="A3360" t="s">
        <v>17</v>
      </c>
      <c r="B3360" t="str">
        <f>"688359"</f>
        <v>688359</v>
      </c>
      <c r="C3360" t="s">
        <v>7052</v>
      </c>
      <c r="D3360" t="s">
        <v>2178</v>
      </c>
      <c r="E3360">
        <v>178244177</v>
      </c>
      <c r="F3360">
        <v>146551893</v>
      </c>
      <c r="P3360">
        <v>23</v>
      </c>
      <c r="Q3360" t="s">
        <v>7053</v>
      </c>
    </row>
    <row r="3361" spans="1:17" x14ac:dyDescent="0.3">
      <c r="A3361" t="s">
        <v>73</v>
      </c>
      <c r="B3361" t="str">
        <f>"000869"</f>
        <v>000869</v>
      </c>
      <c r="C3361" t="s">
        <v>7054</v>
      </c>
      <c r="D3361" t="s">
        <v>7055</v>
      </c>
      <c r="E3361">
        <v>177948002</v>
      </c>
      <c r="F3361">
        <v>151141109</v>
      </c>
      <c r="G3361">
        <v>232296773</v>
      </c>
      <c r="H3361">
        <v>238569146</v>
      </c>
      <c r="I3361">
        <v>271084429</v>
      </c>
      <c r="J3361">
        <v>197296359</v>
      </c>
      <c r="K3361">
        <v>252068992</v>
      </c>
      <c r="L3361">
        <v>189865830</v>
      </c>
      <c r="M3361">
        <v>151125593</v>
      </c>
      <c r="N3361">
        <v>160393733</v>
      </c>
      <c r="O3361">
        <v>150777482</v>
      </c>
      <c r="P3361">
        <v>833</v>
      </c>
      <c r="Q3361" t="s">
        <v>7056</v>
      </c>
    </row>
    <row r="3362" spans="1:17" x14ac:dyDescent="0.3">
      <c r="A3362" t="s">
        <v>17</v>
      </c>
      <c r="B3362" t="str">
        <f>"688052"</f>
        <v>688052</v>
      </c>
      <c r="C3362" t="s">
        <v>7057</v>
      </c>
      <c r="E3362">
        <v>177870051</v>
      </c>
      <c r="P3362">
        <v>11</v>
      </c>
      <c r="Q3362" t="s">
        <v>7058</v>
      </c>
    </row>
    <row r="3363" spans="1:17" x14ac:dyDescent="0.3">
      <c r="A3363" t="s">
        <v>17</v>
      </c>
      <c r="B3363" t="str">
        <f>"688267"</f>
        <v>688267</v>
      </c>
      <c r="C3363" t="s">
        <v>7059</v>
      </c>
      <c r="E3363">
        <v>177562284</v>
      </c>
      <c r="P3363">
        <v>7</v>
      </c>
      <c r="Q3363" t="s">
        <v>7060</v>
      </c>
    </row>
    <row r="3364" spans="1:17" x14ac:dyDescent="0.3">
      <c r="A3364" t="s">
        <v>17</v>
      </c>
      <c r="B3364" t="str">
        <f>"603080"</f>
        <v>603080</v>
      </c>
      <c r="C3364" t="s">
        <v>7061</v>
      </c>
      <c r="D3364" t="s">
        <v>469</v>
      </c>
      <c r="E3364">
        <v>177195575</v>
      </c>
      <c r="F3364">
        <v>135681658</v>
      </c>
      <c r="G3364">
        <v>125611454</v>
      </c>
      <c r="H3364">
        <v>55885060</v>
      </c>
      <c r="I3364">
        <v>61380993</v>
      </c>
      <c r="J3364">
        <v>0</v>
      </c>
      <c r="P3364">
        <v>93</v>
      </c>
      <c r="Q3364" t="s">
        <v>7062</v>
      </c>
    </row>
    <row r="3365" spans="1:17" x14ac:dyDescent="0.3">
      <c r="A3365" t="s">
        <v>73</v>
      </c>
      <c r="B3365" t="str">
        <f>"002327"</f>
        <v>002327</v>
      </c>
      <c r="C3365" t="s">
        <v>7063</v>
      </c>
      <c r="D3365" t="s">
        <v>4320</v>
      </c>
      <c r="E3365">
        <v>177104220</v>
      </c>
      <c r="F3365">
        <v>138027321</v>
      </c>
      <c r="G3365">
        <v>126012151</v>
      </c>
      <c r="H3365">
        <v>117524301</v>
      </c>
      <c r="I3365">
        <v>176939324</v>
      </c>
      <c r="J3365">
        <v>151295116</v>
      </c>
      <c r="K3365">
        <v>118158745</v>
      </c>
      <c r="L3365">
        <v>84037651</v>
      </c>
      <c r="M3365">
        <v>65493197</v>
      </c>
      <c r="N3365">
        <v>66177538</v>
      </c>
      <c r="O3365">
        <v>55921911</v>
      </c>
      <c r="P3365">
        <v>1306</v>
      </c>
      <c r="Q3365" t="s">
        <v>7064</v>
      </c>
    </row>
    <row r="3366" spans="1:17" x14ac:dyDescent="0.3">
      <c r="A3366" t="s">
        <v>73</v>
      </c>
      <c r="B3366" t="str">
        <f>"002631"</f>
        <v>002631</v>
      </c>
      <c r="C3366" t="s">
        <v>7065</v>
      </c>
      <c r="D3366" t="s">
        <v>2533</v>
      </c>
      <c r="E3366">
        <v>177030599</v>
      </c>
      <c r="F3366">
        <v>53637942</v>
      </c>
      <c r="G3366">
        <v>137948978</v>
      </c>
      <c r="H3366">
        <v>41093017</v>
      </c>
      <c r="I3366">
        <v>64853188</v>
      </c>
      <c r="J3366">
        <v>51930670</v>
      </c>
      <c r="K3366">
        <v>29499118</v>
      </c>
      <c r="L3366">
        <v>8022130</v>
      </c>
      <c r="M3366">
        <v>4650989</v>
      </c>
      <c r="N3366">
        <v>2979401</v>
      </c>
      <c r="O3366">
        <v>4777880</v>
      </c>
      <c r="P3366">
        <v>156</v>
      </c>
      <c r="Q3366" t="s">
        <v>7066</v>
      </c>
    </row>
    <row r="3367" spans="1:17" x14ac:dyDescent="0.3">
      <c r="A3367" t="s">
        <v>17</v>
      </c>
      <c r="B3367" t="str">
        <f>"603826"</f>
        <v>603826</v>
      </c>
      <c r="C3367" t="s">
        <v>7067</v>
      </c>
      <c r="D3367" t="s">
        <v>1674</v>
      </c>
      <c r="E3367">
        <v>176800347</v>
      </c>
      <c r="F3367">
        <v>166967138</v>
      </c>
      <c r="G3367">
        <v>153405124</v>
      </c>
      <c r="H3367">
        <v>118458472</v>
      </c>
      <c r="I3367">
        <v>97403386</v>
      </c>
      <c r="J3367">
        <v>91834438</v>
      </c>
      <c r="P3367">
        <v>265</v>
      </c>
      <c r="Q3367" t="s">
        <v>7068</v>
      </c>
    </row>
    <row r="3368" spans="1:17" x14ac:dyDescent="0.3">
      <c r="A3368" t="s">
        <v>73</v>
      </c>
      <c r="B3368" t="str">
        <f>"301046"</f>
        <v>301046</v>
      </c>
      <c r="C3368" t="s">
        <v>7069</v>
      </c>
      <c r="D3368" t="s">
        <v>39</v>
      </c>
      <c r="E3368">
        <v>176706145</v>
      </c>
      <c r="F3368">
        <v>192606451</v>
      </c>
      <c r="G3368">
        <v>90944484</v>
      </c>
      <c r="P3368">
        <v>33</v>
      </c>
      <c r="Q3368" t="s">
        <v>7070</v>
      </c>
    </row>
    <row r="3369" spans="1:17" x14ac:dyDescent="0.3">
      <c r="A3369" t="s">
        <v>17</v>
      </c>
      <c r="B3369" t="str">
        <f>"600653"</f>
        <v>600653</v>
      </c>
      <c r="C3369" t="s">
        <v>7071</v>
      </c>
      <c r="D3369" t="s">
        <v>415</v>
      </c>
      <c r="E3369">
        <v>176405124</v>
      </c>
      <c r="F3369">
        <v>158272065</v>
      </c>
      <c r="G3369">
        <v>589077240</v>
      </c>
      <c r="H3369">
        <v>683219091</v>
      </c>
      <c r="I3369">
        <v>559412442</v>
      </c>
      <c r="J3369">
        <v>866128340</v>
      </c>
      <c r="K3369">
        <v>617333686</v>
      </c>
      <c r="L3369">
        <v>251162978</v>
      </c>
      <c r="M3369">
        <v>794623593</v>
      </c>
      <c r="N3369">
        <v>310554153</v>
      </c>
      <c r="O3369">
        <v>266285244</v>
      </c>
      <c r="P3369">
        <v>93</v>
      </c>
      <c r="Q3369" t="s">
        <v>7072</v>
      </c>
    </row>
    <row r="3370" spans="1:17" x14ac:dyDescent="0.3">
      <c r="A3370" t="s">
        <v>73</v>
      </c>
      <c r="B3370" t="str">
        <f>"300939"</f>
        <v>300939</v>
      </c>
      <c r="C3370" t="s">
        <v>7073</v>
      </c>
      <c r="D3370" t="s">
        <v>97</v>
      </c>
      <c r="E3370">
        <v>176394227</v>
      </c>
      <c r="F3370">
        <v>161868425</v>
      </c>
      <c r="P3370">
        <v>31</v>
      </c>
      <c r="Q3370" t="s">
        <v>7074</v>
      </c>
    </row>
    <row r="3371" spans="1:17" x14ac:dyDescent="0.3">
      <c r="A3371" t="s">
        <v>17</v>
      </c>
      <c r="B3371" t="str">
        <f>"600735"</f>
        <v>600735</v>
      </c>
      <c r="C3371" t="s">
        <v>7075</v>
      </c>
      <c r="D3371" t="s">
        <v>6326</v>
      </c>
      <c r="E3371">
        <v>176284800</v>
      </c>
      <c r="F3371">
        <v>101312971</v>
      </c>
      <c r="G3371">
        <v>103451998</v>
      </c>
      <c r="H3371">
        <v>126577766</v>
      </c>
      <c r="I3371">
        <v>113104585</v>
      </c>
      <c r="J3371">
        <v>110948611</v>
      </c>
      <c r="K3371">
        <v>109802758</v>
      </c>
      <c r="L3371">
        <v>110748944</v>
      </c>
      <c r="M3371">
        <v>105019305</v>
      </c>
      <c r="N3371">
        <v>109331413</v>
      </c>
      <c r="O3371">
        <v>47784810</v>
      </c>
      <c r="P3371">
        <v>105</v>
      </c>
      <c r="Q3371" t="s">
        <v>7076</v>
      </c>
    </row>
    <row r="3372" spans="1:17" x14ac:dyDescent="0.3">
      <c r="A3372" t="s">
        <v>17</v>
      </c>
      <c r="B3372" t="str">
        <f>"688625"</f>
        <v>688625</v>
      </c>
      <c r="C3372" t="s">
        <v>7077</v>
      </c>
      <c r="D3372" t="s">
        <v>588</v>
      </c>
      <c r="E3372">
        <v>176107003</v>
      </c>
      <c r="F3372">
        <v>114295448</v>
      </c>
      <c r="P3372">
        <v>63</v>
      </c>
      <c r="Q3372" t="s">
        <v>7078</v>
      </c>
    </row>
    <row r="3373" spans="1:17" x14ac:dyDescent="0.3">
      <c r="A3373" t="s">
        <v>73</v>
      </c>
      <c r="B3373" t="str">
        <f>"300559"</f>
        <v>300559</v>
      </c>
      <c r="C3373" t="s">
        <v>7079</v>
      </c>
      <c r="D3373" t="s">
        <v>795</v>
      </c>
      <c r="E3373">
        <v>175967284</v>
      </c>
      <c r="F3373">
        <v>183211036</v>
      </c>
      <c r="G3373">
        <v>201237269</v>
      </c>
      <c r="H3373">
        <v>134319931</v>
      </c>
      <c r="I3373">
        <v>101469500</v>
      </c>
      <c r="J3373">
        <v>69956712</v>
      </c>
      <c r="K3373">
        <v>0</v>
      </c>
      <c r="P3373">
        <v>369</v>
      </c>
      <c r="Q3373" t="s">
        <v>7080</v>
      </c>
    </row>
    <row r="3374" spans="1:17" x14ac:dyDescent="0.3">
      <c r="A3374" t="s">
        <v>73</v>
      </c>
      <c r="B3374" t="str">
        <f>"002486"</f>
        <v>002486</v>
      </c>
      <c r="C3374" t="s">
        <v>7081</v>
      </c>
      <c r="D3374" t="s">
        <v>3204</v>
      </c>
      <c r="E3374">
        <v>175570231</v>
      </c>
      <c r="F3374">
        <v>159170609</v>
      </c>
      <c r="G3374">
        <v>122850098</v>
      </c>
      <c r="H3374">
        <v>70580915</v>
      </c>
      <c r="I3374">
        <v>102935649</v>
      </c>
      <c r="J3374">
        <v>94786221</v>
      </c>
      <c r="K3374">
        <v>104328743</v>
      </c>
      <c r="L3374">
        <v>97059393</v>
      </c>
      <c r="M3374">
        <v>95413143</v>
      </c>
      <c r="N3374">
        <v>62873762</v>
      </c>
      <c r="O3374">
        <v>42176607</v>
      </c>
      <c r="P3374">
        <v>88</v>
      </c>
      <c r="Q3374" t="s">
        <v>7082</v>
      </c>
    </row>
    <row r="3375" spans="1:17" x14ac:dyDescent="0.3">
      <c r="A3375" t="s">
        <v>73</v>
      </c>
      <c r="B3375" t="str">
        <f>"301000"</f>
        <v>301000</v>
      </c>
      <c r="C3375" t="s">
        <v>7083</v>
      </c>
      <c r="D3375" t="s">
        <v>722</v>
      </c>
      <c r="E3375">
        <v>175561481</v>
      </c>
      <c r="F3375">
        <v>177179668</v>
      </c>
      <c r="P3375">
        <v>25</v>
      </c>
      <c r="Q3375" t="s">
        <v>7084</v>
      </c>
    </row>
    <row r="3376" spans="1:17" x14ac:dyDescent="0.3">
      <c r="A3376" t="s">
        <v>73</v>
      </c>
      <c r="B3376" t="str">
        <f>"000504"</f>
        <v>000504</v>
      </c>
      <c r="C3376" t="s">
        <v>7085</v>
      </c>
      <c r="D3376" t="s">
        <v>3907</v>
      </c>
      <c r="E3376">
        <v>175504911</v>
      </c>
      <c r="F3376">
        <v>214241029</v>
      </c>
      <c r="G3376">
        <v>38525932</v>
      </c>
      <c r="H3376">
        <v>30668707</v>
      </c>
      <c r="I3376">
        <v>9241793</v>
      </c>
      <c r="J3376">
        <v>28745696</v>
      </c>
      <c r="K3376">
        <v>5797017</v>
      </c>
      <c r="L3376">
        <v>7303371</v>
      </c>
      <c r="M3376">
        <v>12506170</v>
      </c>
      <c r="N3376">
        <v>23055958</v>
      </c>
      <c r="O3376">
        <v>43127387</v>
      </c>
      <c r="P3376">
        <v>85</v>
      </c>
      <c r="Q3376" t="s">
        <v>7086</v>
      </c>
    </row>
    <row r="3377" spans="1:17" x14ac:dyDescent="0.3">
      <c r="A3377" t="s">
        <v>73</v>
      </c>
      <c r="B3377" t="str">
        <f>"002134"</f>
        <v>002134</v>
      </c>
      <c r="C3377" t="s">
        <v>7087</v>
      </c>
      <c r="D3377" t="s">
        <v>418</v>
      </c>
      <c r="E3377">
        <v>175475040</v>
      </c>
      <c r="F3377">
        <v>148493880</v>
      </c>
      <c r="G3377">
        <v>126403464</v>
      </c>
      <c r="H3377">
        <v>123194434</v>
      </c>
      <c r="I3377">
        <v>117376625</v>
      </c>
      <c r="J3377">
        <v>87229151</v>
      </c>
      <c r="K3377">
        <v>102061964</v>
      </c>
      <c r="L3377">
        <v>124098017</v>
      </c>
      <c r="M3377">
        <v>155134692</v>
      </c>
      <c r="N3377">
        <v>131545470</v>
      </c>
      <c r="O3377">
        <v>131905249</v>
      </c>
      <c r="P3377">
        <v>119</v>
      </c>
      <c r="Q3377" t="s">
        <v>7088</v>
      </c>
    </row>
    <row r="3378" spans="1:17" x14ac:dyDescent="0.3">
      <c r="A3378" t="s">
        <v>73</v>
      </c>
      <c r="B3378" t="str">
        <f>"301212"</f>
        <v>301212</v>
      </c>
      <c r="C3378" t="s">
        <v>7089</v>
      </c>
      <c r="E3378">
        <v>175093033</v>
      </c>
      <c r="P3378">
        <v>3</v>
      </c>
      <c r="Q3378" t="s">
        <v>7090</v>
      </c>
    </row>
    <row r="3379" spans="1:17" x14ac:dyDescent="0.3">
      <c r="A3379" t="s">
        <v>73</v>
      </c>
      <c r="B3379" t="str">
        <f>"002835"</f>
        <v>002835</v>
      </c>
      <c r="C3379" t="s">
        <v>7091</v>
      </c>
      <c r="D3379" t="s">
        <v>119</v>
      </c>
      <c r="E3379">
        <v>174902683</v>
      </c>
      <c r="F3379">
        <v>145853251</v>
      </c>
      <c r="G3379">
        <v>137093881</v>
      </c>
      <c r="H3379">
        <v>98470826</v>
      </c>
      <c r="I3379">
        <v>78173770</v>
      </c>
      <c r="J3379">
        <v>62456505</v>
      </c>
      <c r="P3379">
        <v>94</v>
      </c>
      <c r="Q3379" t="s">
        <v>7092</v>
      </c>
    </row>
    <row r="3380" spans="1:17" x14ac:dyDescent="0.3">
      <c r="A3380" t="s">
        <v>73</v>
      </c>
      <c r="B3380" t="str">
        <f>"300256"</f>
        <v>300256</v>
      </c>
      <c r="C3380" t="s">
        <v>7093</v>
      </c>
      <c r="D3380" t="s">
        <v>42</v>
      </c>
      <c r="E3380">
        <v>174841730</v>
      </c>
      <c r="F3380">
        <v>2964821455</v>
      </c>
      <c r="G3380">
        <v>2481830560</v>
      </c>
      <c r="H3380">
        <v>1454632197</v>
      </c>
      <c r="I3380">
        <v>1713460719</v>
      </c>
      <c r="J3380">
        <v>1768129938</v>
      </c>
      <c r="K3380">
        <v>1282504905</v>
      </c>
      <c r="L3380">
        <v>555315570</v>
      </c>
      <c r="M3380">
        <v>235932290</v>
      </c>
      <c r="N3380">
        <v>127802681</v>
      </c>
      <c r="O3380">
        <v>108352933</v>
      </c>
      <c r="P3380">
        <v>206</v>
      </c>
      <c r="Q3380" t="s">
        <v>7094</v>
      </c>
    </row>
    <row r="3381" spans="1:17" x14ac:dyDescent="0.3">
      <c r="A3381" t="s">
        <v>17</v>
      </c>
      <c r="B3381" t="str">
        <f>"688336"</f>
        <v>688336</v>
      </c>
      <c r="C3381" t="s">
        <v>7095</v>
      </c>
      <c r="D3381" t="s">
        <v>1505</v>
      </c>
      <c r="E3381">
        <v>174756675</v>
      </c>
      <c r="F3381">
        <v>53832023</v>
      </c>
      <c r="G3381">
        <v>84083489</v>
      </c>
      <c r="H3381">
        <v>0</v>
      </c>
      <c r="P3381">
        <v>52</v>
      </c>
      <c r="Q3381" t="s">
        <v>7096</v>
      </c>
    </row>
    <row r="3382" spans="1:17" x14ac:dyDescent="0.3">
      <c r="A3382" t="s">
        <v>73</v>
      </c>
      <c r="B3382" t="str">
        <f>"300008"</f>
        <v>300008</v>
      </c>
      <c r="C3382" t="s">
        <v>7097</v>
      </c>
      <c r="D3382" t="s">
        <v>283</v>
      </c>
      <c r="E3382">
        <v>174712884</v>
      </c>
      <c r="F3382">
        <v>126855244</v>
      </c>
      <c r="G3382">
        <v>276563674</v>
      </c>
      <c r="H3382">
        <v>698161860</v>
      </c>
      <c r="I3382">
        <v>365781353</v>
      </c>
      <c r="J3382">
        <v>319868883</v>
      </c>
      <c r="K3382">
        <v>293132254</v>
      </c>
      <c r="L3382">
        <v>191939300</v>
      </c>
      <c r="M3382">
        <v>37717757</v>
      </c>
      <c r="N3382">
        <v>99045701</v>
      </c>
      <c r="O3382">
        <v>38676873</v>
      </c>
      <c r="P3382">
        <v>107</v>
      </c>
      <c r="Q3382" t="s">
        <v>7098</v>
      </c>
    </row>
    <row r="3383" spans="1:17" x14ac:dyDescent="0.3">
      <c r="A3383" t="s">
        <v>73</v>
      </c>
      <c r="B3383" t="str">
        <f>"003002"</f>
        <v>003002</v>
      </c>
      <c r="C3383" t="s">
        <v>7099</v>
      </c>
      <c r="D3383" t="s">
        <v>484</v>
      </c>
      <c r="E3383">
        <v>174635168</v>
      </c>
      <c r="F3383">
        <v>113410319</v>
      </c>
      <c r="P3383">
        <v>39</v>
      </c>
      <c r="Q3383" t="s">
        <v>7100</v>
      </c>
    </row>
    <row r="3384" spans="1:17" x14ac:dyDescent="0.3">
      <c r="A3384" t="s">
        <v>73</v>
      </c>
      <c r="B3384" t="str">
        <f>"301136"</f>
        <v>301136</v>
      </c>
      <c r="C3384" t="s">
        <v>7101</v>
      </c>
      <c r="D3384" t="s">
        <v>661</v>
      </c>
      <c r="E3384">
        <v>174503382</v>
      </c>
      <c r="P3384">
        <v>9</v>
      </c>
      <c r="Q3384" t="s">
        <v>7102</v>
      </c>
    </row>
    <row r="3385" spans="1:17" x14ac:dyDescent="0.3">
      <c r="A3385" t="s">
        <v>17</v>
      </c>
      <c r="B3385" t="str">
        <f>"688125"</f>
        <v>688125</v>
      </c>
      <c r="C3385" t="s">
        <v>7103</v>
      </c>
      <c r="E3385">
        <v>174182152</v>
      </c>
      <c r="P3385">
        <v>2</v>
      </c>
      <c r="Q3385" t="s">
        <v>7104</v>
      </c>
    </row>
    <row r="3386" spans="1:17" x14ac:dyDescent="0.3">
      <c r="A3386" t="s">
        <v>17</v>
      </c>
      <c r="B3386" t="str">
        <f>"603617"</f>
        <v>603617</v>
      </c>
      <c r="C3386" t="s">
        <v>7105</v>
      </c>
      <c r="D3386" t="s">
        <v>873</v>
      </c>
      <c r="E3386">
        <v>173760898</v>
      </c>
      <c r="F3386">
        <v>136209051</v>
      </c>
      <c r="G3386">
        <v>137150645</v>
      </c>
      <c r="H3386">
        <v>138729128</v>
      </c>
      <c r="I3386">
        <v>105934955</v>
      </c>
      <c r="J3386">
        <v>109639746</v>
      </c>
      <c r="P3386">
        <v>104</v>
      </c>
      <c r="Q3386" t="s">
        <v>7106</v>
      </c>
    </row>
    <row r="3387" spans="1:17" x14ac:dyDescent="0.3">
      <c r="A3387" t="s">
        <v>73</v>
      </c>
      <c r="B3387" t="str">
        <f>"300616"</f>
        <v>300616</v>
      </c>
      <c r="C3387" t="s">
        <v>7107</v>
      </c>
      <c r="D3387" t="s">
        <v>2533</v>
      </c>
      <c r="E3387">
        <v>173554253</v>
      </c>
      <c r="F3387">
        <v>106388633</v>
      </c>
      <c r="G3387">
        <v>34151906</v>
      </c>
      <c r="H3387">
        <v>39185351</v>
      </c>
      <c r="I3387">
        <v>5187419</v>
      </c>
      <c r="J3387">
        <v>3861546</v>
      </c>
      <c r="K3387">
        <v>0</v>
      </c>
      <c r="P3387">
        <v>694</v>
      </c>
      <c r="Q3387" t="s">
        <v>7108</v>
      </c>
    </row>
    <row r="3388" spans="1:17" x14ac:dyDescent="0.3">
      <c r="A3388" t="s">
        <v>17</v>
      </c>
      <c r="B3388" t="str">
        <f>"688639"</f>
        <v>688639</v>
      </c>
      <c r="C3388" t="s">
        <v>7109</v>
      </c>
      <c r="D3388" t="s">
        <v>1430</v>
      </c>
      <c r="E3388">
        <v>173493806</v>
      </c>
      <c r="F3388">
        <v>100173824</v>
      </c>
      <c r="P3388">
        <v>58</v>
      </c>
      <c r="Q3388" t="s">
        <v>7110</v>
      </c>
    </row>
    <row r="3389" spans="1:17" x14ac:dyDescent="0.3">
      <c r="A3389" t="s">
        <v>73</v>
      </c>
      <c r="B3389" t="str">
        <f>"300729"</f>
        <v>300729</v>
      </c>
      <c r="C3389" t="s">
        <v>7111</v>
      </c>
      <c r="D3389" t="s">
        <v>3902</v>
      </c>
      <c r="E3389">
        <v>173184735</v>
      </c>
      <c r="F3389">
        <v>124452809</v>
      </c>
      <c r="G3389">
        <v>72833229</v>
      </c>
      <c r="H3389">
        <v>58690736</v>
      </c>
      <c r="I3389">
        <v>64538539</v>
      </c>
      <c r="J3389">
        <v>0</v>
      </c>
      <c r="P3389">
        <v>219</v>
      </c>
      <c r="Q3389" t="s">
        <v>7112</v>
      </c>
    </row>
    <row r="3390" spans="1:17" x14ac:dyDescent="0.3">
      <c r="A3390" t="s">
        <v>73</v>
      </c>
      <c r="B3390" t="str">
        <f>"002558"</f>
        <v>002558</v>
      </c>
      <c r="C3390" t="s">
        <v>7113</v>
      </c>
      <c r="D3390" t="s">
        <v>899</v>
      </c>
      <c r="E3390">
        <v>173173251</v>
      </c>
      <c r="F3390">
        <v>212866802</v>
      </c>
      <c r="G3390">
        <v>321050853</v>
      </c>
      <c r="H3390">
        <v>518099797</v>
      </c>
      <c r="I3390">
        <v>1289396589</v>
      </c>
      <c r="J3390">
        <v>197958969</v>
      </c>
      <c r="K3390">
        <v>5674351</v>
      </c>
      <c r="L3390">
        <v>0</v>
      </c>
      <c r="M3390">
        <v>12430262</v>
      </c>
      <c r="N3390">
        <v>16618757</v>
      </c>
      <c r="O3390">
        <v>6678381</v>
      </c>
      <c r="P3390">
        <v>458</v>
      </c>
      <c r="Q3390" t="s">
        <v>7114</v>
      </c>
    </row>
    <row r="3391" spans="1:17" x14ac:dyDescent="0.3">
      <c r="A3391" t="s">
        <v>73</v>
      </c>
      <c r="B3391" t="str">
        <f>"300578"</f>
        <v>300578</v>
      </c>
      <c r="C3391" t="s">
        <v>7115</v>
      </c>
      <c r="D3391" t="s">
        <v>1004</v>
      </c>
      <c r="E3391">
        <v>172718487</v>
      </c>
      <c r="F3391">
        <v>185391949</v>
      </c>
      <c r="G3391">
        <v>263098009</v>
      </c>
      <c r="H3391">
        <v>240196706</v>
      </c>
      <c r="I3391">
        <v>75640204</v>
      </c>
      <c r="J3391">
        <v>72551156</v>
      </c>
      <c r="K3391">
        <v>0</v>
      </c>
      <c r="P3391">
        <v>305</v>
      </c>
      <c r="Q3391" t="s">
        <v>7116</v>
      </c>
    </row>
    <row r="3392" spans="1:17" x14ac:dyDescent="0.3">
      <c r="A3392" t="s">
        <v>73</v>
      </c>
      <c r="B3392" t="str">
        <f>"301016"</f>
        <v>301016</v>
      </c>
      <c r="C3392" t="s">
        <v>7117</v>
      </c>
      <c r="D3392" t="s">
        <v>47</v>
      </c>
      <c r="E3392">
        <v>172556158</v>
      </c>
      <c r="F3392">
        <v>125999727</v>
      </c>
      <c r="P3392">
        <v>35</v>
      </c>
      <c r="Q3392" t="s">
        <v>7118</v>
      </c>
    </row>
    <row r="3393" spans="1:17" x14ac:dyDescent="0.3">
      <c r="A3393" t="s">
        <v>73</v>
      </c>
      <c r="B3393" t="str">
        <f>"000878"</f>
        <v>000878</v>
      </c>
      <c r="C3393" t="s">
        <v>7119</v>
      </c>
      <c r="D3393" t="s">
        <v>452</v>
      </c>
      <c r="E3393">
        <v>172534592</v>
      </c>
      <c r="F3393">
        <v>2159883011</v>
      </c>
      <c r="G3393">
        <v>1820775472</v>
      </c>
      <c r="H3393">
        <v>482328484</v>
      </c>
      <c r="I3393">
        <v>1298923649</v>
      </c>
      <c r="J3393">
        <v>617033331</v>
      </c>
      <c r="K3393">
        <v>1391767170</v>
      </c>
      <c r="L3393">
        <v>661092468</v>
      </c>
      <c r="M3393">
        <v>720837366</v>
      </c>
      <c r="N3393">
        <v>1089730624</v>
      </c>
      <c r="O3393">
        <v>898294369</v>
      </c>
      <c r="P3393">
        <v>418</v>
      </c>
      <c r="Q3393" t="s">
        <v>7120</v>
      </c>
    </row>
    <row r="3394" spans="1:17" x14ac:dyDescent="0.3">
      <c r="A3394" t="s">
        <v>17</v>
      </c>
      <c r="B3394" t="str">
        <f>"603043"</f>
        <v>603043</v>
      </c>
      <c r="C3394" t="s">
        <v>7121</v>
      </c>
      <c r="D3394" t="s">
        <v>3675</v>
      </c>
      <c r="E3394">
        <v>172473094</v>
      </c>
      <c r="F3394">
        <v>155141564</v>
      </c>
      <c r="G3394">
        <v>126108682</v>
      </c>
      <c r="H3394">
        <v>106791506</v>
      </c>
      <c r="I3394">
        <v>87203210</v>
      </c>
      <c r="J3394">
        <v>0</v>
      </c>
      <c r="P3394">
        <v>1509</v>
      </c>
      <c r="Q3394" t="s">
        <v>7122</v>
      </c>
    </row>
    <row r="3395" spans="1:17" x14ac:dyDescent="0.3">
      <c r="A3395" t="s">
        <v>17</v>
      </c>
      <c r="B3395" t="str">
        <f>"688683"</f>
        <v>688683</v>
      </c>
      <c r="C3395" t="s">
        <v>7123</v>
      </c>
      <c r="D3395" t="s">
        <v>42</v>
      </c>
      <c r="E3395">
        <v>172024167</v>
      </c>
      <c r="F3395">
        <v>153579627</v>
      </c>
      <c r="P3395">
        <v>18</v>
      </c>
      <c r="Q3395" t="s">
        <v>7124</v>
      </c>
    </row>
    <row r="3396" spans="1:17" x14ac:dyDescent="0.3">
      <c r="A3396" t="s">
        <v>73</v>
      </c>
      <c r="B3396" t="str">
        <f>"300583"</f>
        <v>300583</v>
      </c>
      <c r="C3396" t="s">
        <v>7125</v>
      </c>
      <c r="D3396" t="s">
        <v>908</v>
      </c>
      <c r="E3396">
        <v>171938817</v>
      </c>
      <c r="F3396">
        <v>161753752</v>
      </c>
      <c r="G3396">
        <v>267404734</v>
      </c>
      <c r="H3396">
        <v>237950682</v>
      </c>
      <c r="I3396">
        <v>143081561</v>
      </c>
      <c r="J3396">
        <v>157351065</v>
      </c>
      <c r="K3396">
        <v>0</v>
      </c>
      <c r="P3396">
        <v>76</v>
      </c>
      <c r="Q3396" t="s">
        <v>7126</v>
      </c>
    </row>
    <row r="3397" spans="1:17" x14ac:dyDescent="0.3">
      <c r="A3397" t="s">
        <v>17</v>
      </c>
      <c r="B3397" t="str">
        <f>"688107"</f>
        <v>688107</v>
      </c>
      <c r="C3397" t="s">
        <v>7127</v>
      </c>
      <c r="D3397" t="s">
        <v>890</v>
      </c>
      <c r="E3397">
        <v>171556262</v>
      </c>
      <c r="P3397">
        <v>31</v>
      </c>
      <c r="Q3397" t="s">
        <v>7128</v>
      </c>
    </row>
    <row r="3398" spans="1:17" x14ac:dyDescent="0.3">
      <c r="A3398" t="s">
        <v>17</v>
      </c>
      <c r="B3398" t="str">
        <f>"603499"</f>
        <v>603499</v>
      </c>
      <c r="C3398" t="s">
        <v>7129</v>
      </c>
      <c r="D3398" t="s">
        <v>577</v>
      </c>
      <c r="E3398">
        <v>171470419</v>
      </c>
      <c r="F3398">
        <v>176275237</v>
      </c>
      <c r="G3398">
        <v>149686137</v>
      </c>
      <c r="H3398">
        <v>135456297</v>
      </c>
      <c r="I3398">
        <v>148838316</v>
      </c>
      <c r="P3398">
        <v>83</v>
      </c>
      <c r="Q3398" t="s">
        <v>7130</v>
      </c>
    </row>
    <row r="3399" spans="1:17" x14ac:dyDescent="0.3">
      <c r="A3399" t="s">
        <v>17</v>
      </c>
      <c r="B3399" t="str">
        <f>"600774"</f>
        <v>600774</v>
      </c>
      <c r="C3399" t="s">
        <v>7131</v>
      </c>
      <c r="D3399" t="s">
        <v>3897</v>
      </c>
      <c r="E3399">
        <v>171368776</v>
      </c>
      <c r="F3399">
        <v>309373201</v>
      </c>
      <c r="G3399">
        <v>9257881</v>
      </c>
      <c r="H3399">
        <v>2555541</v>
      </c>
      <c r="I3399">
        <v>1323939</v>
      </c>
      <c r="J3399">
        <v>535584</v>
      </c>
      <c r="K3399">
        <v>1369469</v>
      </c>
      <c r="L3399">
        <v>1807323</v>
      </c>
      <c r="M3399">
        <v>3238373</v>
      </c>
      <c r="N3399">
        <v>4810629</v>
      </c>
      <c r="O3399">
        <v>1815498</v>
      </c>
      <c r="P3399">
        <v>84</v>
      </c>
      <c r="Q3399" t="s">
        <v>7132</v>
      </c>
    </row>
    <row r="3400" spans="1:17" x14ac:dyDescent="0.3">
      <c r="A3400" t="s">
        <v>73</v>
      </c>
      <c r="B3400" t="str">
        <f>"300642"</f>
        <v>300642</v>
      </c>
      <c r="C3400" t="s">
        <v>7133</v>
      </c>
      <c r="D3400" t="s">
        <v>773</v>
      </c>
      <c r="E3400">
        <v>171159324</v>
      </c>
      <c r="F3400">
        <v>129607451</v>
      </c>
      <c r="G3400">
        <v>87600080</v>
      </c>
      <c r="H3400">
        <v>75024963</v>
      </c>
      <c r="I3400">
        <v>52900320</v>
      </c>
      <c r="J3400">
        <v>29471912</v>
      </c>
      <c r="P3400">
        <v>417</v>
      </c>
      <c r="Q3400" t="s">
        <v>7134</v>
      </c>
    </row>
    <row r="3401" spans="1:17" x14ac:dyDescent="0.3">
      <c r="A3401" t="s">
        <v>73</v>
      </c>
      <c r="B3401" t="str">
        <f>"002774"</f>
        <v>002774</v>
      </c>
      <c r="C3401" t="s">
        <v>7135</v>
      </c>
      <c r="D3401" t="s">
        <v>744</v>
      </c>
      <c r="E3401">
        <v>171140286</v>
      </c>
      <c r="F3401">
        <v>147860928</v>
      </c>
      <c r="G3401">
        <v>199342020</v>
      </c>
      <c r="H3401">
        <v>185410492</v>
      </c>
      <c r="I3401">
        <v>154751175</v>
      </c>
      <c r="J3401">
        <v>138864411</v>
      </c>
      <c r="P3401">
        <v>77</v>
      </c>
      <c r="Q3401" t="s">
        <v>7136</v>
      </c>
    </row>
    <row r="3402" spans="1:17" x14ac:dyDescent="0.3">
      <c r="A3402" t="s">
        <v>73</v>
      </c>
      <c r="B3402" t="str">
        <f>"002109"</f>
        <v>002109</v>
      </c>
      <c r="C3402" t="s">
        <v>7137</v>
      </c>
      <c r="D3402" t="s">
        <v>4692</v>
      </c>
      <c r="E3402">
        <v>171079679</v>
      </c>
      <c r="F3402">
        <v>148902379</v>
      </c>
      <c r="G3402">
        <v>121629305</v>
      </c>
      <c r="H3402">
        <v>166049424</v>
      </c>
      <c r="I3402">
        <v>107170073</v>
      </c>
      <c r="J3402">
        <v>68275349</v>
      </c>
      <c r="K3402">
        <v>87132141</v>
      </c>
      <c r="L3402">
        <v>83616515</v>
      </c>
      <c r="M3402">
        <v>76917612</v>
      </c>
      <c r="N3402">
        <v>67273261</v>
      </c>
      <c r="O3402">
        <v>48302542</v>
      </c>
      <c r="P3402">
        <v>138</v>
      </c>
      <c r="Q3402" t="s">
        <v>7138</v>
      </c>
    </row>
    <row r="3403" spans="1:17" x14ac:dyDescent="0.3">
      <c r="A3403" t="s">
        <v>17</v>
      </c>
      <c r="B3403" t="str">
        <f>"603788"</f>
        <v>603788</v>
      </c>
      <c r="C3403" t="s">
        <v>7139</v>
      </c>
      <c r="D3403" t="s">
        <v>122</v>
      </c>
      <c r="E3403">
        <v>171037296</v>
      </c>
      <c r="F3403">
        <v>150541156</v>
      </c>
      <c r="G3403">
        <v>126762130</v>
      </c>
      <c r="H3403">
        <v>212084225</v>
      </c>
      <c r="I3403">
        <v>352838585</v>
      </c>
      <c r="J3403">
        <v>276255950</v>
      </c>
      <c r="K3403">
        <v>153379576</v>
      </c>
      <c r="L3403">
        <v>133457799</v>
      </c>
      <c r="M3403">
        <v>0</v>
      </c>
      <c r="P3403">
        <v>330</v>
      </c>
      <c r="Q3403" t="s">
        <v>7140</v>
      </c>
    </row>
    <row r="3404" spans="1:17" x14ac:dyDescent="0.3">
      <c r="A3404" t="s">
        <v>17</v>
      </c>
      <c r="B3404" t="str">
        <f>"603028"</f>
        <v>603028</v>
      </c>
      <c r="C3404" t="s">
        <v>7141</v>
      </c>
      <c r="D3404" t="s">
        <v>146</v>
      </c>
      <c r="E3404">
        <v>170762903</v>
      </c>
      <c r="F3404">
        <v>132986083</v>
      </c>
      <c r="G3404">
        <v>95787896</v>
      </c>
      <c r="H3404">
        <v>131759822</v>
      </c>
      <c r="I3404">
        <v>137705506</v>
      </c>
      <c r="J3404">
        <v>109946074</v>
      </c>
      <c r="K3404">
        <v>117295128</v>
      </c>
      <c r="L3404">
        <v>0</v>
      </c>
      <c r="P3404">
        <v>52</v>
      </c>
      <c r="Q3404" t="s">
        <v>7142</v>
      </c>
    </row>
    <row r="3405" spans="1:17" x14ac:dyDescent="0.3">
      <c r="A3405" t="s">
        <v>73</v>
      </c>
      <c r="B3405" t="str">
        <f>"002546"</f>
        <v>002546</v>
      </c>
      <c r="C3405" t="s">
        <v>7143</v>
      </c>
      <c r="D3405" t="s">
        <v>1280</v>
      </c>
      <c r="E3405">
        <v>170501252</v>
      </c>
      <c r="F3405">
        <v>161298523</v>
      </c>
      <c r="G3405">
        <v>282454219</v>
      </c>
      <c r="H3405">
        <v>355942238</v>
      </c>
      <c r="I3405">
        <v>336718853</v>
      </c>
      <c r="J3405">
        <v>379811173</v>
      </c>
      <c r="K3405">
        <v>470515348</v>
      </c>
      <c r="L3405">
        <v>338573454</v>
      </c>
      <c r="M3405">
        <v>188310368</v>
      </c>
      <c r="N3405">
        <v>203077936</v>
      </c>
      <c r="O3405">
        <v>128678654</v>
      </c>
      <c r="P3405">
        <v>76</v>
      </c>
      <c r="Q3405" t="s">
        <v>7144</v>
      </c>
    </row>
    <row r="3406" spans="1:17" x14ac:dyDescent="0.3">
      <c r="A3406" t="s">
        <v>73</v>
      </c>
      <c r="B3406" t="str">
        <f>"003015"</f>
        <v>003015</v>
      </c>
      <c r="C3406" t="s">
        <v>7145</v>
      </c>
      <c r="D3406" t="s">
        <v>477</v>
      </c>
      <c r="E3406">
        <v>170428746</v>
      </c>
      <c r="F3406">
        <v>173592465</v>
      </c>
      <c r="P3406">
        <v>46</v>
      </c>
      <c r="Q3406" t="s">
        <v>7146</v>
      </c>
    </row>
    <row r="3407" spans="1:17" x14ac:dyDescent="0.3">
      <c r="A3407" t="s">
        <v>73</v>
      </c>
      <c r="B3407" t="str">
        <f>"002962"</f>
        <v>002962</v>
      </c>
      <c r="C3407" t="s">
        <v>7147</v>
      </c>
      <c r="D3407" t="s">
        <v>477</v>
      </c>
      <c r="E3407">
        <v>170360042</v>
      </c>
      <c r="F3407">
        <v>158201736</v>
      </c>
      <c r="G3407">
        <v>152788325</v>
      </c>
      <c r="P3407">
        <v>137</v>
      </c>
      <c r="Q3407" t="s">
        <v>7148</v>
      </c>
    </row>
    <row r="3408" spans="1:17" x14ac:dyDescent="0.3">
      <c r="A3408" t="s">
        <v>73</v>
      </c>
      <c r="B3408" t="str">
        <f>"300892"</f>
        <v>300892</v>
      </c>
      <c r="C3408" t="s">
        <v>7149</v>
      </c>
      <c r="D3408" t="s">
        <v>299</v>
      </c>
      <c r="E3408">
        <v>170279014</v>
      </c>
      <c r="F3408">
        <v>120088820</v>
      </c>
      <c r="P3408">
        <v>99</v>
      </c>
      <c r="Q3408" t="s">
        <v>7150</v>
      </c>
    </row>
    <row r="3409" spans="1:17" x14ac:dyDescent="0.3">
      <c r="A3409" t="s">
        <v>17</v>
      </c>
      <c r="B3409" t="str">
        <f>"600059"</f>
        <v>600059</v>
      </c>
      <c r="C3409" t="s">
        <v>7151</v>
      </c>
      <c r="D3409" t="s">
        <v>7055</v>
      </c>
      <c r="E3409">
        <v>170217411</v>
      </c>
      <c r="F3409">
        <v>165473313</v>
      </c>
      <c r="G3409">
        <v>169886104</v>
      </c>
      <c r="H3409">
        <v>171677657</v>
      </c>
      <c r="I3409">
        <v>196171673</v>
      </c>
      <c r="J3409">
        <v>191478583</v>
      </c>
      <c r="K3409">
        <v>156319059</v>
      </c>
      <c r="L3409">
        <v>165703835</v>
      </c>
      <c r="M3409">
        <v>151221696</v>
      </c>
      <c r="N3409">
        <v>155113049</v>
      </c>
      <c r="O3409">
        <v>171653602</v>
      </c>
      <c r="P3409">
        <v>323</v>
      </c>
      <c r="Q3409" t="s">
        <v>7152</v>
      </c>
    </row>
    <row r="3410" spans="1:17" x14ac:dyDescent="0.3">
      <c r="A3410" t="s">
        <v>73</v>
      </c>
      <c r="B3410" t="str">
        <f>"300484"</f>
        <v>300484</v>
      </c>
      <c r="C3410" t="s">
        <v>7153</v>
      </c>
      <c r="D3410" t="s">
        <v>626</v>
      </c>
      <c r="E3410">
        <v>170165702</v>
      </c>
      <c r="F3410">
        <v>163470525</v>
      </c>
      <c r="G3410">
        <v>185294963</v>
      </c>
      <c r="H3410">
        <v>273979724</v>
      </c>
      <c r="I3410">
        <v>244754395</v>
      </c>
      <c r="J3410">
        <v>325050022</v>
      </c>
      <c r="K3410">
        <v>184792573</v>
      </c>
      <c r="L3410">
        <v>0</v>
      </c>
      <c r="P3410">
        <v>219</v>
      </c>
      <c r="Q3410" t="s">
        <v>7154</v>
      </c>
    </row>
    <row r="3411" spans="1:17" x14ac:dyDescent="0.3">
      <c r="A3411" t="s">
        <v>17</v>
      </c>
      <c r="B3411" t="str">
        <f>"603507"</f>
        <v>603507</v>
      </c>
      <c r="C3411" t="s">
        <v>7155</v>
      </c>
      <c r="D3411" t="s">
        <v>778</v>
      </c>
      <c r="E3411">
        <v>169918989</v>
      </c>
      <c r="F3411">
        <v>472261972</v>
      </c>
      <c r="G3411">
        <v>427232980</v>
      </c>
      <c r="H3411">
        <v>338543493</v>
      </c>
      <c r="I3411">
        <v>199120491</v>
      </c>
      <c r="P3411">
        <v>135</v>
      </c>
      <c r="Q3411" t="s">
        <v>7156</v>
      </c>
    </row>
    <row r="3412" spans="1:17" x14ac:dyDescent="0.3">
      <c r="A3412" t="s">
        <v>17</v>
      </c>
      <c r="B3412" t="str">
        <f>"600199"</f>
        <v>600199</v>
      </c>
      <c r="C3412" t="s">
        <v>7157</v>
      </c>
      <c r="D3412" t="s">
        <v>7050</v>
      </c>
      <c r="E3412">
        <v>169760095</v>
      </c>
      <c r="F3412">
        <v>156825633</v>
      </c>
      <c r="G3412">
        <v>114280524</v>
      </c>
      <c r="H3412">
        <v>133355051</v>
      </c>
      <c r="I3412">
        <v>101805088</v>
      </c>
      <c r="J3412">
        <v>94464373</v>
      </c>
      <c r="K3412">
        <v>73424042</v>
      </c>
      <c r="L3412">
        <v>89553248</v>
      </c>
      <c r="M3412">
        <v>86241740</v>
      </c>
      <c r="N3412">
        <v>236415029</v>
      </c>
      <c r="O3412">
        <v>119630566</v>
      </c>
      <c r="P3412">
        <v>383</v>
      </c>
      <c r="Q3412" t="s">
        <v>7158</v>
      </c>
    </row>
    <row r="3413" spans="1:17" x14ac:dyDescent="0.3">
      <c r="A3413" t="s">
        <v>73</v>
      </c>
      <c r="B3413" t="str">
        <f>"000912"</f>
        <v>000912</v>
      </c>
      <c r="C3413" t="s">
        <v>7159</v>
      </c>
      <c r="D3413" t="s">
        <v>2027</v>
      </c>
      <c r="E3413">
        <v>169710386</v>
      </c>
      <c r="F3413">
        <v>50359943</v>
      </c>
      <c r="G3413">
        <v>48508906</v>
      </c>
      <c r="H3413">
        <v>86247763</v>
      </c>
      <c r="I3413">
        <v>27410412</v>
      </c>
      <c r="J3413">
        <v>56449326</v>
      </c>
      <c r="K3413">
        <v>16414622</v>
      </c>
      <c r="L3413">
        <v>87687601</v>
      </c>
      <c r="M3413">
        <v>58371804</v>
      </c>
      <c r="N3413">
        <v>255366969</v>
      </c>
      <c r="O3413">
        <v>99311334</v>
      </c>
      <c r="P3413">
        <v>110</v>
      </c>
      <c r="Q3413" t="s">
        <v>7160</v>
      </c>
    </row>
    <row r="3414" spans="1:17" x14ac:dyDescent="0.3">
      <c r="A3414" t="s">
        <v>73</v>
      </c>
      <c r="B3414" t="str">
        <f>"300797"</f>
        <v>300797</v>
      </c>
      <c r="C3414" t="s">
        <v>7161</v>
      </c>
      <c r="D3414" t="s">
        <v>466</v>
      </c>
      <c r="E3414">
        <v>169706577</v>
      </c>
      <c r="F3414">
        <v>153307022</v>
      </c>
      <c r="G3414">
        <v>156718797</v>
      </c>
      <c r="H3414">
        <v>0</v>
      </c>
      <c r="P3414">
        <v>67</v>
      </c>
      <c r="Q3414" t="s">
        <v>7162</v>
      </c>
    </row>
    <row r="3415" spans="1:17" x14ac:dyDescent="0.3">
      <c r="A3415" t="s">
        <v>73</v>
      </c>
      <c r="B3415" t="str">
        <f>"300262"</f>
        <v>300262</v>
      </c>
      <c r="C3415" t="s">
        <v>7163</v>
      </c>
      <c r="D3415" t="s">
        <v>308</v>
      </c>
      <c r="E3415">
        <v>169628984</v>
      </c>
      <c r="F3415">
        <v>186407441</v>
      </c>
      <c r="G3415">
        <v>331156808</v>
      </c>
      <c r="H3415">
        <v>454093347</v>
      </c>
      <c r="I3415">
        <v>450912282</v>
      </c>
      <c r="J3415">
        <v>366488400</v>
      </c>
      <c r="K3415">
        <v>244676203</v>
      </c>
      <c r="L3415">
        <v>170431166</v>
      </c>
      <c r="M3415">
        <v>104045574</v>
      </c>
      <c r="N3415">
        <v>156398335</v>
      </c>
      <c r="O3415">
        <v>160878694</v>
      </c>
      <c r="P3415">
        <v>127</v>
      </c>
      <c r="Q3415" t="s">
        <v>7164</v>
      </c>
    </row>
    <row r="3416" spans="1:17" x14ac:dyDescent="0.3">
      <c r="A3416" t="s">
        <v>73</v>
      </c>
      <c r="B3416" t="str">
        <f>"300700"</f>
        <v>300700</v>
      </c>
      <c r="C3416" t="s">
        <v>7165</v>
      </c>
      <c r="D3416" t="s">
        <v>3119</v>
      </c>
      <c r="E3416">
        <v>169587880</v>
      </c>
      <c r="F3416">
        <v>109895181</v>
      </c>
      <c r="G3416">
        <v>134083193</v>
      </c>
      <c r="H3416">
        <v>127521154</v>
      </c>
      <c r="I3416">
        <v>129428712</v>
      </c>
      <c r="J3416">
        <v>0</v>
      </c>
      <c r="P3416">
        <v>140</v>
      </c>
      <c r="Q3416" t="s">
        <v>7166</v>
      </c>
    </row>
    <row r="3417" spans="1:17" x14ac:dyDescent="0.3">
      <c r="A3417" t="s">
        <v>17</v>
      </c>
      <c r="B3417" t="str">
        <f>"601678"</f>
        <v>601678</v>
      </c>
      <c r="C3417" t="s">
        <v>7167</v>
      </c>
      <c r="D3417" t="s">
        <v>641</v>
      </c>
      <c r="E3417">
        <v>169556598</v>
      </c>
      <c r="F3417">
        <v>110559634</v>
      </c>
      <c r="G3417">
        <v>157673106</v>
      </c>
      <c r="H3417">
        <v>194167304</v>
      </c>
      <c r="I3417">
        <v>167822523</v>
      </c>
      <c r="J3417">
        <v>195450424</v>
      </c>
      <c r="K3417">
        <v>185543335</v>
      </c>
      <c r="L3417">
        <v>254164392</v>
      </c>
      <c r="M3417">
        <v>316938524</v>
      </c>
      <c r="N3417">
        <v>221524244</v>
      </c>
      <c r="O3417">
        <v>90389310</v>
      </c>
      <c r="P3417">
        <v>353</v>
      </c>
      <c r="Q3417" t="s">
        <v>7168</v>
      </c>
    </row>
    <row r="3418" spans="1:17" x14ac:dyDescent="0.3">
      <c r="A3418" t="s">
        <v>73</v>
      </c>
      <c r="B3418" t="str">
        <f>"000564"</f>
        <v>000564</v>
      </c>
      <c r="C3418" t="s">
        <v>7169</v>
      </c>
      <c r="D3418" t="s">
        <v>638</v>
      </c>
      <c r="E3418">
        <v>168987560</v>
      </c>
      <c r="F3418">
        <v>155550515</v>
      </c>
      <c r="G3418">
        <v>800850793</v>
      </c>
      <c r="H3418">
        <v>734289923</v>
      </c>
      <c r="I3418">
        <v>1049305115</v>
      </c>
      <c r="J3418">
        <v>308387068</v>
      </c>
      <c r="K3418">
        <v>20767327</v>
      </c>
      <c r="L3418">
        <v>23113581</v>
      </c>
      <c r="M3418">
        <v>17532957</v>
      </c>
      <c r="N3418">
        <v>32742834</v>
      </c>
      <c r="O3418">
        <v>38150412</v>
      </c>
      <c r="P3418">
        <v>187</v>
      </c>
      <c r="Q3418" t="s">
        <v>7170</v>
      </c>
    </row>
    <row r="3419" spans="1:17" x14ac:dyDescent="0.3">
      <c r="A3419" t="s">
        <v>17</v>
      </c>
      <c r="B3419" t="str">
        <f>"688682"</f>
        <v>688682</v>
      </c>
      <c r="C3419" t="s">
        <v>7171</v>
      </c>
      <c r="D3419" t="s">
        <v>502</v>
      </c>
      <c r="E3419">
        <v>168984237</v>
      </c>
      <c r="F3419">
        <v>74504273</v>
      </c>
      <c r="P3419">
        <v>33</v>
      </c>
      <c r="Q3419" t="s">
        <v>7172</v>
      </c>
    </row>
    <row r="3420" spans="1:17" x14ac:dyDescent="0.3">
      <c r="A3420" t="s">
        <v>17</v>
      </c>
      <c r="B3420" t="str">
        <f>"688335"</f>
        <v>688335</v>
      </c>
      <c r="C3420" t="s">
        <v>7173</v>
      </c>
      <c r="D3420" t="s">
        <v>308</v>
      </c>
      <c r="E3420">
        <v>168571485</v>
      </c>
      <c r="F3420">
        <v>98530669</v>
      </c>
      <c r="G3420">
        <v>86259230</v>
      </c>
      <c r="H3420">
        <v>0</v>
      </c>
      <c r="I3420">
        <v>22680378</v>
      </c>
      <c r="P3420">
        <v>61</v>
      </c>
      <c r="Q3420" t="s">
        <v>7174</v>
      </c>
    </row>
    <row r="3421" spans="1:17" x14ac:dyDescent="0.3">
      <c r="A3421" t="s">
        <v>17</v>
      </c>
      <c r="B3421" t="str">
        <f>"688555"</f>
        <v>688555</v>
      </c>
      <c r="C3421" t="s">
        <v>7175</v>
      </c>
      <c r="D3421" t="s">
        <v>795</v>
      </c>
      <c r="E3421">
        <v>168484989</v>
      </c>
      <c r="F3421">
        <v>86245804</v>
      </c>
      <c r="G3421">
        <v>60666065</v>
      </c>
      <c r="H3421">
        <v>0</v>
      </c>
      <c r="P3421">
        <v>55</v>
      </c>
      <c r="Q3421" t="s">
        <v>7176</v>
      </c>
    </row>
    <row r="3422" spans="1:17" x14ac:dyDescent="0.3">
      <c r="A3422" t="s">
        <v>73</v>
      </c>
      <c r="B3422" t="str">
        <f>"003007"</f>
        <v>003007</v>
      </c>
      <c r="C3422" t="s">
        <v>7177</v>
      </c>
      <c r="D3422" t="s">
        <v>795</v>
      </c>
      <c r="E3422">
        <v>168420372</v>
      </c>
      <c r="F3422">
        <v>162570261</v>
      </c>
      <c r="P3422">
        <v>38</v>
      </c>
      <c r="Q3422" t="s">
        <v>7178</v>
      </c>
    </row>
    <row r="3423" spans="1:17" x14ac:dyDescent="0.3">
      <c r="A3423" t="s">
        <v>73</v>
      </c>
      <c r="B3423" t="str">
        <f>"001205"</f>
        <v>001205</v>
      </c>
      <c r="C3423" t="s">
        <v>7179</v>
      </c>
      <c r="D3423" t="s">
        <v>246</v>
      </c>
      <c r="E3423">
        <v>168198242</v>
      </c>
      <c r="F3423">
        <v>85133581</v>
      </c>
      <c r="P3423">
        <v>44</v>
      </c>
      <c r="Q3423" t="s">
        <v>7180</v>
      </c>
    </row>
    <row r="3424" spans="1:17" x14ac:dyDescent="0.3">
      <c r="A3424" t="s">
        <v>73</v>
      </c>
      <c r="B3424" t="str">
        <f>"002883"</f>
        <v>002883</v>
      </c>
      <c r="C3424" t="s">
        <v>7181</v>
      </c>
      <c r="D3424" t="s">
        <v>661</v>
      </c>
      <c r="E3424">
        <v>168177880</v>
      </c>
      <c r="F3424">
        <v>141344680</v>
      </c>
      <c r="G3424">
        <v>361993265</v>
      </c>
      <c r="H3424">
        <v>286162183</v>
      </c>
      <c r="I3424">
        <v>174076031</v>
      </c>
      <c r="J3424">
        <v>0</v>
      </c>
      <c r="P3424">
        <v>102</v>
      </c>
      <c r="Q3424" t="s">
        <v>7182</v>
      </c>
    </row>
    <row r="3425" spans="1:17" x14ac:dyDescent="0.3">
      <c r="A3425" t="s">
        <v>73</v>
      </c>
      <c r="B3425" t="str">
        <f>"300269"</f>
        <v>300269</v>
      </c>
      <c r="C3425" t="s">
        <v>7183</v>
      </c>
      <c r="D3425" t="s">
        <v>425</v>
      </c>
      <c r="E3425">
        <v>168157574</v>
      </c>
      <c r="F3425">
        <v>136214734</v>
      </c>
      <c r="G3425">
        <v>434258768</v>
      </c>
      <c r="H3425">
        <v>770514473</v>
      </c>
      <c r="I3425">
        <v>993528280</v>
      </c>
      <c r="J3425">
        <v>843716627</v>
      </c>
      <c r="K3425">
        <v>612862629</v>
      </c>
      <c r="L3425">
        <v>469091483</v>
      </c>
      <c r="M3425">
        <v>236675221</v>
      </c>
      <c r="N3425">
        <v>271832392</v>
      </c>
      <c r="O3425">
        <v>199255715</v>
      </c>
      <c r="P3425">
        <v>125</v>
      </c>
      <c r="Q3425" t="s">
        <v>7184</v>
      </c>
    </row>
    <row r="3426" spans="1:17" x14ac:dyDescent="0.3">
      <c r="A3426" t="s">
        <v>17</v>
      </c>
      <c r="B3426" t="str">
        <f>"688369"</f>
        <v>688369</v>
      </c>
      <c r="C3426" t="s">
        <v>7185</v>
      </c>
      <c r="D3426" t="s">
        <v>404</v>
      </c>
      <c r="E3426">
        <v>167771451</v>
      </c>
      <c r="F3426">
        <v>115936971</v>
      </c>
      <c r="G3426">
        <v>87157601</v>
      </c>
      <c r="P3426">
        <v>168</v>
      </c>
      <c r="Q3426" t="s">
        <v>7186</v>
      </c>
    </row>
    <row r="3427" spans="1:17" x14ac:dyDescent="0.3">
      <c r="A3427" t="s">
        <v>73</v>
      </c>
      <c r="B3427" t="str">
        <f>"003043"</f>
        <v>003043</v>
      </c>
      <c r="C3427" t="s">
        <v>7187</v>
      </c>
      <c r="D3427" t="s">
        <v>1291</v>
      </c>
      <c r="E3427">
        <v>167489337</v>
      </c>
      <c r="F3427">
        <v>118488234</v>
      </c>
      <c r="P3427">
        <v>46</v>
      </c>
      <c r="Q3427" t="s">
        <v>7188</v>
      </c>
    </row>
    <row r="3428" spans="1:17" x14ac:dyDescent="0.3">
      <c r="A3428" t="s">
        <v>17</v>
      </c>
      <c r="B3428" t="str">
        <f>"688138"</f>
        <v>688138</v>
      </c>
      <c r="C3428" t="s">
        <v>7189</v>
      </c>
      <c r="D3428" t="s">
        <v>354</v>
      </c>
      <c r="E3428">
        <v>167450325</v>
      </c>
      <c r="F3428">
        <v>119342986</v>
      </c>
      <c r="G3428">
        <v>141707746</v>
      </c>
      <c r="P3428">
        <v>92</v>
      </c>
      <c r="Q3428" t="s">
        <v>7190</v>
      </c>
    </row>
    <row r="3429" spans="1:17" x14ac:dyDescent="0.3">
      <c r="A3429" t="s">
        <v>73</v>
      </c>
      <c r="B3429" t="str">
        <f>"300654"</f>
        <v>300654</v>
      </c>
      <c r="C3429" t="s">
        <v>7191</v>
      </c>
      <c r="D3429" t="s">
        <v>1316</v>
      </c>
      <c r="E3429">
        <v>167388744</v>
      </c>
      <c r="F3429">
        <v>167416750</v>
      </c>
      <c r="G3429">
        <v>133788423</v>
      </c>
      <c r="H3429">
        <v>136552377</v>
      </c>
      <c r="I3429">
        <v>174878764</v>
      </c>
      <c r="J3429">
        <v>0</v>
      </c>
      <c r="P3429">
        <v>73</v>
      </c>
      <c r="Q3429" t="s">
        <v>7192</v>
      </c>
    </row>
    <row r="3430" spans="1:17" x14ac:dyDescent="0.3">
      <c r="A3430" t="s">
        <v>17</v>
      </c>
      <c r="B3430" t="str">
        <f>"600257"</f>
        <v>600257</v>
      </c>
      <c r="C3430" t="s">
        <v>7193</v>
      </c>
      <c r="D3430" t="s">
        <v>3754</v>
      </c>
      <c r="E3430">
        <v>167307128</v>
      </c>
      <c r="F3430">
        <v>176310750</v>
      </c>
      <c r="G3430">
        <v>166579651</v>
      </c>
      <c r="H3430">
        <v>148777963</v>
      </c>
      <c r="I3430">
        <v>86383651</v>
      </c>
      <c r="J3430">
        <v>89438431</v>
      </c>
      <c r="K3430">
        <v>68685802</v>
      </c>
      <c r="L3430">
        <v>52415401</v>
      </c>
      <c r="M3430">
        <v>44171230</v>
      </c>
      <c r="N3430">
        <v>55109731</v>
      </c>
      <c r="O3430">
        <v>55405184</v>
      </c>
      <c r="P3430">
        <v>96</v>
      </c>
      <c r="Q3430" t="s">
        <v>7194</v>
      </c>
    </row>
    <row r="3431" spans="1:17" x14ac:dyDescent="0.3">
      <c r="A3431" t="s">
        <v>73</v>
      </c>
      <c r="B3431" t="str">
        <f>"002661"</f>
        <v>002661</v>
      </c>
      <c r="C3431" t="s">
        <v>7195</v>
      </c>
      <c r="D3431" t="s">
        <v>2469</v>
      </c>
      <c r="E3431">
        <v>167177535</v>
      </c>
      <c r="F3431">
        <v>153041485</v>
      </c>
      <c r="G3431">
        <v>225536157</v>
      </c>
      <c r="H3431">
        <v>243257210</v>
      </c>
      <c r="I3431">
        <v>263147448</v>
      </c>
      <c r="J3431">
        <v>318770766</v>
      </c>
      <c r="K3431">
        <v>277555204</v>
      </c>
      <c r="L3431">
        <v>172848655</v>
      </c>
      <c r="M3431">
        <v>166719814</v>
      </c>
      <c r="N3431">
        <v>73105261</v>
      </c>
      <c r="O3431">
        <v>41289875</v>
      </c>
      <c r="P3431">
        <v>511</v>
      </c>
      <c r="Q3431" t="s">
        <v>7196</v>
      </c>
    </row>
    <row r="3432" spans="1:17" x14ac:dyDescent="0.3">
      <c r="A3432" t="s">
        <v>17</v>
      </c>
      <c r="B3432" t="str">
        <f>"603999"</f>
        <v>603999</v>
      </c>
      <c r="C3432" t="s">
        <v>7197</v>
      </c>
      <c r="D3432" t="s">
        <v>1921</v>
      </c>
      <c r="E3432">
        <v>167156392</v>
      </c>
      <c r="F3432">
        <v>183274144</v>
      </c>
      <c r="G3432">
        <v>194858207</v>
      </c>
      <c r="H3432">
        <v>189913180</v>
      </c>
      <c r="I3432">
        <v>168251415</v>
      </c>
      <c r="J3432">
        <v>129120040</v>
      </c>
      <c r="K3432">
        <v>169294959</v>
      </c>
      <c r="L3432">
        <v>0</v>
      </c>
      <c r="M3432">
        <v>0</v>
      </c>
      <c r="P3432">
        <v>85</v>
      </c>
      <c r="Q3432" t="s">
        <v>7198</v>
      </c>
    </row>
    <row r="3433" spans="1:17" x14ac:dyDescent="0.3">
      <c r="A3433" t="s">
        <v>17</v>
      </c>
      <c r="B3433" t="str">
        <f>"688218"</f>
        <v>688218</v>
      </c>
      <c r="C3433" t="s">
        <v>7199</v>
      </c>
      <c r="D3433" t="s">
        <v>2121</v>
      </c>
      <c r="E3433">
        <v>167114477</v>
      </c>
      <c r="F3433">
        <v>224755389</v>
      </c>
      <c r="G3433">
        <v>178665283</v>
      </c>
      <c r="H3433">
        <v>92335391</v>
      </c>
      <c r="I3433">
        <v>58305674</v>
      </c>
      <c r="P3433">
        <v>47</v>
      </c>
      <c r="Q3433" t="s">
        <v>7200</v>
      </c>
    </row>
    <row r="3434" spans="1:17" x14ac:dyDescent="0.3">
      <c r="A3434" t="s">
        <v>73</v>
      </c>
      <c r="B3434" t="str">
        <f>"300357"</f>
        <v>300357</v>
      </c>
      <c r="C3434" t="s">
        <v>7201</v>
      </c>
      <c r="D3434" t="s">
        <v>1505</v>
      </c>
      <c r="E3434">
        <v>167008516</v>
      </c>
      <c r="F3434">
        <v>145897281</v>
      </c>
      <c r="G3434">
        <v>126755619</v>
      </c>
      <c r="H3434">
        <v>125675348</v>
      </c>
      <c r="I3434">
        <v>117249658</v>
      </c>
      <c r="J3434">
        <v>92598094</v>
      </c>
      <c r="K3434">
        <v>82808634</v>
      </c>
      <c r="L3434">
        <v>72817466</v>
      </c>
      <c r="M3434">
        <v>76761630</v>
      </c>
      <c r="N3434">
        <v>0</v>
      </c>
      <c r="P3434">
        <v>31270</v>
      </c>
      <c r="Q3434" t="s">
        <v>7202</v>
      </c>
    </row>
    <row r="3435" spans="1:17" x14ac:dyDescent="0.3">
      <c r="A3435" t="s">
        <v>17</v>
      </c>
      <c r="B3435" t="str">
        <f>"605580"</f>
        <v>605580</v>
      </c>
      <c r="C3435" t="s">
        <v>7203</v>
      </c>
      <c r="D3435" t="s">
        <v>1106</v>
      </c>
      <c r="E3435">
        <v>166979048</v>
      </c>
      <c r="F3435">
        <v>133096682</v>
      </c>
      <c r="P3435">
        <v>30</v>
      </c>
      <c r="Q3435" t="s">
        <v>7204</v>
      </c>
    </row>
    <row r="3436" spans="1:17" x14ac:dyDescent="0.3">
      <c r="A3436" t="s">
        <v>73</v>
      </c>
      <c r="B3436" t="str">
        <f>"300938"</f>
        <v>300938</v>
      </c>
      <c r="C3436" t="s">
        <v>7205</v>
      </c>
      <c r="D3436" t="s">
        <v>2608</v>
      </c>
      <c r="E3436">
        <v>166704336</v>
      </c>
      <c r="F3436">
        <v>79587002</v>
      </c>
      <c r="P3436">
        <v>43</v>
      </c>
      <c r="Q3436" t="s">
        <v>7206</v>
      </c>
    </row>
    <row r="3437" spans="1:17" x14ac:dyDescent="0.3">
      <c r="A3437" t="s">
        <v>17</v>
      </c>
      <c r="B3437" t="str">
        <f>"603286"</f>
        <v>603286</v>
      </c>
      <c r="C3437" t="s">
        <v>7207</v>
      </c>
      <c r="D3437" t="s">
        <v>122</v>
      </c>
      <c r="E3437">
        <v>166555728</v>
      </c>
      <c r="F3437">
        <v>146978151</v>
      </c>
      <c r="G3437">
        <v>83143583</v>
      </c>
      <c r="H3437">
        <v>102632147</v>
      </c>
      <c r="I3437">
        <v>74446731</v>
      </c>
      <c r="J3437">
        <v>68079106</v>
      </c>
      <c r="P3437">
        <v>66</v>
      </c>
      <c r="Q3437" t="s">
        <v>7208</v>
      </c>
    </row>
    <row r="3438" spans="1:17" x14ac:dyDescent="0.3">
      <c r="A3438" t="s">
        <v>17</v>
      </c>
      <c r="B3438" t="str">
        <f>"603068"</f>
        <v>603068</v>
      </c>
      <c r="C3438" t="s">
        <v>7209</v>
      </c>
      <c r="D3438" t="s">
        <v>3360</v>
      </c>
      <c r="E3438">
        <v>166424020</v>
      </c>
      <c r="F3438">
        <v>204027676</v>
      </c>
      <c r="G3438">
        <v>183246803</v>
      </c>
      <c r="H3438">
        <v>114398561</v>
      </c>
      <c r="P3438">
        <v>345</v>
      </c>
      <c r="Q3438" t="s">
        <v>7210</v>
      </c>
    </row>
    <row r="3439" spans="1:17" x14ac:dyDescent="0.3">
      <c r="A3439" t="s">
        <v>73</v>
      </c>
      <c r="B3439" t="str">
        <f>"000532"</f>
        <v>000532</v>
      </c>
      <c r="C3439" t="s">
        <v>7211</v>
      </c>
      <c r="D3439" t="s">
        <v>7212</v>
      </c>
      <c r="E3439">
        <v>166409195</v>
      </c>
      <c r="F3439">
        <v>110407102</v>
      </c>
      <c r="G3439">
        <v>111680328</v>
      </c>
      <c r="H3439">
        <v>190128513</v>
      </c>
      <c r="I3439">
        <v>148108885</v>
      </c>
      <c r="J3439">
        <v>105831959</v>
      </c>
      <c r="K3439">
        <v>68613666</v>
      </c>
      <c r="L3439">
        <v>54956539</v>
      </c>
      <c r="M3439">
        <v>71200666</v>
      </c>
      <c r="N3439">
        <v>70976714</v>
      </c>
      <c r="O3439">
        <v>52606842</v>
      </c>
      <c r="P3439">
        <v>140</v>
      </c>
      <c r="Q3439" t="s">
        <v>7213</v>
      </c>
    </row>
    <row r="3440" spans="1:17" x14ac:dyDescent="0.3">
      <c r="A3440" t="s">
        <v>17</v>
      </c>
      <c r="B3440" t="str">
        <f>"600212"</f>
        <v>600212</v>
      </c>
      <c r="C3440" t="s">
        <v>7214</v>
      </c>
      <c r="D3440" t="s">
        <v>466</v>
      </c>
      <c r="E3440">
        <v>165944615</v>
      </c>
      <c r="F3440">
        <v>34308085</v>
      </c>
      <c r="G3440">
        <v>26137929</v>
      </c>
      <c r="H3440">
        <v>35031248</v>
      </c>
      <c r="I3440">
        <v>111021857</v>
      </c>
      <c r="J3440">
        <v>135213007</v>
      </c>
      <c r="K3440">
        <v>200824582</v>
      </c>
      <c r="L3440">
        <v>177198546</v>
      </c>
      <c r="M3440">
        <v>118779511</v>
      </c>
      <c r="N3440">
        <v>62014782</v>
      </c>
      <c r="O3440">
        <v>70548073</v>
      </c>
      <c r="P3440">
        <v>56</v>
      </c>
      <c r="Q3440" t="s">
        <v>7215</v>
      </c>
    </row>
    <row r="3441" spans="1:17" x14ac:dyDescent="0.3">
      <c r="A3441" t="s">
        <v>73</v>
      </c>
      <c r="B3441" t="str">
        <f>"300971"</f>
        <v>300971</v>
      </c>
      <c r="C3441" t="s">
        <v>7216</v>
      </c>
      <c r="D3441" t="s">
        <v>1451</v>
      </c>
      <c r="E3441">
        <v>165845792</v>
      </c>
      <c r="F3441">
        <v>169006591</v>
      </c>
      <c r="P3441">
        <v>39</v>
      </c>
      <c r="Q3441" t="s">
        <v>7217</v>
      </c>
    </row>
    <row r="3442" spans="1:17" x14ac:dyDescent="0.3">
      <c r="A3442" t="s">
        <v>73</v>
      </c>
      <c r="B3442" t="str">
        <f>"002502"</f>
        <v>002502</v>
      </c>
      <c r="C3442" t="s">
        <v>7218</v>
      </c>
      <c r="D3442" t="s">
        <v>1306</v>
      </c>
      <c r="E3442">
        <v>165792662</v>
      </c>
      <c r="F3442">
        <v>84931190</v>
      </c>
      <c r="G3442">
        <v>176336734</v>
      </c>
      <c r="H3442">
        <v>442190181</v>
      </c>
      <c r="I3442">
        <v>217394772</v>
      </c>
      <c r="J3442">
        <v>91961348</v>
      </c>
      <c r="K3442">
        <v>337101231</v>
      </c>
      <c r="L3442">
        <v>200113228</v>
      </c>
      <c r="M3442">
        <v>167049938</v>
      </c>
      <c r="N3442">
        <v>166230450</v>
      </c>
      <c r="O3442">
        <v>121848087</v>
      </c>
      <c r="P3442">
        <v>117</v>
      </c>
      <c r="Q3442" t="s">
        <v>7219</v>
      </c>
    </row>
    <row r="3443" spans="1:17" x14ac:dyDescent="0.3">
      <c r="A3443" t="s">
        <v>17</v>
      </c>
      <c r="B3443" t="str">
        <f>"603222"</f>
        <v>603222</v>
      </c>
      <c r="C3443" t="s">
        <v>7220</v>
      </c>
      <c r="D3443" t="s">
        <v>1523</v>
      </c>
      <c r="E3443">
        <v>165580319</v>
      </c>
      <c r="F3443">
        <v>212932092</v>
      </c>
      <c r="G3443">
        <v>158389464</v>
      </c>
      <c r="H3443">
        <v>219417954</v>
      </c>
      <c r="I3443">
        <v>195424714</v>
      </c>
      <c r="J3443">
        <v>160903544</v>
      </c>
      <c r="K3443">
        <v>143885213</v>
      </c>
      <c r="L3443">
        <v>159352034</v>
      </c>
      <c r="M3443">
        <v>0</v>
      </c>
      <c r="P3443">
        <v>171</v>
      </c>
      <c r="Q3443" t="s">
        <v>7221</v>
      </c>
    </row>
    <row r="3444" spans="1:17" x14ac:dyDescent="0.3">
      <c r="A3444" t="s">
        <v>73</v>
      </c>
      <c r="B3444" t="str">
        <f>"300399"</f>
        <v>300399</v>
      </c>
      <c r="C3444" t="s">
        <v>7222</v>
      </c>
      <c r="D3444" t="s">
        <v>302</v>
      </c>
      <c r="E3444">
        <v>165001238</v>
      </c>
      <c r="F3444">
        <v>38311997</v>
      </c>
      <c r="G3444">
        <v>39499767</v>
      </c>
      <c r="H3444">
        <v>52376537</v>
      </c>
      <c r="I3444">
        <v>54949044</v>
      </c>
      <c r="J3444">
        <v>59089023</v>
      </c>
      <c r="K3444">
        <v>41556130</v>
      </c>
      <c r="L3444">
        <v>17087178</v>
      </c>
      <c r="M3444">
        <v>0</v>
      </c>
      <c r="P3444">
        <v>80</v>
      </c>
      <c r="Q3444" t="s">
        <v>7223</v>
      </c>
    </row>
    <row r="3445" spans="1:17" x14ac:dyDescent="0.3">
      <c r="A3445" t="s">
        <v>73</v>
      </c>
      <c r="B3445" t="str">
        <f>"300356"</f>
        <v>300356</v>
      </c>
      <c r="C3445" t="s">
        <v>7224</v>
      </c>
      <c r="D3445" t="s">
        <v>1280</v>
      </c>
      <c r="E3445">
        <v>164956196</v>
      </c>
      <c r="F3445">
        <v>204798698</v>
      </c>
      <c r="G3445">
        <v>312381272</v>
      </c>
      <c r="H3445">
        <v>412450744</v>
      </c>
      <c r="I3445">
        <v>534737489</v>
      </c>
      <c r="J3445">
        <v>681895411</v>
      </c>
      <c r="K3445">
        <v>739317671</v>
      </c>
      <c r="L3445">
        <v>575360143</v>
      </c>
      <c r="M3445">
        <v>246251012</v>
      </c>
      <c r="N3445">
        <v>148048793</v>
      </c>
      <c r="O3445">
        <v>0</v>
      </c>
      <c r="P3445">
        <v>67</v>
      </c>
      <c r="Q3445" t="s">
        <v>7225</v>
      </c>
    </row>
    <row r="3446" spans="1:17" x14ac:dyDescent="0.3">
      <c r="A3446" t="s">
        <v>73</v>
      </c>
      <c r="B3446" t="str">
        <f>"002231"</f>
        <v>002231</v>
      </c>
      <c r="C3446" t="s">
        <v>7226</v>
      </c>
      <c r="D3446" t="s">
        <v>502</v>
      </c>
      <c r="E3446">
        <v>164652331</v>
      </c>
      <c r="F3446">
        <v>103086073</v>
      </c>
      <c r="G3446">
        <v>189696952</v>
      </c>
      <c r="H3446">
        <v>160716761</v>
      </c>
      <c r="I3446">
        <v>273493985</v>
      </c>
      <c r="J3446">
        <v>380930120</v>
      </c>
      <c r="K3446">
        <v>379319295</v>
      </c>
      <c r="L3446">
        <v>372628275</v>
      </c>
      <c r="M3446">
        <v>357345014</v>
      </c>
      <c r="N3446">
        <v>334200805</v>
      </c>
      <c r="O3446">
        <v>272430254</v>
      </c>
      <c r="P3446">
        <v>155</v>
      </c>
      <c r="Q3446" t="s">
        <v>7227</v>
      </c>
    </row>
    <row r="3447" spans="1:17" x14ac:dyDescent="0.3">
      <c r="A3447" t="s">
        <v>73</v>
      </c>
      <c r="B3447" t="str">
        <f>"000005"</f>
        <v>000005</v>
      </c>
      <c r="C3447" t="s">
        <v>7228</v>
      </c>
      <c r="D3447" t="s">
        <v>472</v>
      </c>
      <c r="E3447">
        <v>164536393</v>
      </c>
      <c r="F3447">
        <v>333281428</v>
      </c>
      <c r="G3447">
        <v>353821308</v>
      </c>
      <c r="H3447">
        <v>281873970</v>
      </c>
      <c r="I3447">
        <v>194990041</v>
      </c>
      <c r="J3447">
        <v>153064059</v>
      </c>
      <c r="K3447">
        <v>74310800</v>
      </c>
      <c r="L3447">
        <v>1072895</v>
      </c>
      <c r="M3447">
        <v>2393682</v>
      </c>
      <c r="N3447">
        <v>259537</v>
      </c>
      <c r="O3447">
        <v>2188344</v>
      </c>
      <c r="P3447">
        <v>87</v>
      </c>
      <c r="Q3447" t="s">
        <v>7229</v>
      </c>
    </row>
    <row r="3448" spans="1:17" x14ac:dyDescent="0.3">
      <c r="A3448" t="s">
        <v>73</v>
      </c>
      <c r="B3448" t="str">
        <f>"000422"</f>
        <v>000422</v>
      </c>
      <c r="C3448" t="s">
        <v>7230</v>
      </c>
      <c r="D3448" t="s">
        <v>641</v>
      </c>
      <c r="E3448">
        <v>164394219</v>
      </c>
      <c r="F3448">
        <v>177523006</v>
      </c>
      <c r="G3448">
        <v>124954552</v>
      </c>
      <c r="H3448">
        <v>140061220</v>
      </c>
      <c r="I3448">
        <v>375279821</v>
      </c>
      <c r="J3448">
        <v>469409837</v>
      </c>
      <c r="K3448">
        <v>491008571</v>
      </c>
      <c r="L3448">
        <v>775487984</v>
      </c>
      <c r="M3448">
        <v>620473779</v>
      </c>
      <c r="N3448">
        <v>702968404</v>
      </c>
      <c r="O3448">
        <v>457677466</v>
      </c>
      <c r="P3448">
        <v>257</v>
      </c>
      <c r="Q3448" t="s">
        <v>7231</v>
      </c>
    </row>
    <row r="3449" spans="1:17" x14ac:dyDescent="0.3">
      <c r="A3449" t="s">
        <v>17</v>
      </c>
      <c r="B3449" t="str">
        <f>"600328"</f>
        <v>600328</v>
      </c>
      <c r="C3449" t="s">
        <v>7232</v>
      </c>
      <c r="D3449" t="s">
        <v>2246</v>
      </c>
      <c r="E3449">
        <v>164381110</v>
      </c>
      <c r="F3449">
        <v>300363813</v>
      </c>
      <c r="G3449">
        <v>464892838</v>
      </c>
      <c r="H3449">
        <v>346132820</v>
      </c>
      <c r="I3449">
        <v>274877709</v>
      </c>
      <c r="J3449">
        <v>260157250</v>
      </c>
      <c r="K3449">
        <v>364869115</v>
      </c>
      <c r="L3449">
        <v>368952978</v>
      </c>
      <c r="M3449">
        <v>328283718</v>
      </c>
      <c r="N3449">
        <v>330808226</v>
      </c>
      <c r="O3449">
        <v>229064117</v>
      </c>
      <c r="P3449">
        <v>263</v>
      </c>
      <c r="Q3449" t="s">
        <v>7233</v>
      </c>
    </row>
    <row r="3450" spans="1:17" x14ac:dyDescent="0.3">
      <c r="A3450" t="s">
        <v>17</v>
      </c>
      <c r="B3450" t="str">
        <f>"600770"</f>
        <v>600770</v>
      </c>
      <c r="C3450" t="s">
        <v>7234</v>
      </c>
      <c r="D3450" t="s">
        <v>466</v>
      </c>
      <c r="E3450">
        <v>164312801</v>
      </c>
      <c r="F3450">
        <v>165079851</v>
      </c>
      <c r="G3450">
        <v>164020389</v>
      </c>
      <c r="H3450">
        <v>228085546</v>
      </c>
      <c r="I3450">
        <v>355259477</v>
      </c>
      <c r="J3450">
        <v>316141077</v>
      </c>
      <c r="K3450">
        <v>323133667</v>
      </c>
      <c r="L3450">
        <v>244642085</v>
      </c>
      <c r="M3450">
        <v>225089430</v>
      </c>
      <c r="N3450">
        <v>419081737</v>
      </c>
      <c r="O3450">
        <v>765192505</v>
      </c>
      <c r="P3450">
        <v>3055</v>
      </c>
      <c r="Q3450" t="s">
        <v>7235</v>
      </c>
    </row>
    <row r="3451" spans="1:17" x14ac:dyDescent="0.3">
      <c r="A3451" t="s">
        <v>73</v>
      </c>
      <c r="B3451" t="str">
        <f>"300641"</f>
        <v>300641</v>
      </c>
      <c r="C3451" t="s">
        <v>7236</v>
      </c>
      <c r="D3451" t="s">
        <v>588</v>
      </c>
      <c r="E3451">
        <v>164267709</v>
      </c>
      <c r="F3451">
        <v>191869571</v>
      </c>
      <c r="G3451">
        <v>144092013</v>
      </c>
      <c r="H3451">
        <v>162206636</v>
      </c>
      <c r="I3451">
        <v>134216136</v>
      </c>
      <c r="J3451">
        <v>115492760</v>
      </c>
      <c r="K3451">
        <v>0</v>
      </c>
      <c r="P3451">
        <v>79</v>
      </c>
      <c r="Q3451" t="s">
        <v>7237</v>
      </c>
    </row>
    <row r="3452" spans="1:17" x14ac:dyDescent="0.3">
      <c r="A3452" t="s">
        <v>73</v>
      </c>
      <c r="B3452" t="str">
        <f>"300397"</f>
        <v>300397</v>
      </c>
      <c r="C3452" t="s">
        <v>7238</v>
      </c>
      <c r="D3452" t="s">
        <v>130</v>
      </c>
      <c r="E3452">
        <v>164128974</v>
      </c>
      <c r="F3452">
        <v>264109076</v>
      </c>
      <c r="G3452">
        <v>415398561</v>
      </c>
      <c r="H3452">
        <v>244155438</v>
      </c>
      <c r="I3452">
        <v>238750685</v>
      </c>
      <c r="J3452">
        <v>432909596</v>
      </c>
      <c r="K3452">
        <v>375121768</v>
      </c>
      <c r="L3452">
        <v>376506755</v>
      </c>
      <c r="M3452">
        <v>0</v>
      </c>
      <c r="P3452">
        <v>232</v>
      </c>
      <c r="Q3452" t="s">
        <v>7239</v>
      </c>
    </row>
    <row r="3453" spans="1:17" x14ac:dyDescent="0.3">
      <c r="A3453" t="s">
        <v>17</v>
      </c>
      <c r="B3453" t="str">
        <f>"688288"</f>
        <v>688288</v>
      </c>
      <c r="C3453" t="s">
        <v>7240</v>
      </c>
      <c r="D3453" t="s">
        <v>158</v>
      </c>
      <c r="E3453">
        <v>163191471</v>
      </c>
      <c r="F3453">
        <v>194440986</v>
      </c>
      <c r="G3453">
        <v>150291776</v>
      </c>
      <c r="H3453">
        <v>0</v>
      </c>
      <c r="P3453">
        <v>110</v>
      </c>
      <c r="Q3453" t="s">
        <v>7241</v>
      </c>
    </row>
    <row r="3454" spans="1:17" x14ac:dyDescent="0.3">
      <c r="A3454" t="s">
        <v>73</v>
      </c>
      <c r="B3454" t="str">
        <f>"002238"</f>
        <v>002238</v>
      </c>
      <c r="C3454" t="s">
        <v>7242</v>
      </c>
      <c r="D3454" t="s">
        <v>1040</v>
      </c>
      <c r="E3454">
        <v>163151542</v>
      </c>
      <c r="F3454">
        <v>126034349</v>
      </c>
      <c r="G3454">
        <v>104172352</v>
      </c>
      <c r="H3454">
        <v>84509546</v>
      </c>
      <c r="I3454">
        <v>84486481</v>
      </c>
      <c r="J3454">
        <v>77315540</v>
      </c>
      <c r="K3454">
        <v>70182781</v>
      </c>
      <c r="L3454">
        <v>67944107</v>
      </c>
      <c r="M3454">
        <v>46573354</v>
      </c>
      <c r="N3454">
        <v>46557791</v>
      </c>
      <c r="O3454">
        <v>38763378</v>
      </c>
      <c r="P3454">
        <v>205</v>
      </c>
      <c r="Q3454" t="s">
        <v>7243</v>
      </c>
    </row>
    <row r="3455" spans="1:17" x14ac:dyDescent="0.3">
      <c r="A3455" t="s">
        <v>17</v>
      </c>
      <c r="B3455" t="str">
        <f>"605378"</f>
        <v>605378</v>
      </c>
      <c r="C3455" t="s">
        <v>7244</v>
      </c>
      <c r="D3455" t="s">
        <v>1711</v>
      </c>
      <c r="E3455">
        <v>162980810</v>
      </c>
      <c r="F3455">
        <v>200905959</v>
      </c>
      <c r="P3455">
        <v>32</v>
      </c>
      <c r="Q3455" t="s">
        <v>7245</v>
      </c>
    </row>
    <row r="3456" spans="1:17" x14ac:dyDescent="0.3">
      <c r="A3456" t="s">
        <v>73</v>
      </c>
      <c r="B3456" t="str">
        <f>"301110"</f>
        <v>301110</v>
      </c>
      <c r="C3456" t="s">
        <v>7246</v>
      </c>
      <c r="E3456">
        <v>162781991</v>
      </c>
      <c r="P3456">
        <v>9</v>
      </c>
      <c r="Q3456" t="s">
        <v>7247</v>
      </c>
    </row>
    <row r="3457" spans="1:17" x14ac:dyDescent="0.3">
      <c r="A3457" t="s">
        <v>17</v>
      </c>
      <c r="B3457" t="str">
        <f>"605111"</f>
        <v>605111</v>
      </c>
      <c r="C3457" t="s">
        <v>7248</v>
      </c>
      <c r="D3457" t="s">
        <v>1479</v>
      </c>
      <c r="E3457">
        <v>162753861</v>
      </c>
      <c r="F3457">
        <v>123587877</v>
      </c>
      <c r="P3457">
        <v>332</v>
      </c>
      <c r="Q3457" t="s">
        <v>7249</v>
      </c>
    </row>
    <row r="3458" spans="1:17" x14ac:dyDescent="0.3">
      <c r="A3458" t="s">
        <v>73</v>
      </c>
      <c r="B3458" t="str">
        <f>"300018"</f>
        <v>300018</v>
      </c>
      <c r="C3458" t="s">
        <v>7250</v>
      </c>
      <c r="D3458" t="s">
        <v>161</v>
      </c>
      <c r="E3458">
        <v>162535968</v>
      </c>
      <c r="F3458">
        <v>170477392</v>
      </c>
      <c r="G3458">
        <v>186384063</v>
      </c>
      <c r="H3458">
        <v>212522842</v>
      </c>
      <c r="I3458">
        <v>271410398</v>
      </c>
      <c r="J3458">
        <v>247866082</v>
      </c>
      <c r="K3458">
        <v>271000466</v>
      </c>
      <c r="L3458">
        <v>127380581</v>
      </c>
      <c r="M3458">
        <v>142521430</v>
      </c>
      <c r="N3458">
        <v>144229756</v>
      </c>
      <c r="O3458">
        <v>128161446</v>
      </c>
      <c r="P3458">
        <v>127</v>
      </c>
      <c r="Q3458" t="s">
        <v>7251</v>
      </c>
    </row>
    <row r="3459" spans="1:17" x14ac:dyDescent="0.3">
      <c r="A3459" t="s">
        <v>17</v>
      </c>
      <c r="B3459" t="str">
        <f>"603058"</f>
        <v>603058</v>
      </c>
      <c r="C3459" t="s">
        <v>7252</v>
      </c>
      <c r="D3459" t="s">
        <v>577</v>
      </c>
      <c r="E3459">
        <v>162118822</v>
      </c>
      <c r="F3459">
        <v>166607003</v>
      </c>
      <c r="G3459">
        <v>130180475</v>
      </c>
      <c r="H3459">
        <v>116746168</v>
      </c>
      <c r="I3459">
        <v>150524448</v>
      </c>
      <c r="J3459">
        <v>124340320</v>
      </c>
      <c r="P3459">
        <v>121</v>
      </c>
      <c r="Q3459" t="s">
        <v>7253</v>
      </c>
    </row>
    <row r="3460" spans="1:17" x14ac:dyDescent="0.3">
      <c r="A3460" t="s">
        <v>73</v>
      </c>
      <c r="B3460" t="str">
        <f>"300865"</f>
        <v>300865</v>
      </c>
      <c r="C3460" t="s">
        <v>7254</v>
      </c>
      <c r="D3460" t="s">
        <v>311</v>
      </c>
      <c r="E3460">
        <v>162045647</v>
      </c>
      <c r="F3460">
        <v>71348649</v>
      </c>
      <c r="P3460">
        <v>43</v>
      </c>
      <c r="Q3460" t="s">
        <v>7255</v>
      </c>
    </row>
    <row r="3461" spans="1:17" x14ac:dyDescent="0.3">
      <c r="A3461" t="s">
        <v>17</v>
      </c>
      <c r="B3461" t="str">
        <f>"601518"</f>
        <v>601518</v>
      </c>
      <c r="C3461" t="s">
        <v>7256</v>
      </c>
      <c r="D3461" t="s">
        <v>1592</v>
      </c>
      <c r="E3461">
        <v>162039005</v>
      </c>
      <c r="F3461">
        <v>108758814</v>
      </c>
      <c r="G3461">
        <v>0</v>
      </c>
      <c r="H3461">
        <v>0</v>
      </c>
      <c r="I3461">
        <v>0</v>
      </c>
      <c r="J3461">
        <v>0</v>
      </c>
      <c r="K3461">
        <v>7080456</v>
      </c>
      <c r="L3461">
        <v>100000</v>
      </c>
      <c r="M3461">
        <v>160254</v>
      </c>
      <c r="N3461">
        <v>270034</v>
      </c>
      <c r="O3461">
        <v>189937</v>
      </c>
      <c r="P3461">
        <v>111</v>
      </c>
      <c r="Q3461" t="s">
        <v>7257</v>
      </c>
    </row>
    <row r="3462" spans="1:17" x14ac:dyDescent="0.3">
      <c r="A3462" t="s">
        <v>73</v>
      </c>
      <c r="B3462" t="str">
        <f>"300943"</f>
        <v>300943</v>
      </c>
      <c r="C3462" t="s">
        <v>7258</v>
      </c>
      <c r="D3462" t="s">
        <v>146</v>
      </c>
      <c r="E3462">
        <v>162035072</v>
      </c>
      <c r="F3462">
        <v>163533478</v>
      </c>
      <c r="H3462">
        <v>150194837</v>
      </c>
      <c r="I3462">
        <v>171834510</v>
      </c>
      <c r="P3462">
        <v>35</v>
      </c>
      <c r="Q3462" t="s">
        <v>7259</v>
      </c>
    </row>
    <row r="3463" spans="1:17" x14ac:dyDescent="0.3">
      <c r="A3463" t="s">
        <v>17</v>
      </c>
      <c r="B3463" t="str">
        <f>"600283"</f>
        <v>600283</v>
      </c>
      <c r="C3463" t="s">
        <v>7260</v>
      </c>
      <c r="D3463" t="s">
        <v>308</v>
      </c>
      <c r="E3463">
        <v>162034342</v>
      </c>
      <c r="F3463">
        <v>117862294</v>
      </c>
      <c r="G3463">
        <v>114075581</v>
      </c>
      <c r="H3463">
        <v>66961029</v>
      </c>
      <c r="I3463">
        <v>61673920</v>
      </c>
      <c r="J3463">
        <v>94991008</v>
      </c>
      <c r="K3463">
        <v>42689071</v>
      </c>
      <c r="L3463">
        <v>40112304</v>
      </c>
      <c r="M3463">
        <v>30327158</v>
      </c>
      <c r="N3463">
        <v>31759612</v>
      </c>
      <c r="O3463">
        <v>31791184</v>
      </c>
      <c r="P3463">
        <v>122</v>
      </c>
      <c r="Q3463" t="s">
        <v>7261</v>
      </c>
    </row>
    <row r="3464" spans="1:17" x14ac:dyDescent="0.3">
      <c r="A3464" t="s">
        <v>73</v>
      </c>
      <c r="B3464" t="str">
        <f>"301047"</f>
        <v>301047</v>
      </c>
      <c r="C3464" t="s">
        <v>7262</v>
      </c>
      <c r="D3464" t="s">
        <v>459</v>
      </c>
      <c r="E3464">
        <v>161859737</v>
      </c>
      <c r="F3464">
        <v>230873596</v>
      </c>
      <c r="G3464">
        <v>102578445</v>
      </c>
      <c r="P3464">
        <v>71</v>
      </c>
      <c r="Q3464" t="s">
        <v>7263</v>
      </c>
    </row>
    <row r="3465" spans="1:17" x14ac:dyDescent="0.3">
      <c r="A3465" t="s">
        <v>73</v>
      </c>
      <c r="B3465" t="str">
        <f>"000712"</f>
        <v>000712</v>
      </c>
      <c r="C3465" t="s">
        <v>7264</v>
      </c>
      <c r="D3465" t="s">
        <v>53</v>
      </c>
      <c r="E3465">
        <v>161533282</v>
      </c>
      <c r="F3465">
        <v>147214987</v>
      </c>
      <c r="G3465">
        <v>160404615</v>
      </c>
      <c r="H3465">
        <v>84061682</v>
      </c>
      <c r="I3465">
        <v>95272394</v>
      </c>
      <c r="J3465">
        <v>0</v>
      </c>
      <c r="K3465">
        <v>0</v>
      </c>
      <c r="L3465">
        <v>0</v>
      </c>
      <c r="M3465">
        <v>0</v>
      </c>
      <c r="N3465">
        <v>8737201.6199999992</v>
      </c>
      <c r="O3465">
        <v>8950545.9399999995</v>
      </c>
      <c r="P3465">
        <v>557</v>
      </c>
      <c r="Q3465" t="s">
        <v>7265</v>
      </c>
    </row>
    <row r="3466" spans="1:17" x14ac:dyDescent="0.3">
      <c r="A3466" t="s">
        <v>73</v>
      </c>
      <c r="B3466" t="str">
        <f>"300528"</f>
        <v>300528</v>
      </c>
      <c r="C3466" t="s">
        <v>7266</v>
      </c>
      <c r="D3466" t="s">
        <v>1619</v>
      </c>
      <c r="E3466">
        <v>161451527</v>
      </c>
      <c r="F3466">
        <v>318925242</v>
      </c>
      <c r="G3466">
        <v>250460426</v>
      </c>
      <c r="H3466">
        <v>336541730</v>
      </c>
      <c r="I3466">
        <v>609099211</v>
      </c>
      <c r="J3466">
        <v>262902962</v>
      </c>
      <c r="K3466">
        <v>318641788</v>
      </c>
      <c r="L3466">
        <v>0</v>
      </c>
      <c r="P3466">
        <v>81</v>
      </c>
      <c r="Q3466" t="s">
        <v>7267</v>
      </c>
    </row>
    <row r="3467" spans="1:17" x14ac:dyDescent="0.3">
      <c r="A3467" t="s">
        <v>17</v>
      </c>
      <c r="B3467" t="str">
        <f>"600493"</f>
        <v>600493</v>
      </c>
      <c r="C3467" t="s">
        <v>7268</v>
      </c>
      <c r="D3467" t="s">
        <v>2052</v>
      </c>
      <c r="E3467">
        <v>160841359</v>
      </c>
      <c r="F3467">
        <v>151343280</v>
      </c>
      <c r="G3467">
        <v>114820022</v>
      </c>
      <c r="H3467">
        <v>107421191</v>
      </c>
      <c r="I3467">
        <v>77131675</v>
      </c>
      <c r="J3467">
        <v>79130313</v>
      </c>
      <c r="K3467">
        <v>73772476</v>
      </c>
      <c r="L3467">
        <v>88389099</v>
      </c>
      <c r="M3467">
        <v>82142514</v>
      </c>
      <c r="N3467">
        <v>105401843</v>
      </c>
      <c r="O3467">
        <v>143823689</v>
      </c>
      <c r="P3467">
        <v>80</v>
      </c>
      <c r="Q3467" t="s">
        <v>7269</v>
      </c>
    </row>
    <row r="3468" spans="1:17" x14ac:dyDescent="0.3">
      <c r="A3468" t="s">
        <v>73</v>
      </c>
      <c r="B3468" t="str">
        <f>"300564"</f>
        <v>300564</v>
      </c>
      <c r="C3468" t="s">
        <v>7270</v>
      </c>
      <c r="D3468" t="s">
        <v>661</v>
      </c>
      <c r="E3468">
        <v>160811433</v>
      </c>
      <c r="F3468">
        <v>105419046</v>
      </c>
      <c r="G3468">
        <v>261139919</v>
      </c>
      <c r="H3468">
        <v>0</v>
      </c>
      <c r="P3468">
        <v>211</v>
      </c>
      <c r="Q3468" t="s">
        <v>7271</v>
      </c>
    </row>
    <row r="3469" spans="1:17" x14ac:dyDescent="0.3">
      <c r="A3469" t="s">
        <v>73</v>
      </c>
      <c r="B3469" t="str">
        <f>"002161"</f>
        <v>002161</v>
      </c>
      <c r="C3469" t="s">
        <v>7272</v>
      </c>
      <c r="D3469" t="s">
        <v>651</v>
      </c>
      <c r="E3469">
        <v>160767158</v>
      </c>
      <c r="F3469">
        <v>167839129</v>
      </c>
      <c r="G3469">
        <v>191493459</v>
      </c>
      <c r="H3469">
        <v>198323480</v>
      </c>
      <c r="I3469">
        <v>206260034</v>
      </c>
      <c r="J3469">
        <v>236875781</v>
      </c>
      <c r="K3469">
        <v>289192201</v>
      </c>
      <c r="L3469">
        <v>271411046</v>
      </c>
      <c r="M3469">
        <v>310730518</v>
      </c>
      <c r="N3469">
        <v>333222324</v>
      </c>
      <c r="O3469">
        <v>248736129</v>
      </c>
      <c r="P3469">
        <v>211</v>
      </c>
      <c r="Q3469" t="s">
        <v>7273</v>
      </c>
    </row>
    <row r="3470" spans="1:17" x14ac:dyDescent="0.3">
      <c r="A3470" t="s">
        <v>73</v>
      </c>
      <c r="B3470" t="str">
        <f>"003030"</f>
        <v>003030</v>
      </c>
      <c r="C3470" t="s">
        <v>7274</v>
      </c>
      <c r="D3470" t="s">
        <v>2469</v>
      </c>
      <c r="E3470">
        <v>160720363</v>
      </c>
      <c r="F3470">
        <v>117071281</v>
      </c>
      <c r="P3470">
        <v>60</v>
      </c>
      <c r="Q3470" t="s">
        <v>7275</v>
      </c>
    </row>
    <row r="3471" spans="1:17" x14ac:dyDescent="0.3">
      <c r="A3471" t="s">
        <v>17</v>
      </c>
      <c r="B3471" t="str">
        <f>"600650"</f>
        <v>600650</v>
      </c>
      <c r="C3471" t="s">
        <v>7276</v>
      </c>
      <c r="D3471" t="s">
        <v>4964</v>
      </c>
      <c r="E3471">
        <v>160659519</v>
      </c>
      <c r="F3471">
        <v>159419759</v>
      </c>
      <c r="G3471">
        <v>178595112</v>
      </c>
      <c r="H3471">
        <v>141684088</v>
      </c>
      <c r="I3471">
        <v>139822905</v>
      </c>
      <c r="J3471">
        <v>98668655</v>
      </c>
      <c r="K3471">
        <v>83907319</v>
      </c>
      <c r="L3471">
        <v>86667244</v>
      </c>
      <c r="M3471">
        <v>83724804</v>
      </c>
      <c r="N3471">
        <v>70199977</v>
      </c>
      <c r="O3471">
        <v>57708528</v>
      </c>
      <c r="P3471">
        <v>114</v>
      </c>
      <c r="Q3471" t="s">
        <v>7277</v>
      </c>
    </row>
    <row r="3472" spans="1:17" x14ac:dyDescent="0.3">
      <c r="A3472" t="s">
        <v>73</v>
      </c>
      <c r="B3472" t="str">
        <f>"002348"</f>
        <v>002348</v>
      </c>
      <c r="C3472" t="s">
        <v>7278</v>
      </c>
      <c r="D3472" t="s">
        <v>6353</v>
      </c>
      <c r="E3472">
        <v>160629182</v>
      </c>
      <c r="F3472">
        <v>275776312</v>
      </c>
      <c r="G3472">
        <v>344471701</v>
      </c>
      <c r="H3472">
        <v>391187219</v>
      </c>
      <c r="I3472">
        <v>335961839</v>
      </c>
      <c r="J3472">
        <v>154815741</v>
      </c>
      <c r="K3472">
        <v>169431558</v>
      </c>
      <c r="L3472">
        <v>161594367</v>
      </c>
      <c r="M3472">
        <v>169410725</v>
      </c>
      <c r="N3472">
        <v>188541920</v>
      </c>
      <c r="O3472">
        <v>143436527</v>
      </c>
      <c r="P3472">
        <v>112</v>
      </c>
      <c r="Q3472" t="s">
        <v>7279</v>
      </c>
    </row>
    <row r="3473" spans="1:17" x14ac:dyDescent="0.3">
      <c r="A3473" t="s">
        <v>17</v>
      </c>
      <c r="B3473" t="str">
        <f>"600980"</f>
        <v>600980</v>
      </c>
      <c r="C3473" t="s">
        <v>7280</v>
      </c>
      <c r="D3473" t="s">
        <v>1142</v>
      </c>
      <c r="E3473">
        <v>160536483</v>
      </c>
      <c r="F3473">
        <v>148089592</v>
      </c>
      <c r="G3473">
        <v>160349984</v>
      </c>
      <c r="H3473">
        <v>135667281</v>
      </c>
      <c r="I3473">
        <v>161919655</v>
      </c>
      <c r="J3473">
        <v>217062803</v>
      </c>
      <c r="K3473">
        <v>186624874</v>
      </c>
      <c r="L3473">
        <v>57992514</v>
      </c>
      <c r="M3473">
        <v>43079111</v>
      </c>
      <c r="N3473">
        <v>26982853</v>
      </c>
      <c r="O3473">
        <v>41638783</v>
      </c>
      <c r="P3473">
        <v>97</v>
      </c>
      <c r="Q3473" t="s">
        <v>7281</v>
      </c>
    </row>
    <row r="3474" spans="1:17" x14ac:dyDescent="0.3">
      <c r="A3474" t="s">
        <v>73</v>
      </c>
      <c r="B3474" t="str">
        <f>"002760"</f>
        <v>002760</v>
      </c>
      <c r="C3474" t="s">
        <v>7282</v>
      </c>
      <c r="D3474" t="s">
        <v>3119</v>
      </c>
      <c r="E3474">
        <v>160163172</v>
      </c>
      <c r="F3474">
        <v>177103422</v>
      </c>
      <c r="G3474">
        <v>175260113</v>
      </c>
      <c r="H3474">
        <v>110094903</v>
      </c>
      <c r="I3474">
        <v>110735885</v>
      </c>
      <c r="J3474">
        <v>150022332</v>
      </c>
      <c r="K3474">
        <v>147337358</v>
      </c>
      <c r="L3474">
        <v>0</v>
      </c>
      <c r="M3474">
        <v>0</v>
      </c>
      <c r="P3474">
        <v>72</v>
      </c>
      <c r="Q3474" t="s">
        <v>7283</v>
      </c>
    </row>
    <row r="3475" spans="1:17" x14ac:dyDescent="0.3">
      <c r="A3475" t="s">
        <v>73</v>
      </c>
      <c r="B3475" t="str">
        <f>"002725"</f>
        <v>002725</v>
      </c>
      <c r="C3475" t="s">
        <v>7284</v>
      </c>
      <c r="D3475" t="s">
        <v>781</v>
      </c>
      <c r="E3475">
        <v>160054267</v>
      </c>
      <c r="F3475">
        <v>127049345</v>
      </c>
      <c r="G3475">
        <v>106978081</v>
      </c>
      <c r="H3475">
        <v>163962570</v>
      </c>
      <c r="I3475">
        <v>139060731</v>
      </c>
      <c r="J3475">
        <v>141535000</v>
      </c>
      <c r="K3475">
        <v>99355309</v>
      </c>
      <c r="L3475">
        <v>115978627</v>
      </c>
      <c r="M3475">
        <v>96267410</v>
      </c>
      <c r="N3475">
        <v>0</v>
      </c>
      <c r="P3475">
        <v>135</v>
      </c>
      <c r="Q3475" t="s">
        <v>7285</v>
      </c>
    </row>
    <row r="3476" spans="1:17" x14ac:dyDescent="0.3">
      <c r="A3476" t="s">
        <v>17</v>
      </c>
      <c r="B3476" t="str">
        <f>"688217"</f>
        <v>688217</v>
      </c>
      <c r="C3476" t="s">
        <v>7286</v>
      </c>
      <c r="D3476" t="s">
        <v>773</v>
      </c>
      <c r="E3476">
        <v>160045253</v>
      </c>
      <c r="F3476">
        <v>160164271</v>
      </c>
      <c r="P3476">
        <v>31</v>
      </c>
      <c r="Q3476" t="s">
        <v>7287</v>
      </c>
    </row>
    <row r="3477" spans="1:17" x14ac:dyDescent="0.3">
      <c r="A3477" t="s">
        <v>17</v>
      </c>
      <c r="B3477" t="str">
        <f>"600476"</f>
        <v>600476</v>
      </c>
      <c r="C3477" t="s">
        <v>7288</v>
      </c>
      <c r="D3477" t="s">
        <v>302</v>
      </c>
      <c r="E3477">
        <v>159055253</v>
      </c>
      <c r="F3477">
        <v>132342918</v>
      </c>
      <c r="G3477">
        <v>118158087</v>
      </c>
      <c r="H3477">
        <v>152394884</v>
      </c>
      <c r="I3477">
        <v>132474974</v>
      </c>
      <c r="J3477">
        <v>106007918</v>
      </c>
      <c r="K3477">
        <v>81688219</v>
      </c>
      <c r="L3477">
        <v>73238271</v>
      </c>
      <c r="M3477">
        <v>78580596</v>
      </c>
      <c r="N3477">
        <v>97155970</v>
      </c>
      <c r="O3477">
        <v>95832307</v>
      </c>
      <c r="P3477">
        <v>85</v>
      </c>
      <c r="Q3477" t="s">
        <v>7289</v>
      </c>
    </row>
    <row r="3478" spans="1:17" x14ac:dyDescent="0.3">
      <c r="A3478" t="s">
        <v>17</v>
      </c>
      <c r="B3478" t="str">
        <f>"603203"</f>
        <v>603203</v>
      </c>
      <c r="C3478" t="s">
        <v>7290</v>
      </c>
      <c r="D3478" t="s">
        <v>626</v>
      </c>
      <c r="E3478">
        <v>159000124</v>
      </c>
      <c r="F3478">
        <v>110462704</v>
      </c>
      <c r="G3478">
        <v>86650992</v>
      </c>
      <c r="H3478">
        <v>64658186</v>
      </c>
      <c r="I3478">
        <v>61098480</v>
      </c>
      <c r="J3478">
        <v>46200204</v>
      </c>
      <c r="P3478">
        <v>2649</v>
      </c>
      <c r="Q3478" t="s">
        <v>7291</v>
      </c>
    </row>
    <row r="3479" spans="1:17" x14ac:dyDescent="0.3">
      <c r="A3479" t="s">
        <v>73</v>
      </c>
      <c r="B3479" t="str">
        <f>"300152"</f>
        <v>300152</v>
      </c>
      <c r="C3479" t="s">
        <v>7292</v>
      </c>
      <c r="D3479" t="s">
        <v>472</v>
      </c>
      <c r="E3479">
        <v>158891392</v>
      </c>
      <c r="F3479">
        <v>172783960</v>
      </c>
      <c r="G3479">
        <v>363042756</v>
      </c>
      <c r="H3479">
        <v>406766478</v>
      </c>
      <c r="I3479">
        <v>651637231</v>
      </c>
      <c r="J3479">
        <v>750218898</v>
      </c>
      <c r="K3479">
        <v>830687834</v>
      </c>
      <c r="L3479">
        <v>886688819</v>
      </c>
      <c r="M3479">
        <v>552377776</v>
      </c>
      <c r="N3479">
        <v>310427933</v>
      </c>
      <c r="O3479">
        <v>166833838</v>
      </c>
      <c r="P3479">
        <v>92</v>
      </c>
      <c r="Q3479" t="s">
        <v>7293</v>
      </c>
    </row>
    <row r="3480" spans="1:17" x14ac:dyDescent="0.3">
      <c r="A3480" t="s">
        <v>73</v>
      </c>
      <c r="B3480" t="str">
        <f>"301007"</f>
        <v>301007</v>
      </c>
      <c r="C3480" t="s">
        <v>7294</v>
      </c>
      <c r="D3480" t="s">
        <v>122</v>
      </c>
      <c r="E3480">
        <v>158607080</v>
      </c>
      <c r="F3480">
        <v>142652778</v>
      </c>
      <c r="P3480">
        <v>44</v>
      </c>
      <c r="Q3480" t="s">
        <v>7295</v>
      </c>
    </row>
    <row r="3481" spans="1:17" x14ac:dyDescent="0.3">
      <c r="A3481" t="s">
        <v>17</v>
      </c>
      <c r="B3481" t="str">
        <f>"600520"</f>
        <v>600520</v>
      </c>
      <c r="C3481" t="s">
        <v>7296</v>
      </c>
      <c r="D3481" t="s">
        <v>1451</v>
      </c>
      <c r="E3481">
        <v>158548150</v>
      </c>
      <c r="F3481">
        <v>92717476</v>
      </c>
      <c r="G3481">
        <v>66661861</v>
      </c>
      <c r="H3481">
        <v>93005366</v>
      </c>
      <c r="I3481">
        <v>96297188</v>
      </c>
      <c r="J3481">
        <v>90952679</v>
      </c>
      <c r="K3481">
        <v>92723562</v>
      </c>
      <c r="L3481">
        <v>106453574</v>
      </c>
      <c r="M3481">
        <v>128667712</v>
      </c>
      <c r="N3481">
        <v>121015693</v>
      </c>
      <c r="O3481">
        <v>100913512</v>
      </c>
      <c r="P3481">
        <v>73</v>
      </c>
      <c r="Q3481" t="s">
        <v>7297</v>
      </c>
    </row>
    <row r="3482" spans="1:17" x14ac:dyDescent="0.3">
      <c r="A3482" t="s">
        <v>17</v>
      </c>
      <c r="B3482" t="str">
        <f>"600571"</f>
        <v>600571</v>
      </c>
      <c r="C3482" t="s">
        <v>7298</v>
      </c>
      <c r="D3482" t="s">
        <v>302</v>
      </c>
      <c r="E3482">
        <v>158544913</v>
      </c>
      <c r="F3482">
        <v>142316517</v>
      </c>
      <c r="G3482">
        <v>140126742</v>
      </c>
      <c r="H3482">
        <v>0</v>
      </c>
      <c r="I3482">
        <v>334187061</v>
      </c>
      <c r="J3482">
        <v>404038049</v>
      </c>
      <c r="K3482">
        <v>311412334</v>
      </c>
      <c r="L3482">
        <v>238918945</v>
      </c>
      <c r="M3482">
        <v>271802518</v>
      </c>
      <c r="N3482">
        <v>170143872</v>
      </c>
      <c r="O3482">
        <v>129719972</v>
      </c>
      <c r="P3482">
        <v>155</v>
      </c>
      <c r="Q3482" t="s">
        <v>7299</v>
      </c>
    </row>
    <row r="3483" spans="1:17" x14ac:dyDescent="0.3">
      <c r="A3483" t="s">
        <v>73</v>
      </c>
      <c r="B3483" t="str">
        <f>"300847"</f>
        <v>300847</v>
      </c>
      <c r="C3483" t="s">
        <v>7300</v>
      </c>
      <c r="D3483" t="s">
        <v>588</v>
      </c>
      <c r="E3483">
        <v>158389336</v>
      </c>
      <c r="F3483">
        <v>140232567</v>
      </c>
      <c r="G3483">
        <v>131102198</v>
      </c>
      <c r="P3483">
        <v>53</v>
      </c>
      <c r="Q3483" t="s">
        <v>7301</v>
      </c>
    </row>
    <row r="3484" spans="1:17" x14ac:dyDescent="0.3">
      <c r="A3484" t="s">
        <v>73</v>
      </c>
      <c r="B3484" t="str">
        <f>"002319"</f>
        <v>002319</v>
      </c>
      <c r="C3484" t="s">
        <v>7302</v>
      </c>
      <c r="D3484" t="s">
        <v>3072</v>
      </c>
      <c r="E3484">
        <v>158220407</v>
      </c>
      <c r="F3484">
        <v>129651098</v>
      </c>
      <c r="G3484">
        <v>128358018</v>
      </c>
      <c r="H3484">
        <v>150283423</v>
      </c>
      <c r="I3484">
        <v>176927328</v>
      </c>
      <c r="J3484">
        <v>153239241</v>
      </c>
      <c r="K3484">
        <v>183810515</v>
      </c>
      <c r="L3484">
        <v>211573714</v>
      </c>
      <c r="M3484">
        <v>231081454</v>
      </c>
      <c r="N3484">
        <v>204762349</v>
      </c>
      <c r="O3484">
        <v>158463542</v>
      </c>
      <c r="P3484">
        <v>55</v>
      </c>
      <c r="Q3484" t="s">
        <v>7303</v>
      </c>
    </row>
    <row r="3485" spans="1:17" x14ac:dyDescent="0.3">
      <c r="A3485" t="s">
        <v>17</v>
      </c>
      <c r="B3485" t="str">
        <f>"603016"</f>
        <v>603016</v>
      </c>
      <c r="C3485" t="s">
        <v>7304</v>
      </c>
      <c r="D3485" t="s">
        <v>230</v>
      </c>
      <c r="E3485">
        <v>157977217</v>
      </c>
      <c r="F3485">
        <v>129920559</v>
      </c>
      <c r="G3485">
        <v>92619891</v>
      </c>
      <c r="H3485">
        <v>115271173</v>
      </c>
      <c r="I3485">
        <v>102538882</v>
      </c>
      <c r="J3485">
        <v>89870954</v>
      </c>
      <c r="K3485">
        <v>93197624</v>
      </c>
      <c r="L3485">
        <v>0</v>
      </c>
      <c r="P3485">
        <v>93</v>
      </c>
      <c r="Q3485" t="s">
        <v>7305</v>
      </c>
    </row>
    <row r="3486" spans="1:17" x14ac:dyDescent="0.3">
      <c r="A3486" t="s">
        <v>73</v>
      </c>
      <c r="B3486" t="str">
        <f>"300515"</f>
        <v>300515</v>
      </c>
      <c r="C3486" t="s">
        <v>7306</v>
      </c>
      <c r="D3486" t="s">
        <v>2280</v>
      </c>
      <c r="E3486">
        <v>157928949</v>
      </c>
      <c r="F3486">
        <v>118794112</v>
      </c>
      <c r="G3486">
        <v>127704932</v>
      </c>
      <c r="H3486">
        <v>144934770</v>
      </c>
      <c r="I3486">
        <v>129227791</v>
      </c>
      <c r="J3486">
        <v>155359255</v>
      </c>
      <c r="K3486">
        <v>148681264</v>
      </c>
      <c r="L3486">
        <v>0</v>
      </c>
      <c r="P3486">
        <v>80</v>
      </c>
      <c r="Q3486" t="s">
        <v>7307</v>
      </c>
    </row>
    <row r="3487" spans="1:17" x14ac:dyDescent="0.3">
      <c r="A3487" t="s">
        <v>73</v>
      </c>
      <c r="B3487" t="str">
        <f>"300833"</f>
        <v>300833</v>
      </c>
      <c r="C3487" t="s">
        <v>7308</v>
      </c>
      <c r="D3487" t="s">
        <v>1451</v>
      </c>
      <c r="E3487">
        <v>157913100</v>
      </c>
      <c r="F3487">
        <v>89989705</v>
      </c>
      <c r="G3487">
        <v>114263144</v>
      </c>
      <c r="H3487">
        <v>0</v>
      </c>
      <c r="P3487">
        <v>89</v>
      </c>
      <c r="Q3487" t="s">
        <v>7309</v>
      </c>
    </row>
    <row r="3488" spans="1:17" x14ac:dyDescent="0.3">
      <c r="A3488" t="s">
        <v>73</v>
      </c>
      <c r="B3488" t="str">
        <f>"300549"</f>
        <v>300549</v>
      </c>
      <c r="C3488" t="s">
        <v>7310</v>
      </c>
      <c r="D3488" t="s">
        <v>1451</v>
      </c>
      <c r="E3488">
        <v>157547609</v>
      </c>
      <c r="F3488">
        <v>159624055</v>
      </c>
      <c r="G3488">
        <v>121104851</v>
      </c>
      <c r="H3488">
        <v>155950538</v>
      </c>
      <c r="I3488">
        <v>176423593</v>
      </c>
      <c r="J3488">
        <v>184141370</v>
      </c>
      <c r="K3488">
        <v>0</v>
      </c>
      <c r="P3488">
        <v>92</v>
      </c>
      <c r="Q3488" t="s">
        <v>7311</v>
      </c>
    </row>
    <row r="3489" spans="1:17" x14ac:dyDescent="0.3">
      <c r="A3489" t="s">
        <v>73</v>
      </c>
      <c r="B3489" t="str">
        <f>"002674"</f>
        <v>002674</v>
      </c>
      <c r="C3489" t="s">
        <v>7312</v>
      </c>
      <c r="D3489" t="s">
        <v>4907</v>
      </c>
      <c r="E3489">
        <v>157417377</v>
      </c>
      <c r="F3489">
        <v>135636353</v>
      </c>
      <c r="G3489">
        <v>93745380</v>
      </c>
      <c r="H3489">
        <v>198736848</v>
      </c>
      <c r="I3489">
        <v>141651124</v>
      </c>
      <c r="J3489">
        <v>222170378</v>
      </c>
      <c r="K3489">
        <v>281999540</v>
      </c>
      <c r="L3489">
        <v>208124577</v>
      </c>
      <c r="M3489">
        <v>186900596</v>
      </c>
      <c r="N3489">
        <v>114712825</v>
      </c>
      <c r="O3489">
        <v>46315948</v>
      </c>
      <c r="P3489">
        <v>102</v>
      </c>
      <c r="Q3489" t="s">
        <v>7313</v>
      </c>
    </row>
    <row r="3490" spans="1:17" x14ac:dyDescent="0.3">
      <c r="A3490" t="s">
        <v>73</v>
      </c>
      <c r="B3490" t="str">
        <f>"000019"</f>
        <v>000019</v>
      </c>
      <c r="C3490" t="s">
        <v>7314</v>
      </c>
      <c r="D3490" t="s">
        <v>373</v>
      </c>
      <c r="E3490">
        <v>157403638</v>
      </c>
      <c r="F3490">
        <v>465685567</v>
      </c>
      <c r="G3490">
        <v>142144768</v>
      </c>
      <c r="H3490">
        <v>413574454</v>
      </c>
      <c r="I3490">
        <v>65510146</v>
      </c>
      <c r="J3490">
        <v>64840536</v>
      </c>
      <c r="K3490">
        <v>62275180</v>
      </c>
      <c r="L3490">
        <v>64826213</v>
      </c>
      <c r="M3490">
        <v>61805331</v>
      </c>
      <c r="N3490">
        <v>101034275</v>
      </c>
      <c r="O3490">
        <v>41008337</v>
      </c>
      <c r="P3490">
        <v>176</v>
      </c>
      <c r="Q3490" t="s">
        <v>7315</v>
      </c>
    </row>
    <row r="3491" spans="1:17" x14ac:dyDescent="0.3">
      <c r="A3491" t="s">
        <v>73</v>
      </c>
      <c r="B3491" t="str">
        <f>"300200"</f>
        <v>300200</v>
      </c>
      <c r="C3491" t="s">
        <v>7316</v>
      </c>
      <c r="D3491" t="s">
        <v>267</v>
      </c>
      <c r="E3491">
        <v>157078066</v>
      </c>
      <c r="F3491">
        <v>172854943</v>
      </c>
      <c r="G3491">
        <v>185531725</v>
      </c>
      <c r="H3491">
        <v>202921045</v>
      </c>
      <c r="I3491">
        <v>250550102</v>
      </c>
      <c r="J3491">
        <v>191934744</v>
      </c>
      <c r="K3491">
        <v>150870685</v>
      </c>
      <c r="L3491">
        <v>173342977</v>
      </c>
      <c r="M3491">
        <v>173784496</v>
      </c>
      <c r="N3491">
        <v>154309114</v>
      </c>
      <c r="O3491">
        <v>109629347</v>
      </c>
      <c r="P3491">
        <v>160</v>
      </c>
      <c r="Q3491" t="s">
        <v>7317</v>
      </c>
    </row>
    <row r="3492" spans="1:17" x14ac:dyDescent="0.3">
      <c r="A3492" t="s">
        <v>17</v>
      </c>
      <c r="B3492" t="str">
        <f>"603053"</f>
        <v>603053</v>
      </c>
      <c r="C3492" t="s">
        <v>7318</v>
      </c>
      <c r="D3492" t="s">
        <v>469</v>
      </c>
      <c r="E3492">
        <v>157028314</v>
      </c>
      <c r="F3492">
        <v>114682524</v>
      </c>
      <c r="G3492">
        <v>345255111</v>
      </c>
      <c r="P3492">
        <v>118</v>
      </c>
      <c r="Q3492" t="s">
        <v>7319</v>
      </c>
    </row>
    <row r="3493" spans="1:17" x14ac:dyDescent="0.3">
      <c r="A3493" t="s">
        <v>73</v>
      </c>
      <c r="B3493" t="str">
        <f>"200020"</f>
        <v>200020</v>
      </c>
      <c r="C3493" t="s">
        <v>7320</v>
      </c>
      <c r="E3493">
        <v>156613038.428</v>
      </c>
      <c r="F3493">
        <v>167322748.35749999</v>
      </c>
      <c r="G3493">
        <v>136265504.25</v>
      </c>
      <c r="H3493">
        <v>149895570.7809</v>
      </c>
      <c r="I3493">
        <v>172761198.09850001</v>
      </c>
      <c r="J3493">
        <v>215937636.81979999</v>
      </c>
      <c r="K3493">
        <v>221334740.22209999</v>
      </c>
      <c r="L3493">
        <v>171153830</v>
      </c>
      <c r="M3493">
        <v>254982381.75279999</v>
      </c>
      <c r="N3493">
        <v>244958270.4048</v>
      </c>
      <c r="O3493">
        <v>253595769.507</v>
      </c>
      <c r="P3493">
        <v>6</v>
      </c>
      <c r="Q3493" t="s">
        <v>7321</v>
      </c>
    </row>
    <row r="3494" spans="1:17" x14ac:dyDescent="0.3">
      <c r="A3494" t="s">
        <v>17</v>
      </c>
      <c r="B3494" t="str">
        <f>"603706"</f>
        <v>603706</v>
      </c>
      <c r="C3494" t="s">
        <v>7322</v>
      </c>
      <c r="D3494" t="s">
        <v>469</v>
      </c>
      <c r="E3494">
        <v>155949138</v>
      </c>
      <c r="F3494">
        <v>188537408</v>
      </c>
      <c r="G3494">
        <v>174132905</v>
      </c>
      <c r="H3494">
        <v>46039323</v>
      </c>
      <c r="I3494">
        <v>0</v>
      </c>
      <c r="P3494">
        <v>91</v>
      </c>
      <c r="Q3494" t="s">
        <v>7323</v>
      </c>
    </row>
    <row r="3495" spans="1:17" x14ac:dyDescent="0.3">
      <c r="A3495" t="s">
        <v>73</v>
      </c>
      <c r="B3495" t="str">
        <f>"300883"</f>
        <v>300883</v>
      </c>
      <c r="C3495" t="s">
        <v>7324</v>
      </c>
      <c r="D3495" t="s">
        <v>577</v>
      </c>
      <c r="E3495">
        <v>155730125</v>
      </c>
      <c r="F3495">
        <v>148160332</v>
      </c>
      <c r="P3495">
        <v>37</v>
      </c>
      <c r="Q3495" t="s">
        <v>7325</v>
      </c>
    </row>
    <row r="3496" spans="1:17" x14ac:dyDescent="0.3">
      <c r="A3496" t="s">
        <v>73</v>
      </c>
      <c r="B3496" t="str">
        <f>"002210"</f>
        <v>002210</v>
      </c>
      <c r="C3496" t="s">
        <v>7326</v>
      </c>
      <c r="D3496" t="s">
        <v>192</v>
      </c>
      <c r="E3496">
        <v>155705729</v>
      </c>
      <c r="F3496">
        <v>95880462</v>
      </c>
      <c r="G3496">
        <v>1165975093</v>
      </c>
      <c r="H3496">
        <v>1621641246</v>
      </c>
      <c r="I3496">
        <v>2174088308</v>
      </c>
      <c r="J3496">
        <v>3010773856</v>
      </c>
      <c r="K3496">
        <v>2585602381</v>
      </c>
      <c r="L3496">
        <v>1305461755</v>
      </c>
      <c r="M3496">
        <v>884256922</v>
      </c>
      <c r="N3496">
        <v>1110093951</v>
      </c>
      <c r="O3496">
        <v>1260742427</v>
      </c>
      <c r="P3496">
        <v>83</v>
      </c>
      <c r="Q3496" t="s">
        <v>7327</v>
      </c>
    </row>
    <row r="3497" spans="1:17" x14ac:dyDescent="0.3">
      <c r="A3497" t="s">
        <v>73</v>
      </c>
      <c r="B3497" t="str">
        <f>"000757"</f>
        <v>000757</v>
      </c>
      <c r="C3497" t="s">
        <v>7328</v>
      </c>
      <c r="D3497" t="s">
        <v>3310</v>
      </c>
      <c r="E3497">
        <v>155705623</v>
      </c>
      <c r="F3497">
        <v>174180382</v>
      </c>
      <c r="G3497">
        <v>107289731</v>
      </c>
      <c r="H3497">
        <v>125632113</v>
      </c>
      <c r="I3497">
        <v>135557101</v>
      </c>
      <c r="J3497">
        <v>132235710</v>
      </c>
      <c r="K3497">
        <v>130718752</v>
      </c>
      <c r="L3497">
        <v>87893534</v>
      </c>
      <c r="M3497">
        <v>102734592</v>
      </c>
      <c r="N3497">
        <v>157760196</v>
      </c>
      <c r="O3497">
        <v>183135438</v>
      </c>
      <c r="P3497">
        <v>88</v>
      </c>
      <c r="Q3497" t="s">
        <v>7329</v>
      </c>
    </row>
    <row r="3498" spans="1:17" x14ac:dyDescent="0.3">
      <c r="A3498" t="s">
        <v>17</v>
      </c>
      <c r="B3498" t="str">
        <f>"603318"</f>
        <v>603318</v>
      </c>
      <c r="C3498" t="s">
        <v>7330</v>
      </c>
      <c r="D3498" t="s">
        <v>469</v>
      </c>
      <c r="E3498">
        <v>155518929</v>
      </c>
      <c r="F3498">
        <v>101008040</v>
      </c>
      <c r="G3498">
        <v>281179722</v>
      </c>
      <c r="H3498">
        <v>329707291</v>
      </c>
      <c r="I3498">
        <v>381482280</v>
      </c>
      <c r="J3498">
        <v>293492165</v>
      </c>
      <c r="K3498">
        <v>395883553</v>
      </c>
      <c r="L3498">
        <v>214043073</v>
      </c>
      <c r="M3498">
        <v>0</v>
      </c>
      <c r="P3498">
        <v>63</v>
      </c>
      <c r="Q3498" t="s">
        <v>7331</v>
      </c>
    </row>
    <row r="3499" spans="1:17" x14ac:dyDescent="0.3">
      <c r="A3499" t="s">
        <v>17</v>
      </c>
      <c r="B3499" t="str">
        <f>"600251"</f>
        <v>600251</v>
      </c>
      <c r="C3499" t="s">
        <v>7332</v>
      </c>
      <c r="D3499" t="s">
        <v>5070</v>
      </c>
      <c r="E3499">
        <v>155364011</v>
      </c>
      <c r="F3499">
        <v>180953634</v>
      </c>
      <c r="G3499">
        <v>260482682</v>
      </c>
      <c r="H3499">
        <v>292799407</v>
      </c>
      <c r="I3499">
        <v>219309305</v>
      </c>
      <c r="J3499">
        <v>147755915</v>
      </c>
      <c r="K3499">
        <v>217125952</v>
      </c>
      <c r="L3499">
        <v>333237350</v>
      </c>
      <c r="M3499">
        <v>4963552</v>
      </c>
      <c r="N3499">
        <v>89828223</v>
      </c>
      <c r="O3499">
        <v>84159121</v>
      </c>
      <c r="P3499">
        <v>148</v>
      </c>
      <c r="Q3499" t="s">
        <v>7333</v>
      </c>
    </row>
    <row r="3500" spans="1:17" x14ac:dyDescent="0.3">
      <c r="A3500" t="s">
        <v>73</v>
      </c>
      <c r="B3500" t="str">
        <f>"300706"</f>
        <v>300706</v>
      </c>
      <c r="C3500" t="s">
        <v>7334</v>
      </c>
      <c r="D3500" t="s">
        <v>354</v>
      </c>
      <c r="E3500">
        <v>155355171</v>
      </c>
      <c r="F3500">
        <v>125567690</v>
      </c>
      <c r="G3500">
        <v>95877577</v>
      </c>
      <c r="H3500">
        <v>116373659</v>
      </c>
      <c r="I3500">
        <v>100669840</v>
      </c>
      <c r="J3500">
        <v>0</v>
      </c>
      <c r="P3500">
        <v>178</v>
      </c>
      <c r="Q3500" t="s">
        <v>7335</v>
      </c>
    </row>
    <row r="3501" spans="1:17" x14ac:dyDescent="0.3">
      <c r="A3501" t="s">
        <v>17</v>
      </c>
      <c r="B3501" t="str">
        <f>"603079"</f>
        <v>603079</v>
      </c>
      <c r="C3501" t="s">
        <v>7336</v>
      </c>
      <c r="D3501" t="s">
        <v>908</v>
      </c>
      <c r="E3501">
        <v>155019749</v>
      </c>
      <c r="F3501">
        <v>128861606</v>
      </c>
      <c r="G3501">
        <v>174620131</v>
      </c>
      <c r="H3501">
        <v>99414996</v>
      </c>
      <c r="I3501">
        <v>101314018</v>
      </c>
      <c r="P3501">
        <v>239</v>
      </c>
      <c r="Q3501" t="s">
        <v>7337</v>
      </c>
    </row>
    <row r="3502" spans="1:17" x14ac:dyDescent="0.3">
      <c r="A3502" t="s">
        <v>17</v>
      </c>
      <c r="B3502" t="str">
        <f>"688088"</f>
        <v>688088</v>
      </c>
      <c r="C3502" t="s">
        <v>7338</v>
      </c>
      <c r="D3502" t="s">
        <v>302</v>
      </c>
      <c r="E3502">
        <v>154944060</v>
      </c>
      <c r="F3502">
        <v>144428113</v>
      </c>
      <c r="G3502">
        <v>139268397</v>
      </c>
      <c r="H3502">
        <v>92604145</v>
      </c>
      <c r="P3502">
        <v>271</v>
      </c>
      <c r="Q3502" t="s">
        <v>7339</v>
      </c>
    </row>
    <row r="3503" spans="1:17" x14ac:dyDescent="0.3">
      <c r="A3503" t="s">
        <v>73</v>
      </c>
      <c r="B3503" t="str">
        <f>"002557"</f>
        <v>002557</v>
      </c>
      <c r="C3503" t="s">
        <v>7340</v>
      </c>
      <c r="D3503" t="s">
        <v>4657</v>
      </c>
      <c r="E3503">
        <v>154830468</v>
      </c>
      <c r="F3503">
        <v>171280157</v>
      </c>
      <c r="G3503">
        <v>126507473</v>
      </c>
      <c r="H3503">
        <v>181892529</v>
      </c>
      <c r="I3503">
        <v>176168888</v>
      </c>
      <c r="J3503">
        <v>96847223</v>
      </c>
      <c r="K3503">
        <v>113621323</v>
      </c>
      <c r="L3503">
        <v>96716690</v>
      </c>
      <c r="M3503">
        <v>72094146</v>
      </c>
      <c r="N3503">
        <v>62222131</v>
      </c>
      <c r="O3503">
        <v>88977512</v>
      </c>
      <c r="P3503">
        <v>1823</v>
      </c>
      <c r="Q3503" t="s">
        <v>7341</v>
      </c>
    </row>
    <row r="3504" spans="1:17" x14ac:dyDescent="0.3">
      <c r="A3504" t="s">
        <v>17</v>
      </c>
      <c r="B3504" t="str">
        <f>"603037"</f>
        <v>603037</v>
      </c>
      <c r="C3504" t="s">
        <v>7342</v>
      </c>
      <c r="D3504" t="s">
        <v>122</v>
      </c>
      <c r="E3504">
        <v>154444977</v>
      </c>
      <c r="F3504">
        <v>147835307</v>
      </c>
      <c r="G3504">
        <v>108123290</v>
      </c>
      <c r="H3504">
        <v>161946370</v>
      </c>
      <c r="I3504">
        <v>136550214</v>
      </c>
      <c r="J3504">
        <v>114673781</v>
      </c>
      <c r="P3504">
        <v>230</v>
      </c>
      <c r="Q3504" t="s">
        <v>7343</v>
      </c>
    </row>
    <row r="3505" spans="1:17" x14ac:dyDescent="0.3">
      <c r="A3505" t="s">
        <v>17</v>
      </c>
      <c r="B3505" t="str">
        <f>"600694"</f>
        <v>600694</v>
      </c>
      <c r="C3505" t="s">
        <v>7344</v>
      </c>
      <c r="D3505" t="s">
        <v>3897</v>
      </c>
      <c r="E3505">
        <v>154293461</v>
      </c>
      <c r="F3505">
        <v>223746123</v>
      </c>
      <c r="G3505">
        <v>216120047</v>
      </c>
      <c r="H3505">
        <v>279573644</v>
      </c>
      <c r="I3505">
        <v>291417300</v>
      </c>
      <c r="J3505">
        <v>216230165</v>
      </c>
      <c r="K3505">
        <v>219499144</v>
      </c>
      <c r="L3505">
        <v>180636657</v>
      </c>
      <c r="M3505">
        <v>224494529</v>
      </c>
      <c r="N3505">
        <v>297094927</v>
      </c>
      <c r="O3505">
        <v>244679641</v>
      </c>
      <c r="P3505">
        <v>543</v>
      </c>
      <c r="Q3505" t="s">
        <v>7345</v>
      </c>
    </row>
    <row r="3506" spans="1:17" x14ac:dyDescent="0.3">
      <c r="A3506" t="s">
        <v>17</v>
      </c>
      <c r="B3506" t="str">
        <f>"603139"</f>
        <v>603139</v>
      </c>
      <c r="C3506" t="s">
        <v>7346</v>
      </c>
      <c r="D3506" t="s">
        <v>215</v>
      </c>
      <c r="E3506">
        <v>154257778</v>
      </c>
      <c r="F3506">
        <v>145904386</v>
      </c>
      <c r="G3506">
        <v>173697614</v>
      </c>
      <c r="H3506">
        <v>245336286</v>
      </c>
      <c r="I3506">
        <v>254580169</v>
      </c>
      <c r="J3506">
        <v>232168814</v>
      </c>
      <c r="P3506">
        <v>97</v>
      </c>
      <c r="Q3506" t="s">
        <v>7347</v>
      </c>
    </row>
    <row r="3507" spans="1:17" x14ac:dyDescent="0.3">
      <c r="A3507" t="s">
        <v>73</v>
      </c>
      <c r="B3507" t="str">
        <f>"301221"</f>
        <v>301221</v>
      </c>
      <c r="C3507" t="s">
        <v>7348</v>
      </c>
      <c r="D3507" t="s">
        <v>442</v>
      </c>
      <c r="E3507">
        <v>154150579</v>
      </c>
      <c r="P3507">
        <v>16</v>
      </c>
      <c r="Q3507" t="s">
        <v>7349</v>
      </c>
    </row>
    <row r="3508" spans="1:17" x14ac:dyDescent="0.3">
      <c r="A3508" t="s">
        <v>17</v>
      </c>
      <c r="B3508" t="str">
        <f>"688046"</f>
        <v>688046</v>
      </c>
      <c r="C3508" t="s">
        <v>7350</v>
      </c>
      <c r="E3508">
        <v>153866071</v>
      </c>
      <c r="P3508">
        <v>2</v>
      </c>
      <c r="Q3508" t="s">
        <v>7351</v>
      </c>
    </row>
    <row r="3509" spans="1:17" x14ac:dyDescent="0.3">
      <c r="A3509" t="s">
        <v>73</v>
      </c>
      <c r="B3509" t="str">
        <f>"000629"</f>
        <v>000629</v>
      </c>
      <c r="C3509" t="s">
        <v>7352</v>
      </c>
      <c r="D3509" t="s">
        <v>1970</v>
      </c>
      <c r="E3509">
        <v>153779796</v>
      </c>
      <c r="F3509">
        <v>211129165</v>
      </c>
      <c r="G3509">
        <v>128098783</v>
      </c>
      <c r="H3509">
        <v>227866944</v>
      </c>
      <c r="I3509">
        <v>221019207</v>
      </c>
      <c r="J3509">
        <v>182661629</v>
      </c>
      <c r="K3509">
        <v>922733223</v>
      </c>
      <c r="L3509">
        <v>1341848978</v>
      </c>
      <c r="M3509">
        <v>962614743</v>
      </c>
      <c r="N3509">
        <v>402370466</v>
      </c>
      <c r="O3509">
        <v>573993823</v>
      </c>
      <c r="P3509">
        <v>335</v>
      </c>
      <c r="Q3509" t="s">
        <v>7353</v>
      </c>
    </row>
    <row r="3510" spans="1:17" x14ac:dyDescent="0.3">
      <c r="A3510" t="s">
        <v>17</v>
      </c>
      <c r="B3510" t="str">
        <f>"600393"</f>
        <v>600393</v>
      </c>
      <c r="C3510" t="s">
        <v>7354</v>
      </c>
      <c r="D3510" t="s">
        <v>27</v>
      </c>
      <c r="E3510">
        <v>153696017</v>
      </c>
      <c r="F3510">
        <v>118316363</v>
      </c>
      <c r="G3510">
        <v>329418652</v>
      </c>
      <c r="H3510">
        <v>1062066155</v>
      </c>
      <c r="I3510">
        <v>889381146</v>
      </c>
      <c r="J3510">
        <v>1563953299</v>
      </c>
      <c r="K3510">
        <v>115047149</v>
      </c>
      <c r="L3510">
        <v>102865446</v>
      </c>
      <c r="M3510">
        <v>54005796</v>
      </c>
      <c r="N3510">
        <v>30522039</v>
      </c>
      <c r="O3510">
        <v>24486679</v>
      </c>
      <c r="P3510">
        <v>131</v>
      </c>
      <c r="Q3510" t="s">
        <v>7355</v>
      </c>
    </row>
    <row r="3511" spans="1:17" x14ac:dyDescent="0.3">
      <c r="A3511" t="s">
        <v>17</v>
      </c>
      <c r="B3511" t="str">
        <f>"603096"</f>
        <v>603096</v>
      </c>
      <c r="C3511" t="s">
        <v>7356</v>
      </c>
      <c r="D3511" t="s">
        <v>1921</v>
      </c>
      <c r="E3511">
        <v>153686977</v>
      </c>
      <c r="F3511">
        <v>211633034</v>
      </c>
      <c r="G3511">
        <v>176494316</v>
      </c>
      <c r="H3511">
        <v>151873443</v>
      </c>
      <c r="I3511">
        <v>228234976</v>
      </c>
      <c r="J3511">
        <v>104363816</v>
      </c>
      <c r="P3511">
        <v>222</v>
      </c>
      <c r="Q3511" t="s">
        <v>7357</v>
      </c>
    </row>
    <row r="3512" spans="1:17" x14ac:dyDescent="0.3">
      <c r="A3512" t="s">
        <v>73</v>
      </c>
      <c r="B3512" t="str">
        <f>"002872"</f>
        <v>002872</v>
      </c>
      <c r="C3512" t="s">
        <v>7358</v>
      </c>
      <c r="D3512" t="s">
        <v>50</v>
      </c>
      <c r="E3512">
        <v>153596942</v>
      </c>
      <c r="F3512">
        <v>593157744</v>
      </c>
      <c r="G3512">
        <v>707368608</v>
      </c>
      <c r="H3512">
        <v>871232677</v>
      </c>
      <c r="I3512">
        <v>879634881</v>
      </c>
      <c r="J3512">
        <v>0</v>
      </c>
      <c r="P3512">
        <v>69</v>
      </c>
      <c r="Q3512" t="s">
        <v>7359</v>
      </c>
    </row>
    <row r="3513" spans="1:17" x14ac:dyDescent="0.3">
      <c r="A3513" t="s">
        <v>17</v>
      </c>
      <c r="B3513" t="str">
        <f>"603039"</f>
        <v>603039</v>
      </c>
      <c r="C3513" t="s">
        <v>7360</v>
      </c>
      <c r="D3513" t="s">
        <v>404</v>
      </c>
      <c r="E3513">
        <v>153525311</v>
      </c>
      <c r="F3513">
        <v>95326674</v>
      </c>
      <c r="G3513">
        <v>121033868</v>
      </c>
      <c r="H3513">
        <v>82179553</v>
      </c>
      <c r="I3513">
        <v>51464802</v>
      </c>
      <c r="J3513">
        <v>32916837</v>
      </c>
      <c r="P3513">
        <v>609</v>
      </c>
      <c r="Q3513" t="s">
        <v>7361</v>
      </c>
    </row>
    <row r="3514" spans="1:17" x14ac:dyDescent="0.3">
      <c r="A3514" t="s">
        <v>73</v>
      </c>
      <c r="B3514" t="str">
        <f>"002795"</f>
        <v>002795</v>
      </c>
      <c r="C3514" t="s">
        <v>7362</v>
      </c>
      <c r="D3514" t="s">
        <v>146</v>
      </c>
      <c r="E3514">
        <v>153505972</v>
      </c>
      <c r="F3514">
        <v>117212850</v>
      </c>
      <c r="G3514">
        <v>83991580</v>
      </c>
      <c r="H3514">
        <v>99153199</v>
      </c>
      <c r="I3514">
        <v>135689879</v>
      </c>
      <c r="J3514">
        <v>104560079</v>
      </c>
      <c r="K3514">
        <v>98040724</v>
      </c>
      <c r="L3514">
        <v>0</v>
      </c>
      <c r="P3514">
        <v>73</v>
      </c>
      <c r="Q3514" t="s">
        <v>7363</v>
      </c>
    </row>
    <row r="3515" spans="1:17" x14ac:dyDescent="0.3">
      <c r="A3515" t="s">
        <v>17</v>
      </c>
      <c r="B3515" t="str">
        <f>"688269"</f>
        <v>688269</v>
      </c>
      <c r="C3515" t="s">
        <v>7364</v>
      </c>
      <c r="D3515" t="s">
        <v>1949</v>
      </c>
      <c r="E3515">
        <v>153315667</v>
      </c>
      <c r="F3515">
        <v>117329829</v>
      </c>
      <c r="P3515">
        <v>58</v>
      </c>
      <c r="Q3515" t="s">
        <v>7365</v>
      </c>
    </row>
    <row r="3516" spans="1:17" x14ac:dyDescent="0.3">
      <c r="A3516" t="s">
        <v>17</v>
      </c>
      <c r="B3516" t="str">
        <f>"688004"</f>
        <v>688004</v>
      </c>
      <c r="C3516" t="s">
        <v>7366</v>
      </c>
      <c r="D3516" t="s">
        <v>302</v>
      </c>
      <c r="E3516">
        <v>152957276</v>
      </c>
      <c r="F3516">
        <v>115402048</v>
      </c>
      <c r="G3516">
        <v>0</v>
      </c>
      <c r="P3516">
        <v>37</v>
      </c>
      <c r="Q3516" t="s">
        <v>7367</v>
      </c>
    </row>
    <row r="3517" spans="1:17" x14ac:dyDescent="0.3">
      <c r="A3517" t="s">
        <v>17</v>
      </c>
      <c r="B3517" t="str">
        <f>"603488"</f>
        <v>603488</v>
      </c>
      <c r="C3517" t="s">
        <v>7368</v>
      </c>
      <c r="D3517" t="s">
        <v>744</v>
      </c>
      <c r="E3517">
        <v>152833285</v>
      </c>
      <c r="F3517">
        <v>136652182</v>
      </c>
      <c r="G3517">
        <v>108594009</v>
      </c>
      <c r="H3517">
        <v>105736809</v>
      </c>
      <c r="I3517">
        <v>89558140</v>
      </c>
      <c r="J3517">
        <v>0</v>
      </c>
      <c r="K3517">
        <v>0</v>
      </c>
      <c r="P3517">
        <v>64</v>
      </c>
      <c r="Q3517" t="s">
        <v>7369</v>
      </c>
    </row>
    <row r="3518" spans="1:17" x14ac:dyDescent="0.3">
      <c r="A3518" t="s">
        <v>73</v>
      </c>
      <c r="B3518" t="str">
        <f>"002615"</f>
        <v>002615</v>
      </c>
      <c r="C3518" t="s">
        <v>7370</v>
      </c>
      <c r="D3518" t="s">
        <v>3902</v>
      </c>
      <c r="E3518">
        <v>152682261</v>
      </c>
      <c r="F3518">
        <v>141910249</v>
      </c>
      <c r="G3518">
        <v>148254159</v>
      </c>
      <c r="H3518">
        <v>271861868</v>
      </c>
      <c r="I3518">
        <v>191249980</v>
      </c>
      <c r="J3518">
        <v>144632423</v>
      </c>
      <c r="K3518">
        <v>135623522</v>
      </c>
      <c r="L3518">
        <v>104731945</v>
      </c>
      <c r="M3518">
        <v>83012091</v>
      </c>
      <c r="N3518">
        <v>71920882</v>
      </c>
      <c r="O3518">
        <v>78885340</v>
      </c>
      <c r="P3518">
        <v>178</v>
      </c>
      <c r="Q3518" t="s">
        <v>7371</v>
      </c>
    </row>
    <row r="3519" spans="1:17" x14ac:dyDescent="0.3">
      <c r="A3519" t="s">
        <v>17</v>
      </c>
      <c r="B3519" t="str">
        <f>"600856"</f>
        <v>600856</v>
      </c>
      <c r="C3519" t="s">
        <v>7372</v>
      </c>
      <c r="D3519" t="s">
        <v>1930</v>
      </c>
      <c r="E3519">
        <v>152212196</v>
      </c>
      <c r="F3519">
        <v>237566034</v>
      </c>
      <c r="G3519">
        <v>225452563</v>
      </c>
      <c r="H3519">
        <v>629964504</v>
      </c>
      <c r="I3519">
        <v>1139153394</v>
      </c>
      <c r="J3519">
        <v>798671986</v>
      </c>
      <c r="K3519">
        <v>237065676</v>
      </c>
      <c r="L3519">
        <v>226218251</v>
      </c>
      <c r="M3519">
        <v>182631</v>
      </c>
      <c r="N3519">
        <v>182631</v>
      </c>
      <c r="O3519">
        <v>1492309</v>
      </c>
      <c r="P3519">
        <v>129</v>
      </c>
      <c r="Q3519" t="s">
        <v>7373</v>
      </c>
    </row>
    <row r="3520" spans="1:17" x14ac:dyDescent="0.3">
      <c r="A3520" t="s">
        <v>73</v>
      </c>
      <c r="B3520" t="str">
        <f>"002843"</f>
        <v>002843</v>
      </c>
      <c r="C3520" t="s">
        <v>7374</v>
      </c>
      <c r="D3520" t="s">
        <v>146</v>
      </c>
      <c r="E3520">
        <v>152200455</v>
      </c>
      <c r="F3520">
        <v>105148951</v>
      </c>
      <c r="G3520">
        <v>104302724</v>
      </c>
      <c r="H3520">
        <v>94633637</v>
      </c>
      <c r="I3520">
        <v>81964630</v>
      </c>
      <c r="J3520">
        <v>77073001</v>
      </c>
      <c r="P3520">
        <v>74</v>
      </c>
      <c r="Q3520" t="s">
        <v>7375</v>
      </c>
    </row>
    <row r="3521" spans="1:17" x14ac:dyDescent="0.3">
      <c r="A3521" t="s">
        <v>73</v>
      </c>
      <c r="B3521" t="str">
        <f>"301226"</f>
        <v>301226</v>
      </c>
      <c r="C3521" t="s">
        <v>7376</v>
      </c>
      <c r="E3521">
        <v>152035497</v>
      </c>
      <c r="P3521">
        <v>4</v>
      </c>
      <c r="Q3521" t="s">
        <v>7377</v>
      </c>
    </row>
    <row r="3522" spans="1:17" x14ac:dyDescent="0.3">
      <c r="A3522" t="s">
        <v>73</v>
      </c>
      <c r="B3522" t="str">
        <f>"300143"</f>
        <v>300143</v>
      </c>
      <c r="C3522" t="s">
        <v>7378</v>
      </c>
      <c r="D3522" t="s">
        <v>1255</v>
      </c>
      <c r="E3522">
        <v>151976474</v>
      </c>
      <c r="F3522">
        <v>127763989</v>
      </c>
      <c r="G3522">
        <v>116034376</v>
      </c>
      <c r="H3522">
        <v>97184255</v>
      </c>
      <c r="I3522">
        <v>148851625</v>
      </c>
      <c r="J3522">
        <v>91480695</v>
      </c>
      <c r="K3522">
        <v>58695075</v>
      </c>
      <c r="L3522">
        <v>14153555</v>
      </c>
      <c r="M3522">
        <v>15465316</v>
      </c>
      <c r="N3522">
        <v>22611671</v>
      </c>
      <c r="O3522">
        <v>11038248</v>
      </c>
      <c r="P3522">
        <v>150</v>
      </c>
      <c r="Q3522" t="s">
        <v>7379</v>
      </c>
    </row>
    <row r="3523" spans="1:17" x14ac:dyDescent="0.3">
      <c r="A3523" t="s">
        <v>17</v>
      </c>
      <c r="B3523" t="str">
        <f>"603579"</f>
        <v>603579</v>
      </c>
      <c r="C3523" t="s">
        <v>7380</v>
      </c>
      <c r="D3523" t="s">
        <v>2524</v>
      </c>
      <c r="E3523">
        <v>151898227</v>
      </c>
      <c r="F3523">
        <v>93417306</v>
      </c>
      <c r="G3523">
        <v>108540237</v>
      </c>
      <c r="H3523">
        <v>104104614</v>
      </c>
      <c r="I3523">
        <v>111266130</v>
      </c>
      <c r="J3523">
        <v>67505236</v>
      </c>
      <c r="P3523">
        <v>597</v>
      </c>
      <c r="Q3523" t="s">
        <v>7381</v>
      </c>
    </row>
    <row r="3524" spans="1:17" x14ac:dyDescent="0.3">
      <c r="A3524" t="s">
        <v>17</v>
      </c>
      <c r="B3524" t="str">
        <f>"603656"</f>
        <v>603656</v>
      </c>
      <c r="C3524" t="s">
        <v>7382</v>
      </c>
      <c r="D3524" t="s">
        <v>1451</v>
      </c>
      <c r="E3524">
        <v>151449013</v>
      </c>
      <c r="F3524">
        <v>129657452</v>
      </c>
      <c r="G3524">
        <v>94806762</v>
      </c>
      <c r="H3524">
        <v>94514808</v>
      </c>
      <c r="I3524">
        <v>90488943</v>
      </c>
      <c r="J3524">
        <v>86464663</v>
      </c>
      <c r="P3524">
        <v>80</v>
      </c>
      <c r="Q3524" t="s">
        <v>7383</v>
      </c>
    </row>
    <row r="3525" spans="1:17" x14ac:dyDescent="0.3">
      <c r="A3525" t="s">
        <v>17</v>
      </c>
      <c r="B3525" t="str">
        <f>"600702"</f>
        <v>600702</v>
      </c>
      <c r="C3525" t="s">
        <v>7384</v>
      </c>
      <c r="D3525" t="s">
        <v>7050</v>
      </c>
      <c r="E3525">
        <v>151374848</v>
      </c>
      <c r="F3525">
        <v>201422157</v>
      </c>
      <c r="G3525">
        <v>152921485</v>
      </c>
      <c r="H3525">
        <v>110012192</v>
      </c>
      <c r="I3525">
        <v>84096087</v>
      </c>
      <c r="J3525">
        <v>26076260</v>
      </c>
      <c r="K3525">
        <v>35409782</v>
      </c>
      <c r="L3525">
        <v>46871273</v>
      </c>
      <c r="M3525">
        <v>51594992</v>
      </c>
      <c r="N3525">
        <v>55474894</v>
      </c>
      <c r="O3525">
        <v>36014564</v>
      </c>
      <c r="P3525">
        <v>1462</v>
      </c>
      <c r="Q3525" t="s">
        <v>7385</v>
      </c>
    </row>
    <row r="3526" spans="1:17" x14ac:dyDescent="0.3">
      <c r="A3526" t="s">
        <v>17</v>
      </c>
      <c r="B3526" t="str">
        <f>"688621"</f>
        <v>688621</v>
      </c>
      <c r="C3526" t="s">
        <v>7386</v>
      </c>
      <c r="D3526" t="s">
        <v>459</v>
      </c>
      <c r="E3526">
        <v>151286791</v>
      </c>
      <c r="F3526">
        <v>68077317</v>
      </c>
      <c r="G3526">
        <v>41294972</v>
      </c>
      <c r="P3526">
        <v>63</v>
      </c>
      <c r="Q3526" t="s">
        <v>7387</v>
      </c>
    </row>
    <row r="3527" spans="1:17" x14ac:dyDescent="0.3">
      <c r="A3527" t="s">
        <v>17</v>
      </c>
      <c r="B3527" t="str">
        <f>"688011"</f>
        <v>688011</v>
      </c>
      <c r="C3527" t="s">
        <v>7388</v>
      </c>
      <c r="D3527" t="s">
        <v>502</v>
      </c>
      <c r="E3527">
        <v>151234495</v>
      </c>
      <c r="F3527">
        <v>164955618</v>
      </c>
      <c r="G3527">
        <v>186346702</v>
      </c>
      <c r="H3527">
        <v>127012341</v>
      </c>
      <c r="P3527">
        <v>88</v>
      </c>
      <c r="Q3527" t="s">
        <v>7389</v>
      </c>
    </row>
    <row r="3528" spans="1:17" x14ac:dyDescent="0.3">
      <c r="A3528" t="s">
        <v>73</v>
      </c>
      <c r="B3528" t="str">
        <f>"301279"</f>
        <v>301279</v>
      </c>
      <c r="C3528" t="s">
        <v>7390</v>
      </c>
      <c r="E3528">
        <v>151161079</v>
      </c>
      <c r="P3528">
        <v>5</v>
      </c>
      <c r="Q3528" t="s">
        <v>7391</v>
      </c>
    </row>
    <row r="3529" spans="1:17" x14ac:dyDescent="0.3">
      <c r="A3529" t="s">
        <v>17</v>
      </c>
      <c r="B3529" t="str">
        <f>"600495"</f>
        <v>600495</v>
      </c>
      <c r="C3529" t="s">
        <v>7392</v>
      </c>
      <c r="D3529" t="s">
        <v>47</v>
      </c>
      <c r="E3529">
        <v>151151781</v>
      </c>
      <c r="F3529">
        <v>144418307</v>
      </c>
      <c r="G3529">
        <v>160832485</v>
      </c>
      <c r="H3529">
        <v>284914241</v>
      </c>
      <c r="I3529">
        <v>250583919</v>
      </c>
      <c r="J3529">
        <v>370011414</v>
      </c>
      <c r="K3529">
        <v>287544562</v>
      </c>
      <c r="L3529">
        <v>469935855</v>
      </c>
      <c r="M3529">
        <v>293586057</v>
      </c>
      <c r="N3529">
        <v>233812173</v>
      </c>
      <c r="O3529">
        <v>342243616</v>
      </c>
      <c r="P3529">
        <v>122</v>
      </c>
      <c r="Q3529" t="s">
        <v>7393</v>
      </c>
    </row>
    <row r="3530" spans="1:17" x14ac:dyDescent="0.3">
      <c r="A3530" t="s">
        <v>73</v>
      </c>
      <c r="B3530" t="str">
        <f>"002667"</f>
        <v>002667</v>
      </c>
      <c r="C3530" t="s">
        <v>7394</v>
      </c>
      <c r="D3530" t="s">
        <v>311</v>
      </c>
      <c r="E3530">
        <v>151015284</v>
      </c>
      <c r="F3530">
        <v>95352989</v>
      </c>
      <c r="G3530">
        <v>86859929</v>
      </c>
      <c r="H3530">
        <v>131081190</v>
      </c>
      <c r="I3530">
        <v>126744607</v>
      </c>
      <c r="J3530">
        <v>108621309</v>
      </c>
      <c r="K3530">
        <v>144183270</v>
      </c>
      <c r="L3530">
        <v>153220800</v>
      </c>
      <c r="M3530">
        <v>142345892</v>
      </c>
      <c r="N3530">
        <v>119515381</v>
      </c>
      <c r="O3530">
        <v>92596734</v>
      </c>
      <c r="P3530">
        <v>73</v>
      </c>
      <c r="Q3530" t="s">
        <v>7395</v>
      </c>
    </row>
    <row r="3531" spans="1:17" x14ac:dyDescent="0.3">
      <c r="A3531" t="s">
        <v>17</v>
      </c>
      <c r="B3531" t="str">
        <f>"688628"</f>
        <v>688628</v>
      </c>
      <c r="C3531" t="s">
        <v>7396</v>
      </c>
      <c r="D3531" t="s">
        <v>2280</v>
      </c>
      <c r="E3531">
        <v>150717181</v>
      </c>
      <c r="F3531">
        <v>94106555</v>
      </c>
      <c r="P3531">
        <v>35</v>
      </c>
      <c r="Q3531" t="s">
        <v>7397</v>
      </c>
    </row>
    <row r="3532" spans="1:17" x14ac:dyDescent="0.3">
      <c r="A3532" t="s">
        <v>17</v>
      </c>
      <c r="B3532" t="str">
        <f>"603605"</f>
        <v>603605</v>
      </c>
      <c r="C3532" t="s">
        <v>7398</v>
      </c>
      <c r="D3532" t="s">
        <v>2351</v>
      </c>
      <c r="E3532">
        <v>150599733</v>
      </c>
      <c r="F3532">
        <v>206385941</v>
      </c>
      <c r="G3532">
        <v>186480131</v>
      </c>
      <c r="H3532">
        <v>87665620</v>
      </c>
      <c r="I3532">
        <v>78337993</v>
      </c>
      <c r="P3532">
        <v>1725</v>
      </c>
      <c r="Q3532" t="s">
        <v>7399</v>
      </c>
    </row>
    <row r="3533" spans="1:17" x14ac:dyDescent="0.3">
      <c r="A3533" t="s">
        <v>17</v>
      </c>
      <c r="B3533" t="str">
        <f>"688026"</f>
        <v>688026</v>
      </c>
      <c r="C3533" t="s">
        <v>7400</v>
      </c>
      <c r="D3533" t="s">
        <v>3079</v>
      </c>
      <c r="E3533">
        <v>150278083</v>
      </c>
      <c r="F3533">
        <v>124174375</v>
      </c>
      <c r="G3533">
        <v>58140506</v>
      </c>
      <c r="H3533">
        <v>47403458</v>
      </c>
      <c r="P3533">
        <v>211</v>
      </c>
      <c r="Q3533" t="s">
        <v>7401</v>
      </c>
    </row>
    <row r="3534" spans="1:17" x14ac:dyDescent="0.3">
      <c r="A3534" t="s">
        <v>17</v>
      </c>
      <c r="B3534" t="str">
        <f>"603689"</f>
        <v>603689</v>
      </c>
      <c r="C3534" t="s">
        <v>7402</v>
      </c>
      <c r="D3534" t="s">
        <v>469</v>
      </c>
      <c r="E3534">
        <v>150274595</v>
      </c>
      <c r="F3534">
        <v>137776765</v>
      </c>
      <c r="G3534">
        <v>104990837</v>
      </c>
      <c r="H3534">
        <v>69800481</v>
      </c>
      <c r="I3534">
        <v>96084965</v>
      </c>
      <c r="J3534">
        <v>85746974</v>
      </c>
      <c r="P3534">
        <v>117</v>
      </c>
      <c r="Q3534" t="s">
        <v>7403</v>
      </c>
    </row>
    <row r="3535" spans="1:17" x14ac:dyDescent="0.3">
      <c r="A3535" t="s">
        <v>17</v>
      </c>
      <c r="B3535" t="str">
        <f>"600260"</f>
        <v>600260</v>
      </c>
      <c r="C3535" t="s">
        <v>7404</v>
      </c>
      <c r="D3535" t="s">
        <v>2542</v>
      </c>
      <c r="E3535">
        <v>150237092</v>
      </c>
      <c r="F3535">
        <v>503216584</v>
      </c>
      <c r="G3535">
        <v>1864328757</v>
      </c>
      <c r="H3535">
        <v>782042712</v>
      </c>
      <c r="I3535">
        <v>1935639121</v>
      </c>
      <c r="J3535">
        <v>1254844717</v>
      </c>
      <c r="K3535">
        <v>852475992</v>
      </c>
      <c r="L3535">
        <v>626356073</v>
      </c>
      <c r="M3535">
        <v>452208248</v>
      </c>
      <c r="N3535">
        <v>568673210</v>
      </c>
      <c r="O3535">
        <v>492838064</v>
      </c>
      <c r="P3535">
        <v>467</v>
      </c>
      <c r="Q3535" t="s">
        <v>7405</v>
      </c>
    </row>
    <row r="3536" spans="1:17" x14ac:dyDescent="0.3">
      <c r="A3536" t="s">
        <v>73</v>
      </c>
      <c r="B3536" t="str">
        <f>"300456"</f>
        <v>300456</v>
      </c>
      <c r="C3536" t="s">
        <v>7406</v>
      </c>
      <c r="D3536" t="s">
        <v>2401</v>
      </c>
      <c r="E3536">
        <v>150065528</v>
      </c>
      <c r="F3536">
        <v>237173752</v>
      </c>
      <c r="G3536">
        <v>312072213</v>
      </c>
      <c r="H3536">
        <v>398895242</v>
      </c>
      <c r="I3536">
        <v>381455546</v>
      </c>
      <c r="J3536">
        <v>296058404</v>
      </c>
      <c r="K3536">
        <v>122053620</v>
      </c>
      <c r="L3536">
        <v>0</v>
      </c>
      <c r="M3536">
        <v>0</v>
      </c>
      <c r="P3536">
        <v>376</v>
      </c>
      <c r="Q3536" t="s">
        <v>7407</v>
      </c>
    </row>
    <row r="3537" spans="1:17" x14ac:dyDescent="0.3">
      <c r="A3537" t="s">
        <v>17</v>
      </c>
      <c r="B3537" t="str">
        <f>"600851"</f>
        <v>600851</v>
      </c>
      <c r="C3537" t="s">
        <v>7408</v>
      </c>
      <c r="D3537" t="s">
        <v>348</v>
      </c>
      <c r="E3537">
        <v>149609123</v>
      </c>
      <c r="F3537">
        <v>133590595</v>
      </c>
      <c r="G3537">
        <v>152395876</v>
      </c>
      <c r="H3537">
        <v>182359719</v>
      </c>
      <c r="I3537">
        <v>177575744</v>
      </c>
      <c r="J3537">
        <v>199312972</v>
      </c>
      <c r="K3537">
        <v>222070174</v>
      </c>
      <c r="L3537">
        <v>221000348</v>
      </c>
      <c r="M3537">
        <v>278699159</v>
      </c>
      <c r="N3537">
        <v>248639925</v>
      </c>
      <c r="O3537">
        <v>215278008</v>
      </c>
      <c r="P3537">
        <v>98</v>
      </c>
      <c r="Q3537" t="s">
        <v>7409</v>
      </c>
    </row>
    <row r="3538" spans="1:17" x14ac:dyDescent="0.3">
      <c r="A3538" t="s">
        <v>17</v>
      </c>
      <c r="B3538" t="str">
        <f>"688220"</f>
        <v>688220</v>
      </c>
      <c r="C3538" t="s">
        <v>7410</v>
      </c>
      <c r="D3538" t="s">
        <v>3360</v>
      </c>
      <c r="E3538">
        <v>149517722</v>
      </c>
      <c r="P3538">
        <v>19</v>
      </c>
      <c r="Q3538" t="s">
        <v>7411</v>
      </c>
    </row>
    <row r="3539" spans="1:17" x14ac:dyDescent="0.3">
      <c r="A3539" t="s">
        <v>17</v>
      </c>
      <c r="B3539" t="str">
        <f>"688290"</f>
        <v>688290</v>
      </c>
      <c r="C3539" t="s">
        <v>7412</v>
      </c>
      <c r="E3539">
        <v>149400312</v>
      </c>
      <c r="P3539">
        <v>0</v>
      </c>
      <c r="Q3539" t="s">
        <v>7413</v>
      </c>
    </row>
    <row r="3540" spans="1:17" x14ac:dyDescent="0.3">
      <c r="A3540" t="s">
        <v>17</v>
      </c>
      <c r="B3540" t="str">
        <f>"603095"</f>
        <v>603095</v>
      </c>
      <c r="C3540" t="s">
        <v>7414</v>
      </c>
      <c r="D3540" t="s">
        <v>792</v>
      </c>
      <c r="E3540">
        <v>149359166</v>
      </c>
      <c r="F3540">
        <v>119344029</v>
      </c>
      <c r="G3540">
        <v>127837748</v>
      </c>
      <c r="P3540">
        <v>64</v>
      </c>
      <c r="Q3540" t="s">
        <v>7415</v>
      </c>
    </row>
    <row r="3541" spans="1:17" x14ac:dyDescent="0.3">
      <c r="A3541" t="s">
        <v>17</v>
      </c>
      <c r="B3541" t="str">
        <f>"600241"</f>
        <v>600241</v>
      </c>
      <c r="C3541" t="s">
        <v>7416</v>
      </c>
      <c r="D3541" t="s">
        <v>1711</v>
      </c>
      <c r="E3541">
        <v>148869064</v>
      </c>
      <c r="F3541">
        <v>130020292</v>
      </c>
      <c r="G3541">
        <v>44219548</v>
      </c>
      <c r="H3541">
        <v>61850227</v>
      </c>
      <c r="I3541">
        <v>192481680</v>
      </c>
      <c r="J3541">
        <v>158092334</v>
      </c>
      <c r="K3541">
        <v>160599893</v>
      </c>
      <c r="L3541">
        <v>130813805</v>
      </c>
      <c r="M3541">
        <v>128679761</v>
      </c>
      <c r="N3541">
        <v>129806124</v>
      </c>
      <c r="O3541">
        <v>120043235</v>
      </c>
      <c r="P3541">
        <v>51</v>
      </c>
      <c r="Q3541" t="s">
        <v>7417</v>
      </c>
    </row>
    <row r="3542" spans="1:17" x14ac:dyDescent="0.3">
      <c r="A3542" t="s">
        <v>17</v>
      </c>
      <c r="B3542" t="str">
        <f>"688170"</f>
        <v>688170</v>
      </c>
      <c r="C3542" t="s">
        <v>7418</v>
      </c>
      <c r="E3542">
        <v>148816716</v>
      </c>
      <c r="P3542">
        <v>2</v>
      </c>
      <c r="Q3542" t="s">
        <v>7419</v>
      </c>
    </row>
    <row r="3543" spans="1:17" x14ac:dyDescent="0.3">
      <c r="A3543" t="s">
        <v>17</v>
      </c>
      <c r="B3543" t="str">
        <f>"688258"</f>
        <v>688258</v>
      </c>
      <c r="C3543" t="s">
        <v>7420</v>
      </c>
      <c r="D3543" t="s">
        <v>302</v>
      </c>
      <c r="E3543">
        <v>148621643</v>
      </c>
      <c r="F3543">
        <v>147517117</v>
      </c>
      <c r="G3543">
        <v>63533884</v>
      </c>
      <c r="P3543">
        <v>2718</v>
      </c>
      <c r="Q3543" t="s">
        <v>7421</v>
      </c>
    </row>
    <row r="3544" spans="1:17" x14ac:dyDescent="0.3">
      <c r="A3544" t="s">
        <v>17</v>
      </c>
      <c r="B3544" t="str">
        <f>"603429"</f>
        <v>603429</v>
      </c>
      <c r="C3544" t="s">
        <v>7422</v>
      </c>
      <c r="D3544" t="s">
        <v>577</v>
      </c>
      <c r="E3544">
        <v>148399240</v>
      </c>
      <c r="F3544">
        <v>88267651</v>
      </c>
      <c r="G3544">
        <v>177259613</v>
      </c>
      <c r="H3544">
        <v>138536963</v>
      </c>
      <c r="I3544">
        <v>113740241</v>
      </c>
      <c r="J3544">
        <v>37550555</v>
      </c>
      <c r="K3544">
        <v>0</v>
      </c>
      <c r="P3544">
        <v>368</v>
      </c>
      <c r="Q3544" t="s">
        <v>7423</v>
      </c>
    </row>
    <row r="3545" spans="1:17" x14ac:dyDescent="0.3">
      <c r="A3545" t="s">
        <v>73</v>
      </c>
      <c r="B3545" t="str">
        <f>"300788"</f>
        <v>300788</v>
      </c>
      <c r="C3545" t="s">
        <v>7424</v>
      </c>
      <c r="D3545" t="s">
        <v>1921</v>
      </c>
      <c r="E3545">
        <v>148359108</v>
      </c>
      <c r="F3545">
        <v>137331099</v>
      </c>
      <c r="G3545">
        <v>117856477</v>
      </c>
      <c r="H3545">
        <v>0</v>
      </c>
      <c r="P3545">
        <v>347</v>
      </c>
      <c r="Q3545" t="s">
        <v>7425</v>
      </c>
    </row>
    <row r="3546" spans="1:17" x14ac:dyDescent="0.3">
      <c r="A3546" t="s">
        <v>73</v>
      </c>
      <c r="B3546" t="str">
        <f>"300092"</f>
        <v>300092</v>
      </c>
      <c r="C3546" t="s">
        <v>7426</v>
      </c>
      <c r="D3546" t="s">
        <v>146</v>
      </c>
      <c r="E3546">
        <v>148136497</v>
      </c>
      <c r="F3546">
        <v>166073612</v>
      </c>
      <c r="G3546">
        <v>287012109</v>
      </c>
      <c r="H3546">
        <v>295219985</v>
      </c>
      <c r="I3546">
        <v>211186228</v>
      </c>
      <c r="J3546">
        <v>232579827</v>
      </c>
      <c r="K3546">
        <v>144782035</v>
      </c>
      <c r="L3546">
        <v>171714537</v>
      </c>
      <c r="M3546">
        <v>148440997</v>
      </c>
      <c r="N3546">
        <v>99615947</v>
      </c>
      <c r="O3546">
        <v>131590278</v>
      </c>
      <c r="P3546">
        <v>81</v>
      </c>
      <c r="Q3546" t="s">
        <v>7427</v>
      </c>
    </row>
    <row r="3547" spans="1:17" x14ac:dyDescent="0.3">
      <c r="A3547" t="s">
        <v>73</v>
      </c>
      <c r="B3547" t="str">
        <f>"003039"</f>
        <v>003039</v>
      </c>
      <c r="C3547" t="s">
        <v>7428</v>
      </c>
      <c r="D3547" t="s">
        <v>308</v>
      </c>
      <c r="E3547">
        <v>148053522</v>
      </c>
      <c r="F3547">
        <v>113416713</v>
      </c>
      <c r="P3547">
        <v>64</v>
      </c>
      <c r="Q3547" t="s">
        <v>7429</v>
      </c>
    </row>
    <row r="3548" spans="1:17" x14ac:dyDescent="0.3">
      <c r="A3548" t="s">
        <v>73</v>
      </c>
      <c r="B3548" t="str">
        <f>"300864"</f>
        <v>300864</v>
      </c>
      <c r="C3548" t="s">
        <v>7430</v>
      </c>
      <c r="D3548" t="s">
        <v>472</v>
      </c>
      <c r="E3548">
        <v>147664771</v>
      </c>
      <c r="F3548">
        <v>119650132</v>
      </c>
      <c r="P3548">
        <v>121</v>
      </c>
      <c r="Q3548" t="s">
        <v>7431</v>
      </c>
    </row>
    <row r="3549" spans="1:17" x14ac:dyDescent="0.3">
      <c r="A3549" t="s">
        <v>17</v>
      </c>
      <c r="B3549" t="str">
        <f>"603329"</f>
        <v>603329</v>
      </c>
      <c r="C3549" t="s">
        <v>7432</v>
      </c>
      <c r="D3549" t="s">
        <v>192</v>
      </c>
      <c r="E3549">
        <v>147642618</v>
      </c>
      <c r="F3549">
        <v>102236138</v>
      </c>
      <c r="G3549">
        <v>169592772</v>
      </c>
      <c r="H3549">
        <v>211004812</v>
      </c>
      <c r="I3549">
        <v>175849503</v>
      </c>
      <c r="P3549">
        <v>62</v>
      </c>
      <c r="Q3549" t="s">
        <v>7433</v>
      </c>
    </row>
    <row r="3550" spans="1:17" x14ac:dyDescent="0.3">
      <c r="A3550" t="s">
        <v>73</v>
      </c>
      <c r="B3550" t="str">
        <f>"300479"</f>
        <v>300479</v>
      </c>
      <c r="C3550" t="s">
        <v>7434</v>
      </c>
      <c r="D3550" t="s">
        <v>158</v>
      </c>
      <c r="E3550">
        <v>147468125</v>
      </c>
      <c r="F3550">
        <v>203742148</v>
      </c>
      <c r="G3550">
        <v>256800699</v>
      </c>
      <c r="H3550">
        <v>230764047</v>
      </c>
      <c r="I3550">
        <v>170827651</v>
      </c>
      <c r="J3550">
        <v>115912396</v>
      </c>
      <c r="K3550">
        <v>71520184</v>
      </c>
      <c r="L3550">
        <v>87071290</v>
      </c>
      <c r="M3550">
        <v>0</v>
      </c>
      <c r="P3550">
        <v>167</v>
      </c>
      <c r="Q3550" t="s">
        <v>7435</v>
      </c>
    </row>
    <row r="3551" spans="1:17" x14ac:dyDescent="0.3">
      <c r="A3551" t="s">
        <v>73</v>
      </c>
      <c r="B3551" t="str">
        <f>"002702"</f>
        <v>002702</v>
      </c>
      <c r="C3551" t="s">
        <v>7436</v>
      </c>
      <c r="D3551" t="s">
        <v>4652</v>
      </c>
      <c r="E3551">
        <v>147022646</v>
      </c>
      <c r="F3551">
        <v>150290459</v>
      </c>
      <c r="G3551">
        <v>156883141</v>
      </c>
      <c r="H3551">
        <v>113590511</v>
      </c>
      <c r="I3551">
        <v>89990383</v>
      </c>
      <c r="J3551">
        <v>76041527</v>
      </c>
      <c r="K3551">
        <v>101428531</v>
      </c>
      <c r="L3551">
        <v>98483826</v>
      </c>
      <c r="M3551">
        <v>95104632</v>
      </c>
      <c r="N3551">
        <v>110652834</v>
      </c>
      <c r="O3551">
        <v>0</v>
      </c>
      <c r="P3551">
        <v>186</v>
      </c>
      <c r="Q3551" t="s">
        <v>7437</v>
      </c>
    </row>
    <row r="3552" spans="1:17" x14ac:dyDescent="0.3">
      <c r="A3552" t="s">
        <v>17</v>
      </c>
      <c r="B3552" t="str">
        <f>"605158"</f>
        <v>605158</v>
      </c>
      <c r="C3552" t="s">
        <v>7438</v>
      </c>
      <c r="D3552" t="s">
        <v>221</v>
      </c>
      <c r="E3552">
        <v>146751554</v>
      </c>
      <c r="F3552">
        <v>61741804</v>
      </c>
      <c r="G3552">
        <v>144866576</v>
      </c>
      <c r="P3552">
        <v>91</v>
      </c>
      <c r="Q3552" t="s">
        <v>7439</v>
      </c>
    </row>
    <row r="3553" spans="1:17" x14ac:dyDescent="0.3">
      <c r="A3553" t="s">
        <v>73</v>
      </c>
      <c r="B3553" t="str">
        <f>"300997"</f>
        <v>300997</v>
      </c>
      <c r="C3553" t="s">
        <v>7440</v>
      </c>
      <c r="D3553" t="s">
        <v>4013</v>
      </c>
      <c r="E3553">
        <v>146622846</v>
      </c>
      <c r="F3553">
        <v>153673649</v>
      </c>
      <c r="P3553">
        <v>39</v>
      </c>
      <c r="Q3553" t="s">
        <v>7441</v>
      </c>
    </row>
    <row r="3554" spans="1:17" x14ac:dyDescent="0.3">
      <c r="A3554" t="s">
        <v>17</v>
      </c>
      <c r="B3554" t="str">
        <f>"600505"</f>
        <v>600505</v>
      </c>
      <c r="C3554" t="s">
        <v>7442</v>
      </c>
      <c r="D3554" t="s">
        <v>314</v>
      </c>
      <c r="E3554">
        <v>146602258</v>
      </c>
      <c r="F3554">
        <v>121856727</v>
      </c>
      <c r="G3554">
        <v>115982410</v>
      </c>
      <c r="H3554">
        <v>109545101</v>
      </c>
      <c r="I3554">
        <v>106750410</v>
      </c>
      <c r="J3554">
        <v>76683433</v>
      </c>
      <c r="K3554">
        <v>67746826</v>
      </c>
      <c r="L3554">
        <v>31493065</v>
      </c>
      <c r="M3554">
        <v>52501742</v>
      </c>
      <c r="N3554">
        <v>41946560</v>
      </c>
      <c r="O3554">
        <v>32882437</v>
      </c>
      <c r="P3554">
        <v>104</v>
      </c>
      <c r="Q3554" t="s">
        <v>7443</v>
      </c>
    </row>
    <row r="3555" spans="1:17" x14ac:dyDescent="0.3">
      <c r="A3555" t="s">
        <v>73</v>
      </c>
      <c r="B3555" t="str">
        <f>"002748"</f>
        <v>002748</v>
      </c>
      <c r="C3555" t="s">
        <v>7444</v>
      </c>
      <c r="D3555" t="s">
        <v>641</v>
      </c>
      <c r="E3555">
        <v>146538169</v>
      </c>
      <c r="F3555">
        <v>88041434</v>
      </c>
      <c r="G3555">
        <v>206423982</v>
      </c>
      <c r="H3555">
        <v>200545669</v>
      </c>
      <c r="I3555">
        <v>122388498</v>
      </c>
      <c r="J3555">
        <v>96379889</v>
      </c>
      <c r="K3555">
        <v>101451201</v>
      </c>
      <c r="L3555">
        <v>89611628</v>
      </c>
      <c r="M3555">
        <v>0</v>
      </c>
      <c r="P3555">
        <v>77</v>
      </c>
      <c r="Q3555" t="s">
        <v>7445</v>
      </c>
    </row>
    <row r="3556" spans="1:17" x14ac:dyDescent="0.3">
      <c r="A3556" t="s">
        <v>17</v>
      </c>
      <c r="B3556" t="str">
        <f>"600692"</f>
        <v>600692</v>
      </c>
      <c r="C3556" t="s">
        <v>7446</v>
      </c>
      <c r="D3556" t="s">
        <v>27</v>
      </c>
      <c r="E3556">
        <v>146298216</v>
      </c>
      <c r="F3556">
        <v>80763458</v>
      </c>
      <c r="G3556">
        <v>72410048</v>
      </c>
      <c r="H3556">
        <v>82771179</v>
      </c>
      <c r="I3556">
        <v>83704640</v>
      </c>
      <c r="J3556">
        <v>153296832</v>
      </c>
      <c r="K3556">
        <v>44316019</v>
      </c>
      <c r="L3556">
        <v>54790183</v>
      </c>
      <c r="M3556">
        <v>24171659</v>
      </c>
      <c r="N3556">
        <v>27654680</v>
      </c>
      <c r="O3556">
        <v>16726540</v>
      </c>
      <c r="P3556">
        <v>76</v>
      </c>
      <c r="Q3556" t="s">
        <v>7447</v>
      </c>
    </row>
    <row r="3557" spans="1:17" x14ac:dyDescent="0.3">
      <c r="A3557" t="s">
        <v>73</v>
      </c>
      <c r="B3557" t="str">
        <f>"002998"</f>
        <v>002998</v>
      </c>
      <c r="C3557" t="s">
        <v>7448</v>
      </c>
      <c r="D3557" t="s">
        <v>2854</v>
      </c>
      <c r="E3557">
        <v>146209851</v>
      </c>
      <c r="F3557">
        <v>144396369</v>
      </c>
      <c r="P3557">
        <v>36</v>
      </c>
      <c r="Q3557" t="s">
        <v>7449</v>
      </c>
    </row>
    <row r="3558" spans="1:17" x14ac:dyDescent="0.3">
      <c r="A3558" t="s">
        <v>17</v>
      </c>
      <c r="B3558" t="str">
        <f>"688398"</f>
        <v>688398</v>
      </c>
      <c r="C3558" t="s">
        <v>7450</v>
      </c>
      <c r="D3558" t="s">
        <v>588</v>
      </c>
      <c r="E3558">
        <v>145849287</v>
      </c>
      <c r="F3558">
        <v>145068068</v>
      </c>
      <c r="G3558">
        <v>98014028</v>
      </c>
      <c r="H3558">
        <v>95812307</v>
      </c>
      <c r="P3558">
        <v>81</v>
      </c>
      <c r="Q3558" t="s">
        <v>7451</v>
      </c>
    </row>
    <row r="3559" spans="1:17" x14ac:dyDescent="0.3">
      <c r="A3559" t="s">
        <v>17</v>
      </c>
      <c r="B3559" t="str">
        <f>"603879"</f>
        <v>603879</v>
      </c>
      <c r="C3559" t="s">
        <v>7452</v>
      </c>
      <c r="D3559" t="s">
        <v>1557</v>
      </c>
      <c r="E3559">
        <v>145787210</v>
      </c>
      <c r="F3559">
        <v>173065354</v>
      </c>
      <c r="G3559">
        <v>189939018</v>
      </c>
      <c r="H3559">
        <v>195952714</v>
      </c>
      <c r="I3559">
        <v>171577130</v>
      </c>
      <c r="J3559">
        <v>141795919</v>
      </c>
      <c r="P3559">
        <v>55</v>
      </c>
      <c r="Q3559" t="s">
        <v>7453</v>
      </c>
    </row>
    <row r="3560" spans="1:17" x14ac:dyDescent="0.3">
      <c r="A3560" t="s">
        <v>17</v>
      </c>
      <c r="B3560" t="str">
        <f>"603608"</f>
        <v>603608</v>
      </c>
      <c r="C3560" t="s">
        <v>7454</v>
      </c>
      <c r="D3560" t="s">
        <v>2601</v>
      </c>
      <c r="E3560">
        <v>145724356</v>
      </c>
      <c r="F3560">
        <v>216251664</v>
      </c>
      <c r="G3560">
        <v>188884663</v>
      </c>
      <c r="H3560">
        <v>262579171</v>
      </c>
      <c r="I3560">
        <v>319656770</v>
      </c>
      <c r="J3560">
        <v>203676231</v>
      </c>
      <c r="K3560">
        <v>210012281</v>
      </c>
      <c r="L3560">
        <v>0</v>
      </c>
      <c r="P3560">
        <v>138</v>
      </c>
      <c r="Q3560" t="s">
        <v>7455</v>
      </c>
    </row>
    <row r="3561" spans="1:17" x14ac:dyDescent="0.3">
      <c r="A3561" t="s">
        <v>73</v>
      </c>
      <c r="B3561" t="str">
        <f>"301093"</f>
        <v>301093</v>
      </c>
      <c r="C3561" t="s">
        <v>7456</v>
      </c>
      <c r="D3561" t="s">
        <v>1523</v>
      </c>
      <c r="E3561">
        <v>145652094</v>
      </c>
      <c r="P3561">
        <v>30</v>
      </c>
      <c r="Q3561" t="s">
        <v>7457</v>
      </c>
    </row>
    <row r="3562" spans="1:17" x14ac:dyDescent="0.3">
      <c r="A3562" t="s">
        <v>17</v>
      </c>
      <c r="B3562" t="str">
        <f>"600238"</f>
        <v>600238</v>
      </c>
      <c r="C3562" t="s">
        <v>7458</v>
      </c>
      <c r="D3562" t="s">
        <v>7055</v>
      </c>
      <c r="E3562">
        <v>145597239</v>
      </c>
      <c r="F3562">
        <v>99165390</v>
      </c>
      <c r="G3562">
        <v>88850215</v>
      </c>
      <c r="H3562">
        <v>104183176</v>
      </c>
      <c r="I3562">
        <v>69816950</v>
      </c>
      <c r="J3562">
        <v>24125801</v>
      </c>
      <c r="K3562">
        <v>26886526</v>
      </c>
      <c r="L3562">
        <v>26429405</v>
      </c>
      <c r="M3562">
        <v>52650386</v>
      </c>
      <c r="N3562">
        <v>85729044</v>
      </c>
      <c r="O3562">
        <v>47208666</v>
      </c>
      <c r="P3562">
        <v>146</v>
      </c>
      <c r="Q3562" t="s">
        <v>7459</v>
      </c>
    </row>
    <row r="3563" spans="1:17" x14ac:dyDescent="0.3">
      <c r="A3563" t="s">
        <v>73</v>
      </c>
      <c r="B3563" t="str">
        <f>"300522"</f>
        <v>300522</v>
      </c>
      <c r="C3563" t="s">
        <v>7460</v>
      </c>
      <c r="D3563" t="s">
        <v>3072</v>
      </c>
      <c r="E3563">
        <v>145492603</v>
      </c>
      <c r="F3563">
        <v>139803970</v>
      </c>
      <c r="G3563">
        <v>88027266</v>
      </c>
      <c r="H3563">
        <v>83764430</v>
      </c>
      <c r="I3563">
        <v>76993305</v>
      </c>
      <c r="J3563">
        <v>68418813</v>
      </c>
      <c r="K3563">
        <v>56592228</v>
      </c>
      <c r="L3563">
        <v>0</v>
      </c>
      <c r="P3563">
        <v>99</v>
      </c>
      <c r="Q3563" t="s">
        <v>7461</v>
      </c>
    </row>
    <row r="3564" spans="1:17" x14ac:dyDescent="0.3">
      <c r="A3564" t="s">
        <v>73</v>
      </c>
      <c r="B3564" t="str">
        <f>"300640"</f>
        <v>300640</v>
      </c>
      <c r="C3564" t="s">
        <v>7462</v>
      </c>
      <c r="D3564" t="s">
        <v>3902</v>
      </c>
      <c r="E3564">
        <v>145306010</v>
      </c>
      <c r="F3564">
        <v>115789842</v>
      </c>
      <c r="G3564">
        <v>78543714</v>
      </c>
      <c r="H3564">
        <v>94256993</v>
      </c>
      <c r="I3564">
        <v>72605980</v>
      </c>
      <c r="J3564">
        <v>60219123</v>
      </c>
      <c r="K3564">
        <v>0</v>
      </c>
      <c r="P3564">
        <v>79</v>
      </c>
      <c r="Q3564" t="s">
        <v>7463</v>
      </c>
    </row>
    <row r="3565" spans="1:17" x14ac:dyDescent="0.3">
      <c r="A3565" t="s">
        <v>17</v>
      </c>
      <c r="B3565" t="str">
        <f>"601566"</f>
        <v>601566</v>
      </c>
      <c r="C3565" t="s">
        <v>7464</v>
      </c>
      <c r="D3565" t="s">
        <v>991</v>
      </c>
      <c r="E3565">
        <v>145137810</v>
      </c>
      <c r="F3565">
        <v>170840235</v>
      </c>
      <c r="G3565">
        <v>263323305</v>
      </c>
      <c r="H3565">
        <v>158319854</v>
      </c>
      <c r="I3565">
        <v>156325659</v>
      </c>
      <c r="J3565">
        <v>125487673</v>
      </c>
      <c r="K3565">
        <v>148830931</v>
      </c>
      <c r="L3565">
        <v>152407000</v>
      </c>
      <c r="M3565">
        <v>183653638</v>
      </c>
      <c r="N3565">
        <v>279761267</v>
      </c>
      <c r="O3565">
        <v>141099687</v>
      </c>
      <c r="P3565">
        <v>426</v>
      </c>
      <c r="Q3565" t="s">
        <v>7465</v>
      </c>
    </row>
    <row r="3566" spans="1:17" x14ac:dyDescent="0.3">
      <c r="A3566" t="s">
        <v>17</v>
      </c>
      <c r="B3566" t="str">
        <f>"601858"</f>
        <v>601858</v>
      </c>
      <c r="C3566" t="s">
        <v>7466</v>
      </c>
      <c r="D3566" t="s">
        <v>1921</v>
      </c>
      <c r="E3566">
        <v>145118530</v>
      </c>
      <c r="F3566">
        <v>183704486</v>
      </c>
      <c r="G3566">
        <v>110450913</v>
      </c>
      <c r="H3566">
        <v>148943933</v>
      </c>
      <c r="I3566">
        <v>133700167</v>
      </c>
      <c r="J3566">
        <v>122744511</v>
      </c>
      <c r="P3566">
        <v>178</v>
      </c>
      <c r="Q3566" t="s">
        <v>7467</v>
      </c>
    </row>
    <row r="3567" spans="1:17" x14ac:dyDescent="0.3">
      <c r="A3567" t="s">
        <v>17</v>
      </c>
      <c r="B3567" t="str">
        <f>"600512"</f>
        <v>600512</v>
      </c>
      <c r="C3567" t="s">
        <v>7468</v>
      </c>
      <c r="D3567" t="s">
        <v>22</v>
      </c>
      <c r="E3567">
        <v>145061556</v>
      </c>
      <c r="F3567">
        <v>196306562</v>
      </c>
      <c r="G3567">
        <v>666257714</v>
      </c>
      <c r="H3567">
        <v>596120894</v>
      </c>
      <c r="I3567">
        <v>802253250</v>
      </c>
      <c r="J3567">
        <v>431342566</v>
      </c>
      <c r="K3567">
        <v>281822622</v>
      </c>
      <c r="L3567">
        <v>321183130</v>
      </c>
      <c r="M3567">
        <v>280303649</v>
      </c>
      <c r="N3567">
        <v>314752005</v>
      </c>
      <c r="O3567">
        <v>417302136</v>
      </c>
      <c r="P3567">
        <v>161</v>
      </c>
      <c r="Q3567" t="s">
        <v>7469</v>
      </c>
    </row>
    <row r="3568" spans="1:17" x14ac:dyDescent="0.3">
      <c r="A3568" t="s">
        <v>17</v>
      </c>
      <c r="B3568" t="str">
        <f>"688367"</f>
        <v>688367</v>
      </c>
      <c r="C3568" t="s">
        <v>7470</v>
      </c>
      <c r="D3568" t="s">
        <v>47</v>
      </c>
      <c r="E3568">
        <v>144967723</v>
      </c>
      <c r="F3568">
        <v>79554086</v>
      </c>
      <c r="P3568">
        <v>30</v>
      </c>
      <c r="Q3568" t="s">
        <v>7471</v>
      </c>
    </row>
    <row r="3569" spans="1:17" x14ac:dyDescent="0.3">
      <c r="A3569" t="s">
        <v>73</v>
      </c>
      <c r="B3569" t="str">
        <f>"301056"</f>
        <v>301056</v>
      </c>
      <c r="C3569" t="s">
        <v>7472</v>
      </c>
      <c r="D3569" t="s">
        <v>744</v>
      </c>
      <c r="E3569">
        <v>144875759</v>
      </c>
      <c r="P3569">
        <v>16</v>
      </c>
      <c r="Q3569" t="s">
        <v>7473</v>
      </c>
    </row>
    <row r="3570" spans="1:17" x14ac:dyDescent="0.3">
      <c r="A3570" t="s">
        <v>17</v>
      </c>
      <c r="B3570" t="str">
        <f>"603517"</f>
        <v>603517</v>
      </c>
      <c r="C3570" t="s">
        <v>7474</v>
      </c>
      <c r="D3570" t="s">
        <v>7475</v>
      </c>
      <c r="E3570">
        <v>144478805</v>
      </c>
      <c r="F3570">
        <v>34710641</v>
      </c>
      <c r="G3570">
        <v>11166470</v>
      </c>
      <c r="H3570">
        <v>8161293</v>
      </c>
      <c r="I3570">
        <v>4577924</v>
      </c>
      <c r="J3570">
        <v>2726845</v>
      </c>
      <c r="P3570">
        <v>2367</v>
      </c>
      <c r="Q3570" t="s">
        <v>7476</v>
      </c>
    </row>
    <row r="3571" spans="1:17" x14ac:dyDescent="0.3">
      <c r="A3571" t="s">
        <v>73</v>
      </c>
      <c r="B3571" t="str">
        <f>"301028"</f>
        <v>301028</v>
      </c>
      <c r="C3571" t="s">
        <v>7477</v>
      </c>
      <c r="D3571" t="s">
        <v>873</v>
      </c>
      <c r="E3571">
        <v>144240481</v>
      </c>
      <c r="F3571">
        <v>125626165</v>
      </c>
      <c r="G3571">
        <v>90594766</v>
      </c>
      <c r="P3571">
        <v>53</v>
      </c>
      <c r="Q3571" t="s">
        <v>7478</v>
      </c>
    </row>
    <row r="3572" spans="1:17" x14ac:dyDescent="0.3">
      <c r="A3572" t="s">
        <v>73</v>
      </c>
      <c r="B3572" t="str">
        <f>"000659"</f>
        <v>000659</v>
      </c>
      <c r="C3572" t="s">
        <v>7479</v>
      </c>
      <c r="D3572" t="s">
        <v>1474</v>
      </c>
      <c r="E3572">
        <v>144166749</v>
      </c>
      <c r="F3572">
        <v>173229636</v>
      </c>
      <c r="G3572">
        <v>161295186</v>
      </c>
      <c r="H3572">
        <v>189509094</v>
      </c>
      <c r="I3572">
        <v>282271909</v>
      </c>
      <c r="J3572">
        <v>321490554</v>
      </c>
      <c r="K3572">
        <v>292165624</v>
      </c>
      <c r="L3572">
        <v>277336075</v>
      </c>
      <c r="M3572">
        <v>392681508</v>
      </c>
      <c r="N3572">
        <v>482216332</v>
      </c>
      <c r="O3572">
        <v>428402378</v>
      </c>
      <c r="P3572">
        <v>77</v>
      </c>
      <c r="Q3572" t="s">
        <v>7480</v>
      </c>
    </row>
    <row r="3573" spans="1:17" x14ac:dyDescent="0.3">
      <c r="A3573" t="s">
        <v>17</v>
      </c>
      <c r="B3573" t="str">
        <f>"600083"</f>
        <v>600083</v>
      </c>
      <c r="C3573" t="s">
        <v>7481</v>
      </c>
      <c r="D3573" t="s">
        <v>466</v>
      </c>
      <c r="E3573">
        <v>143962975</v>
      </c>
      <c r="F3573">
        <v>85971165</v>
      </c>
      <c r="G3573">
        <v>60232857</v>
      </c>
      <c r="H3573">
        <v>78817968</v>
      </c>
      <c r="I3573">
        <v>137113733</v>
      </c>
      <c r="J3573">
        <v>40781692</v>
      </c>
      <c r="K3573">
        <v>45616076</v>
      </c>
      <c r="L3573">
        <v>43013735</v>
      </c>
      <c r="M3573">
        <v>22163446</v>
      </c>
      <c r="N3573">
        <v>1086356</v>
      </c>
      <c r="O3573">
        <v>0</v>
      </c>
      <c r="P3573">
        <v>83</v>
      </c>
      <c r="Q3573" t="s">
        <v>7482</v>
      </c>
    </row>
    <row r="3574" spans="1:17" x14ac:dyDescent="0.3">
      <c r="A3574" t="s">
        <v>73</v>
      </c>
      <c r="B3574" t="str">
        <f>"300396"</f>
        <v>300396</v>
      </c>
      <c r="C3574" t="s">
        <v>7483</v>
      </c>
      <c r="D3574" t="s">
        <v>773</v>
      </c>
      <c r="E3574">
        <v>143885113</v>
      </c>
      <c r="F3574">
        <v>122049183</v>
      </c>
      <c r="G3574">
        <v>153475924</v>
      </c>
      <c r="H3574">
        <v>155118230</v>
      </c>
      <c r="I3574">
        <v>145269400</v>
      </c>
      <c r="J3574">
        <v>124720512</v>
      </c>
      <c r="K3574">
        <v>125994695</v>
      </c>
      <c r="L3574">
        <v>82433866</v>
      </c>
      <c r="M3574">
        <v>0</v>
      </c>
      <c r="P3574">
        <v>360</v>
      </c>
      <c r="Q3574" t="s">
        <v>7484</v>
      </c>
    </row>
    <row r="3575" spans="1:17" x14ac:dyDescent="0.3">
      <c r="A3575" t="s">
        <v>73</v>
      </c>
      <c r="B3575" t="str">
        <f>"301186"</f>
        <v>301186</v>
      </c>
      <c r="C3575" t="s">
        <v>7485</v>
      </c>
      <c r="D3575" t="s">
        <v>722</v>
      </c>
      <c r="E3575">
        <v>143857814</v>
      </c>
      <c r="P3575">
        <v>10</v>
      </c>
      <c r="Q3575" t="s">
        <v>7486</v>
      </c>
    </row>
    <row r="3576" spans="1:17" x14ac:dyDescent="0.3">
      <c r="A3576" t="s">
        <v>73</v>
      </c>
      <c r="B3576" t="str">
        <f>"000632"</f>
        <v>000632</v>
      </c>
      <c r="C3576" t="s">
        <v>7487</v>
      </c>
      <c r="D3576" t="s">
        <v>466</v>
      </c>
      <c r="E3576">
        <v>143791839</v>
      </c>
      <c r="F3576">
        <v>244595361</v>
      </c>
      <c r="G3576">
        <v>69827353</v>
      </c>
      <c r="H3576">
        <v>185978491</v>
      </c>
      <c r="I3576">
        <v>93131488</v>
      </c>
      <c r="J3576">
        <v>65331009</v>
      </c>
      <c r="K3576">
        <v>146221666</v>
      </c>
      <c r="L3576">
        <v>291832640</v>
      </c>
      <c r="M3576">
        <v>436497716</v>
      </c>
      <c r="N3576">
        <v>137632232</v>
      </c>
      <c r="O3576">
        <v>162704218</v>
      </c>
      <c r="P3576">
        <v>69</v>
      </c>
      <c r="Q3576" t="s">
        <v>7488</v>
      </c>
    </row>
    <row r="3577" spans="1:17" x14ac:dyDescent="0.3">
      <c r="A3577" t="s">
        <v>17</v>
      </c>
      <c r="B3577" t="str">
        <f>"688690"</f>
        <v>688690</v>
      </c>
      <c r="C3577" t="s">
        <v>7489</v>
      </c>
      <c r="D3577" t="s">
        <v>908</v>
      </c>
      <c r="E3577">
        <v>143770508</v>
      </c>
      <c r="F3577">
        <v>79602825</v>
      </c>
      <c r="G3577">
        <v>32208109</v>
      </c>
      <c r="P3577">
        <v>116</v>
      </c>
      <c r="Q3577" t="s">
        <v>7490</v>
      </c>
    </row>
    <row r="3578" spans="1:17" x14ac:dyDescent="0.3">
      <c r="A3578" t="s">
        <v>73</v>
      </c>
      <c r="B3578" t="str">
        <f>"000667"</f>
        <v>000667</v>
      </c>
      <c r="C3578" t="s">
        <v>7491</v>
      </c>
      <c r="D3578" t="s">
        <v>27</v>
      </c>
      <c r="E3578">
        <v>143738464</v>
      </c>
      <c r="F3578">
        <v>104648977</v>
      </c>
      <c r="G3578">
        <v>65429686</v>
      </c>
      <c r="H3578">
        <v>45916779</v>
      </c>
      <c r="I3578">
        <v>62406823</v>
      </c>
      <c r="J3578">
        <v>48353162</v>
      </c>
      <c r="K3578">
        <v>158249373</v>
      </c>
      <c r="L3578">
        <v>88963517</v>
      </c>
      <c r="M3578">
        <v>152847585</v>
      </c>
      <c r="N3578">
        <v>108800835</v>
      </c>
      <c r="O3578">
        <v>54253334</v>
      </c>
      <c r="P3578">
        <v>169</v>
      </c>
      <c r="Q3578" t="s">
        <v>7492</v>
      </c>
    </row>
    <row r="3579" spans="1:17" x14ac:dyDescent="0.3">
      <c r="A3579" t="s">
        <v>73</v>
      </c>
      <c r="B3579" t="str">
        <f>"300509"</f>
        <v>300509</v>
      </c>
      <c r="C3579" t="s">
        <v>7493</v>
      </c>
      <c r="D3579" t="s">
        <v>2099</v>
      </c>
      <c r="E3579">
        <v>143510688</v>
      </c>
      <c r="F3579">
        <v>150426752</v>
      </c>
      <c r="G3579">
        <v>53965967</v>
      </c>
      <c r="H3579">
        <v>153628407</v>
      </c>
      <c r="I3579">
        <v>128558610</v>
      </c>
      <c r="J3579">
        <v>132248372</v>
      </c>
      <c r="K3579">
        <v>134843485</v>
      </c>
      <c r="L3579">
        <v>0</v>
      </c>
      <c r="P3579">
        <v>64</v>
      </c>
      <c r="Q3579" t="s">
        <v>7494</v>
      </c>
    </row>
    <row r="3580" spans="1:17" x14ac:dyDescent="0.3">
      <c r="A3580" t="s">
        <v>73</v>
      </c>
      <c r="B3580" t="str">
        <f>"002227"</f>
        <v>002227</v>
      </c>
      <c r="C3580" t="s">
        <v>7495</v>
      </c>
      <c r="D3580" t="s">
        <v>2087</v>
      </c>
      <c r="E3580">
        <v>143179767</v>
      </c>
      <c r="F3580">
        <v>179613834</v>
      </c>
      <c r="G3580">
        <v>218473196</v>
      </c>
      <c r="H3580">
        <v>213605898</v>
      </c>
      <c r="I3580">
        <v>232217363</v>
      </c>
      <c r="J3580">
        <v>250490280</v>
      </c>
      <c r="K3580">
        <v>268943395</v>
      </c>
      <c r="L3580">
        <v>289537644</v>
      </c>
      <c r="M3580">
        <v>256619652</v>
      </c>
      <c r="N3580">
        <v>194344124</v>
      </c>
      <c r="O3580">
        <v>155953978</v>
      </c>
      <c r="P3580">
        <v>162</v>
      </c>
      <c r="Q3580" t="s">
        <v>7496</v>
      </c>
    </row>
    <row r="3581" spans="1:17" x14ac:dyDescent="0.3">
      <c r="A3581" t="s">
        <v>73</v>
      </c>
      <c r="B3581" t="str">
        <f>"300163"</f>
        <v>300163</v>
      </c>
      <c r="C3581" t="s">
        <v>7497</v>
      </c>
      <c r="D3581" t="s">
        <v>588</v>
      </c>
      <c r="E3581">
        <v>143169957</v>
      </c>
      <c r="F3581">
        <v>145664231</v>
      </c>
      <c r="G3581">
        <v>185256665</v>
      </c>
      <c r="H3581">
        <v>165856014</v>
      </c>
      <c r="I3581">
        <v>123085155</v>
      </c>
      <c r="J3581">
        <v>124390943</v>
      </c>
      <c r="K3581">
        <v>87800666</v>
      </c>
      <c r="L3581">
        <v>91528667</v>
      </c>
      <c r="M3581">
        <v>79655436</v>
      </c>
      <c r="N3581">
        <v>63817937</v>
      </c>
      <c r="O3581">
        <v>52539238</v>
      </c>
      <c r="P3581">
        <v>75</v>
      </c>
      <c r="Q3581" t="s">
        <v>7498</v>
      </c>
    </row>
    <row r="3582" spans="1:17" x14ac:dyDescent="0.3">
      <c r="A3582" t="s">
        <v>73</v>
      </c>
      <c r="B3582" t="str">
        <f>"002571"</f>
        <v>002571</v>
      </c>
      <c r="C3582" t="s">
        <v>7499</v>
      </c>
      <c r="D3582" t="s">
        <v>3902</v>
      </c>
      <c r="E3582">
        <v>143092783</v>
      </c>
      <c r="F3582">
        <v>134680611</v>
      </c>
      <c r="G3582">
        <v>136580595</v>
      </c>
      <c r="H3582">
        <v>164775137</v>
      </c>
      <c r="I3582">
        <v>212829391</v>
      </c>
      <c r="J3582">
        <v>228240573</v>
      </c>
      <c r="K3582">
        <v>240024104</v>
      </c>
      <c r="L3582">
        <v>277130523</v>
      </c>
      <c r="M3582">
        <v>268350385</v>
      </c>
      <c r="N3582">
        <v>160362812</v>
      </c>
      <c r="O3582">
        <v>63044157</v>
      </c>
      <c r="P3582">
        <v>92</v>
      </c>
      <c r="Q3582" t="s">
        <v>7500</v>
      </c>
    </row>
    <row r="3583" spans="1:17" x14ac:dyDescent="0.3">
      <c r="A3583" t="s">
        <v>17</v>
      </c>
      <c r="B3583" t="str">
        <f>"688579"</f>
        <v>688579</v>
      </c>
      <c r="C3583" t="s">
        <v>7501</v>
      </c>
      <c r="D3583" t="s">
        <v>795</v>
      </c>
      <c r="E3583">
        <v>142709570</v>
      </c>
      <c r="F3583">
        <v>132267939</v>
      </c>
      <c r="G3583">
        <v>145688918</v>
      </c>
      <c r="P3583">
        <v>34</v>
      </c>
      <c r="Q3583" t="s">
        <v>7502</v>
      </c>
    </row>
    <row r="3584" spans="1:17" x14ac:dyDescent="0.3">
      <c r="A3584" t="s">
        <v>17</v>
      </c>
      <c r="B3584" t="str">
        <f>"688270"</f>
        <v>688270</v>
      </c>
      <c r="C3584" t="s">
        <v>7503</v>
      </c>
      <c r="E3584">
        <v>142524173</v>
      </c>
      <c r="P3584">
        <v>12</v>
      </c>
      <c r="Q3584" t="s">
        <v>7504</v>
      </c>
    </row>
    <row r="3585" spans="1:17" x14ac:dyDescent="0.3">
      <c r="A3585" t="s">
        <v>17</v>
      </c>
      <c r="B3585" t="str">
        <f>"600897"</f>
        <v>600897</v>
      </c>
      <c r="C3585" t="s">
        <v>7505</v>
      </c>
      <c r="D3585" t="s">
        <v>1900</v>
      </c>
      <c r="E3585">
        <v>142416735</v>
      </c>
      <c r="F3585">
        <v>227857322</v>
      </c>
      <c r="G3585">
        <v>150694882</v>
      </c>
      <c r="H3585">
        <v>282891047</v>
      </c>
      <c r="I3585">
        <v>380621840</v>
      </c>
      <c r="J3585">
        <v>307340841</v>
      </c>
      <c r="K3585">
        <v>277882549</v>
      </c>
      <c r="L3585">
        <v>266513061</v>
      </c>
      <c r="M3585">
        <v>248924333</v>
      </c>
      <c r="N3585">
        <v>232596647</v>
      </c>
      <c r="O3585">
        <v>190758570</v>
      </c>
      <c r="P3585">
        <v>479</v>
      </c>
      <c r="Q3585" t="s">
        <v>7506</v>
      </c>
    </row>
    <row r="3586" spans="1:17" x14ac:dyDescent="0.3">
      <c r="A3586" t="s">
        <v>73</v>
      </c>
      <c r="B3586" t="str">
        <f>"300756"</f>
        <v>300756</v>
      </c>
      <c r="C3586" t="s">
        <v>7507</v>
      </c>
      <c r="D3586" t="s">
        <v>6353</v>
      </c>
      <c r="E3586">
        <v>142379612</v>
      </c>
      <c r="F3586">
        <v>110700746</v>
      </c>
      <c r="G3586">
        <v>147487097</v>
      </c>
      <c r="H3586">
        <v>146858193</v>
      </c>
      <c r="I3586">
        <v>0</v>
      </c>
      <c r="J3586">
        <v>91750914</v>
      </c>
      <c r="P3586">
        <v>76</v>
      </c>
      <c r="Q3586" t="s">
        <v>7508</v>
      </c>
    </row>
    <row r="3587" spans="1:17" x14ac:dyDescent="0.3">
      <c r="A3587" t="s">
        <v>73</v>
      </c>
      <c r="B3587" t="str">
        <f>"300906"</f>
        <v>300906</v>
      </c>
      <c r="C3587" t="s">
        <v>7509</v>
      </c>
      <c r="D3587" t="s">
        <v>2280</v>
      </c>
      <c r="E3587">
        <v>142339201</v>
      </c>
      <c r="F3587">
        <v>127644041</v>
      </c>
      <c r="P3587">
        <v>60</v>
      </c>
      <c r="Q3587" t="s">
        <v>7510</v>
      </c>
    </row>
    <row r="3588" spans="1:17" x14ac:dyDescent="0.3">
      <c r="A3588" t="s">
        <v>73</v>
      </c>
      <c r="B3588" t="str">
        <f>"002213"</f>
        <v>002213</v>
      </c>
      <c r="C3588" t="s">
        <v>7511</v>
      </c>
      <c r="D3588" t="s">
        <v>122</v>
      </c>
      <c r="E3588">
        <v>141708594</v>
      </c>
      <c r="F3588">
        <v>144754640</v>
      </c>
      <c r="G3588">
        <v>63364290</v>
      </c>
      <c r="H3588">
        <v>27608732</v>
      </c>
      <c r="I3588">
        <v>28409759</v>
      </c>
      <c r="J3588">
        <v>33626597</v>
      </c>
      <c r="K3588">
        <v>47545662</v>
      </c>
      <c r="L3588">
        <v>66041850</v>
      </c>
      <c r="M3588">
        <v>74599950</v>
      </c>
      <c r="N3588">
        <v>76943667</v>
      </c>
      <c r="O3588">
        <v>42410728</v>
      </c>
      <c r="P3588">
        <v>90</v>
      </c>
      <c r="Q3588" t="s">
        <v>7512</v>
      </c>
    </row>
    <row r="3589" spans="1:17" x14ac:dyDescent="0.3">
      <c r="A3589" t="s">
        <v>17</v>
      </c>
      <c r="B3589" t="str">
        <f>"600093"</f>
        <v>600093</v>
      </c>
      <c r="C3589" t="s">
        <v>7513</v>
      </c>
      <c r="D3589" t="s">
        <v>7514</v>
      </c>
      <c r="E3589">
        <v>141660316</v>
      </c>
      <c r="F3589">
        <v>182926623</v>
      </c>
      <c r="G3589">
        <v>128092923</v>
      </c>
      <c r="H3589">
        <v>105121288</v>
      </c>
      <c r="I3589">
        <v>1715909695</v>
      </c>
      <c r="J3589">
        <v>1502486313</v>
      </c>
      <c r="K3589">
        <v>800835827</v>
      </c>
      <c r="L3589">
        <v>54480973</v>
      </c>
      <c r="M3589">
        <v>69141357</v>
      </c>
      <c r="N3589">
        <v>119853964</v>
      </c>
      <c r="O3589">
        <v>63491387</v>
      </c>
      <c r="P3589">
        <v>222</v>
      </c>
      <c r="Q3589" t="s">
        <v>7515</v>
      </c>
    </row>
    <row r="3590" spans="1:17" x14ac:dyDescent="0.3">
      <c r="A3590" t="s">
        <v>73</v>
      </c>
      <c r="B3590" t="str">
        <f>"003018"</f>
        <v>003018</v>
      </c>
      <c r="C3590" t="s">
        <v>7516</v>
      </c>
      <c r="D3590" t="s">
        <v>1474</v>
      </c>
      <c r="E3590">
        <v>141654421</v>
      </c>
      <c r="F3590">
        <v>123469280</v>
      </c>
      <c r="P3590">
        <v>38</v>
      </c>
      <c r="Q3590" t="s">
        <v>7517</v>
      </c>
    </row>
    <row r="3591" spans="1:17" x14ac:dyDescent="0.3">
      <c r="A3591" t="s">
        <v>17</v>
      </c>
      <c r="B3591" t="str">
        <f>"600763"</f>
        <v>600763</v>
      </c>
      <c r="C3591" t="s">
        <v>7518</v>
      </c>
      <c r="D3591" t="s">
        <v>1255</v>
      </c>
      <c r="E3591">
        <v>141600182</v>
      </c>
      <c r="F3591">
        <v>113519454</v>
      </c>
      <c r="G3591">
        <v>56834539</v>
      </c>
      <c r="H3591">
        <v>74533560</v>
      </c>
      <c r="I3591">
        <v>59499299</v>
      </c>
      <c r="J3591">
        <v>35037321</v>
      </c>
      <c r="K3591">
        <v>15246249</v>
      </c>
      <c r="L3591">
        <v>10768407</v>
      </c>
      <c r="M3591">
        <v>7879770</v>
      </c>
      <c r="N3591">
        <v>6811262</v>
      </c>
      <c r="O3591">
        <v>6257088</v>
      </c>
      <c r="P3591">
        <v>38183</v>
      </c>
      <c r="Q3591" t="s">
        <v>7519</v>
      </c>
    </row>
    <row r="3592" spans="1:17" x14ac:dyDescent="0.3">
      <c r="A3592" t="s">
        <v>17</v>
      </c>
      <c r="B3592" t="str">
        <f>"600132"</f>
        <v>600132</v>
      </c>
      <c r="C3592" t="s">
        <v>7520</v>
      </c>
      <c r="D3592" t="s">
        <v>5451</v>
      </c>
      <c r="E3592">
        <v>141534392</v>
      </c>
      <c r="F3592">
        <v>145959766</v>
      </c>
      <c r="G3592">
        <v>25739327</v>
      </c>
      <c r="H3592">
        <v>66247720</v>
      </c>
      <c r="I3592">
        <v>72349274</v>
      </c>
      <c r="J3592">
        <v>69252903</v>
      </c>
      <c r="K3592">
        <v>78462203</v>
      </c>
      <c r="L3592">
        <v>85423410</v>
      </c>
      <c r="M3592">
        <v>107622773</v>
      </c>
      <c r="N3592">
        <v>123367058</v>
      </c>
      <c r="O3592">
        <v>119373999</v>
      </c>
      <c r="P3592">
        <v>2098</v>
      </c>
      <c r="Q3592" t="s">
        <v>7521</v>
      </c>
    </row>
    <row r="3593" spans="1:17" x14ac:dyDescent="0.3">
      <c r="A3593" t="s">
        <v>17</v>
      </c>
      <c r="B3593" t="str">
        <f>"603326"</f>
        <v>603326</v>
      </c>
      <c r="C3593" t="s">
        <v>7522</v>
      </c>
      <c r="D3593" t="s">
        <v>2533</v>
      </c>
      <c r="E3593">
        <v>141477685</v>
      </c>
      <c r="F3593">
        <v>161173702</v>
      </c>
      <c r="G3593">
        <v>77137381</v>
      </c>
      <c r="H3593">
        <v>82546200</v>
      </c>
      <c r="I3593">
        <v>83507709</v>
      </c>
      <c r="J3593">
        <v>34478265</v>
      </c>
      <c r="P3593">
        <v>247</v>
      </c>
      <c r="Q3593" t="s">
        <v>7523</v>
      </c>
    </row>
    <row r="3594" spans="1:17" x14ac:dyDescent="0.3">
      <c r="A3594" t="s">
        <v>73</v>
      </c>
      <c r="B3594" t="str">
        <f>"002320"</f>
        <v>002320</v>
      </c>
      <c r="C3594" t="s">
        <v>7524</v>
      </c>
      <c r="D3594" t="s">
        <v>246</v>
      </c>
      <c r="E3594">
        <v>141328314</v>
      </c>
      <c r="F3594">
        <v>40284439</v>
      </c>
      <c r="G3594">
        <v>48214639</v>
      </c>
      <c r="H3594">
        <v>52362260</v>
      </c>
      <c r="I3594">
        <v>81710302</v>
      </c>
      <c r="J3594">
        <v>44687807</v>
      </c>
      <c r="K3594">
        <v>63013959</v>
      </c>
      <c r="L3594">
        <v>69943495</v>
      </c>
      <c r="M3594">
        <v>40582997</v>
      </c>
      <c r="N3594">
        <v>49053571</v>
      </c>
      <c r="O3594">
        <v>42317706</v>
      </c>
      <c r="P3594">
        <v>174</v>
      </c>
      <c r="Q3594" t="s">
        <v>7525</v>
      </c>
    </row>
    <row r="3595" spans="1:17" x14ac:dyDescent="0.3">
      <c r="A3595" t="s">
        <v>73</v>
      </c>
      <c r="B3595" t="str">
        <f>"000637"</f>
        <v>000637</v>
      </c>
      <c r="C3595" t="s">
        <v>7526</v>
      </c>
      <c r="D3595" t="s">
        <v>998</v>
      </c>
      <c r="E3595">
        <v>141122451</v>
      </c>
      <c r="F3595">
        <v>120340948</v>
      </c>
      <c r="G3595">
        <v>41595946</v>
      </c>
      <c r="H3595">
        <v>40768503</v>
      </c>
      <c r="I3595">
        <v>56686240</v>
      </c>
      <c r="J3595">
        <v>74247332</v>
      </c>
      <c r="K3595">
        <v>35099682</v>
      </c>
      <c r="L3595">
        <v>95415228</v>
      </c>
      <c r="M3595">
        <v>57890827</v>
      </c>
      <c r="N3595">
        <v>27003709</v>
      </c>
      <c r="O3595">
        <v>21730298</v>
      </c>
      <c r="P3595">
        <v>93</v>
      </c>
      <c r="Q3595" t="s">
        <v>7527</v>
      </c>
    </row>
    <row r="3596" spans="1:17" x14ac:dyDescent="0.3">
      <c r="A3596" t="s">
        <v>17</v>
      </c>
      <c r="B3596" t="str">
        <f>"605339"</f>
        <v>605339</v>
      </c>
      <c r="C3596" t="s">
        <v>7528</v>
      </c>
      <c r="D3596" t="s">
        <v>3675</v>
      </c>
      <c r="E3596">
        <v>140966595</v>
      </c>
      <c r="F3596">
        <v>158828171</v>
      </c>
      <c r="P3596">
        <v>66</v>
      </c>
      <c r="Q3596" t="s">
        <v>7529</v>
      </c>
    </row>
    <row r="3597" spans="1:17" x14ac:dyDescent="0.3">
      <c r="A3597" t="s">
        <v>73</v>
      </c>
      <c r="B3597" t="str">
        <f>"301042"</f>
        <v>301042</v>
      </c>
      <c r="C3597" t="s">
        <v>7530</v>
      </c>
      <c r="D3597" t="s">
        <v>119</v>
      </c>
      <c r="E3597">
        <v>140577367</v>
      </c>
      <c r="F3597">
        <v>107647712</v>
      </c>
      <c r="P3597">
        <v>14</v>
      </c>
      <c r="Q3597" t="s">
        <v>7531</v>
      </c>
    </row>
    <row r="3598" spans="1:17" x14ac:dyDescent="0.3">
      <c r="A3598" t="s">
        <v>73</v>
      </c>
      <c r="B3598" t="str">
        <f>"300533"</f>
        <v>300533</v>
      </c>
      <c r="C3598" t="s">
        <v>7532</v>
      </c>
      <c r="D3598" t="s">
        <v>899</v>
      </c>
      <c r="E3598">
        <v>140434897</v>
      </c>
      <c r="F3598">
        <v>51670511</v>
      </c>
      <c r="G3598">
        <v>61966505</v>
      </c>
      <c r="H3598">
        <v>19369792</v>
      </c>
      <c r="I3598">
        <v>2953376</v>
      </c>
      <c r="J3598">
        <v>2243692</v>
      </c>
      <c r="K3598">
        <v>2778962</v>
      </c>
      <c r="L3598">
        <v>0</v>
      </c>
      <c r="P3598">
        <v>131</v>
      </c>
      <c r="Q3598" t="s">
        <v>7533</v>
      </c>
    </row>
    <row r="3599" spans="1:17" x14ac:dyDescent="0.3">
      <c r="A3599" t="s">
        <v>73</v>
      </c>
      <c r="B3599" t="str">
        <f>"002277"</f>
        <v>002277</v>
      </c>
      <c r="C3599" t="s">
        <v>7534</v>
      </c>
      <c r="D3599" t="s">
        <v>638</v>
      </c>
      <c r="E3599">
        <v>140426169</v>
      </c>
      <c r="F3599">
        <v>158833387</v>
      </c>
      <c r="G3599">
        <v>146553635</v>
      </c>
      <c r="H3599">
        <v>101422099</v>
      </c>
      <c r="I3599">
        <v>77077621</v>
      </c>
      <c r="J3599">
        <v>8074986</v>
      </c>
      <c r="K3599">
        <v>14491845</v>
      </c>
      <c r="L3599">
        <v>10641810</v>
      </c>
      <c r="M3599">
        <v>14626690</v>
      </c>
      <c r="N3599">
        <v>21109201</v>
      </c>
      <c r="O3599">
        <v>10530311</v>
      </c>
      <c r="P3599">
        <v>145</v>
      </c>
      <c r="Q3599" t="s">
        <v>7535</v>
      </c>
    </row>
    <row r="3600" spans="1:17" x14ac:dyDescent="0.3">
      <c r="A3600" t="s">
        <v>73</v>
      </c>
      <c r="B3600" t="str">
        <f>"300902"</f>
        <v>300902</v>
      </c>
      <c r="C3600" t="s">
        <v>7536</v>
      </c>
      <c r="D3600" t="s">
        <v>1451</v>
      </c>
      <c r="E3600">
        <v>140148936</v>
      </c>
      <c r="F3600">
        <v>132287963</v>
      </c>
      <c r="G3600">
        <v>0</v>
      </c>
      <c r="H3600">
        <v>0</v>
      </c>
      <c r="P3600">
        <v>40</v>
      </c>
      <c r="Q3600" t="s">
        <v>7537</v>
      </c>
    </row>
    <row r="3601" spans="1:17" x14ac:dyDescent="0.3">
      <c r="A3601" t="s">
        <v>17</v>
      </c>
      <c r="B3601" t="str">
        <f>"688358"</f>
        <v>688358</v>
      </c>
      <c r="C3601" t="s">
        <v>7538</v>
      </c>
      <c r="D3601" t="s">
        <v>692</v>
      </c>
      <c r="E3601">
        <v>139797596</v>
      </c>
      <c r="F3601">
        <v>120734750</v>
      </c>
      <c r="G3601">
        <v>102459868</v>
      </c>
      <c r="P3601">
        <v>122</v>
      </c>
      <c r="Q3601" t="s">
        <v>7539</v>
      </c>
    </row>
    <row r="3602" spans="1:17" x14ac:dyDescent="0.3">
      <c r="A3602" t="s">
        <v>73</v>
      </c>
      <c r="B3602" t="str">
        <f>"300891"</f>
        <v>300891</v>
      </c>
      <c r="C3602" t="s">
        <v>7540</v>
      </c>
      <c r="D3602" t="s">
        <v>1162</v>
      </c>
      <c r="E3602">
        <v>139516574</v>
      </c>
      <c r="F3602">
        <v>96288586</v>
      </c>
      <c r="P3602">
        <v>59</v>
      </c>
      <c r="Q3602" t="s">
        <v>7541</v>
      </c>
    </row>
    <row r="3603" spans="1:17" x14ac:dyDescent="0.3">
      <c r="A3603" t="s">
        <v>17</v>
      </c>
      <c r="B3603" t="str">
        <f>"600628"</f>
        <v>600628</v>
      </c>
      <c r="C3603" t="s">
        <v>7542</v>
      </c>
      <c r="D3603" t="s">
        <v>638</v>
      </c>
      <c r="E3603">
        <v>139500289</v>
      </c>
      <c r="F3603">
        <v>209908951</v>
      </c>
      <c r="G3603">
        <v>98338622</v>
      </c>
      <c r="H3603">
        <v>84379348</v>
      </c>
      <c r="I3603">
        <v>196862686</v>
      </c>
      <c r="J3603">
        <v>234524037</v>
      </c>
      <c r="K3603">
        <v>198184259</v>
      </c>
      <c r="L3603">
        <v>148555224</v>
      </c>
      <c r="M3603">
        <v>179056500</v>
      </c>
      <c r="N3603">
        <v>143712080</v>
      </c>
      <c r="O3603">
        <v>124549934</v>
      </c>
      <c r="P3603">
        <v>112</v>
      </c>
      <c r="Q3603" t="s">
        <v>7543</v>
      </c>
    </row>
    <row r="3604" spans="1:17" x14ac:dyDescent="0.3">
      <c r="A3604" t="s">
        <v>73</v>
      </c>
      <c r="B3604" t="str">
        <f>"000838"</f>
        <v>000838</v>
      </c>
      <c r="C3604" t="s">
        <v>7544</v>
      </c>
      <c r="D3604" t="s">
        <v>27</v>
      </c>
      <c r="E3604">
        <v>139421987</v>
      </c>
      <c r="F3604">
        <v>12508737</v>
      </c>
      <c r="G3604">
        <v>87141042</v>
      </c>
      <c r="H3604">
        <v>108837582</v>
      </c>
      <c r="I3604">
        <v>121836763</v>
      </c>
      <c r="J3604">
        <v>3025048</v>
      </c>
      <c r="K3604">
        <v>3335747</v>
      </c>
      <c r="L3604">
        <v>5569197</v>
      </c>
      <c r="M3604">
        <v>16047697</v>
      </c>
      <c r="N3604">
        <v>5120000</v>
      </c>
      <c r="O3604">
        <v>2806221</v>
      </c>
      <c r="P3604">
        <v>98</v>
      </c>
      <c r="Q3604" t="s">
        <v>7545</v>
      </c>
    </row>
    <row r="3605" spans="1:17" x14ac:dyDescent="0.3">
      <c r="A3605" t="s">
        <v>73</v>
      </c>
      <c r="B3605" t="str">
        <f>"002308"</f>
        <v>002308</v>
      </c>
      <c r="C3605" t="s">
        <v>7546</v>
      </c>
      <c r="D3605" t="s">
        <v>158</v>
      </c>
      <c r="E3605">
        <v>139414837</v>
      </c>
      <c r="F3605">
        <v>101963525</v>
      </c>
      <c r="G3605">
        <v>195170234</v>
      </c>
      <c r="H3605">
        <v>248552275</v>
      </c>
      <c r="I3605">
        <v>217033734</v>
      </c>
      <c r="J3605">
        <v>183866735</v>
      </c>
      <c r="K3605">
        <v>188790890</v>
      </c>
      <c r="L3605">
        <v>194457650</v>
      </c>
      <c r="M3605">
        <v>189887322</v>
      </c>
      <c r="N3605">
        <v>212168539</v>
      </c>
      <c r="O3605">
        <v>189216911</v>
      </c>
      <c r="P3605">
        <v>218</v>
      </c>
      <c r="Q3605" t="s">
        <v>7547</v>
      </c>
    </row>
    <row r="3606" spans="1:17" x14ac:dyDescent="0.3">
      <c r="A3606" t="s">
        <v>17</v>
      </c>
      <c r="B3606" t="str">
        <f>"600898"</f>
        <v>600898</v>
      </c>
      <c r="C3606" t="s">
        <v>7548</v>
      </c>
      <c r="D3606" t="s">
        <v>42</v>
      </c>
      <c r="E3606">
        <v>139305014</v>
      </c>
      <c r="F3606">
        <v>33397751</v>
      </c>
      <c r="G3606">
        <v>705707903</v>
      </c>
      <c r="H3606">
        <v>1206326846</v>
      </c>
      <c r="I3606">
        <v>999690492</v>
      </c>
      <c r="J3606">
        <v>385986432</v>
      </c>
      <c r="K3606">
        <v>41663095</v>
      </c>
      <c r="L3606">
        <v>38875808</v>
      </c>
      <c r="M3606">
        <v>24680623</v>
      </c>
      <c r="N3606">
        <v>20402058</v>
      </c>
      <c r="O3606">
        <v>12085121</v>
      </c>
      <c r="P3606">
        <v>57</v>
      </c>
      <c r="Q3606" t="s">
        <v>7549</v>
      </c>
    </row>
    <row r="3607" spans="1:17" x14ac:dyDescent="0.3">
      <c r="A3607" t="s">
        <v>73</v>
      </c>
      <c r="B3607" t="str">
        <f>"300946"</f>
        <v>300946</v>
      </c>
      <c r="C3607" t="s">
        <v>7550</v>
      </c>
      <c r="D3607" t="s">
        <v>146</v>
      </c>
      <c r="E3607">
        <v>139265902</v>
      </c>
      <c r="F3607">
        <v>115052806</v>
      </c>
      <c r="P3607">
        <v>75</v>
      </c>
      <c r="Q3607" t="s">
        <v>7551</v>
      </c>
    </row>
    <row r="3608" spans="1:17" x14ac:dyDescent="0.3">
      <c r="A3608" t="s">
        <v>73</v>
      </c>
      <c r="B3608" t="str">
        <f>"300973"</f>
        <v>300973</v>
      </c>
      <c r="C3608" t="s">
        <v>7552</v>
      </c>
      <c r="D3608" t="s">
        <v>3675</v>
      </c>
      <c r="E3608">
        <v>139211209</v>
      </c>
      <c r="F3608">
        <v>139583171</v>
      </c>
      <c r="P3608">
        <v>140</v>
      </c>
      <c r="Q3608" t="s">
        <v>7553</v>
      </c>
    </row>
    <row r="3609" spans="1:17" x14ac:dyDescent="0.3">
      <c r="A3609" t="s">
        <v>17</v>
      </c>
      <c r="B3609" t="str">
        <f>"688767"</f>
        <v>688767</v>
      </c>
      <c r="C3609" t="s">
        <v>7554</v>
      </c>
      <c r="D3609" t="s">
        <v>773</v>
      </c>
      <c r="E3609">
        <v>139181346</v>
      </c>
      <c r="P3609">
        <v>43</v>
      </c>
      <c r="Q3609" t="s">
        <v>7555</v>
      </c>
    </row>
    <row r="3610" spans="1:17" x14ac:dyDescent="0.3">
      <c r="A3610" t="s">
        <v>73</v>
      </c>
      <c r="B3610" t="str">
        <f>"002737"</f>
        <v>002737</v>
      </c>
      <c r="C3610" t="s">
        <v>7556</v>
      </c>
      <c r="D3610" t="s">
        <v>215</v>
      </c>
      <c r="E3610">
        <v>139031968</v>
      </c>
      <c r="F3610">
        <v>151409044</v>
      </c>
      <c r="G3610">
        <v>383342850</v>
      </c>
      <c r="H3610">
        <v>295581989</v>
      </c>
      <c r="I3610">
        <v>263394052</v>
      </c>
      <c r="J3610">
        <v>403202698</v>
      </c>
      <c r="K3610">
        <v>320727013</v>
      </c>
      <c r="L3610">
        <v>207426920</v>
      </c>
      <c r="M3610">
        <v>0</v>
      </c>
      <c r="P3610">
        <v>1117</v>
      </c>
      <c r="Q3610" t="s">
        <v>7557</v>
      </c>
    </row>
    <row r="3611" spans="1:17" x14ac:dyDescent="0.3">
      <c r="A3611" t="s">
        <v>17</v>
      </c>
      <c r="B3611" t="str">
        <f>"688697"</f>
        <v>688697</v>
      </c>
      <c r="C3611" t="s">
        <v>7558</v>
      </c>
      <c r="D3611" t="s">
        <v>2332</v>
      </c>
      <c r="E3611">
        <v>138861165</v>
      </c>
      <c r="P3611">
        <v>16</v>
      </c>
      <c r="Q3611" t="s">
        <v>7559</v>
      </c>
    </row>
    <row r="3612" spans="1:17" x14ac:dyDescent="0.3">
      <c r="A3612" t="s">
        <v>17</v>
      </c>
      <c r="B3612" t="str">
        <f>"601579"</f>
        <v>601579</v>
      </c>
      <c r="C3612" t="s">
        <v>7560</v>
      </c>
      <c r="D3612" t="s">
        <v>7055</v>
      </c>
      <c r="E3612">
        <v>138803025</v>
      </c>
      <c r="F3612">
        <v>158794684</v>
      </c>
      <c r="G3612">
        <v>172292351</v>
      </c>
      <c r="H3612">
        <v>165900420</v>
      </c>
      <c r="I3612">
        <v>160382789</v>
      </c>
      <c r="J3612">
        <v>124708129</v>
      </c>
      <c r="K3612">
        <v>109900412</v>
      </c>
      <c r="L3612">
        <v>95274232</v>
      </c>
      <c r="M3612">
        <v>111201645</v>
      </c>
      <c r="P3612">
        <v>186</v>
      </c>
      <c r="Q3612" t="s">
        <v>7561</v>
      </c>
    </row>
    <row r="3613" spans="1:17" x14ac:dyDescent="0.3">
      <c r="A3613" t="s">
        <v>73</v>
      </c>
      <c r="B3613" t="str">
        <f>"301206"</f>
        <v>301206</v>
      </c>
      <c r="C3613" t="s">
        <v>7562</v>
      </c>
      <c r="E3613">
        <v>138785827</v>
      </c>
      <c r="P3613">
        <v>24</v>
      </c>
      <c r="Q3613" t="s">
        <v>7563</v>
      </c>
    </row>
    <row r="3614" spans="1:17" x14ac:dyDescent="0.3">
      <c r="A3614" t="s">
        <v>73</v>
      </c>
      <c r="B3614" t="str">
        <f>"300964"</f>
        <v>300964</v>
      </c>
      <c r="C3614" t="s">
        <v>7564</v>
      </c>
      <c r="D3614" t="s">
        <v>418</v>
      </c>
      <c r="E3614">
        <v>138716655</v>
      </c>
      <c r="F3614">
        <v>99486462</v>
      </c>
      <c r="P3614">
        <v>20</v>
      </c>
      <c r="Q3614" t="s">
        <v>7565</v>
      </c>
    </row>
    <row r="3615" spans="1:17" x14ac:dyDescent="0.3">
      <c r="A3615" t="s">
        <v>73</v>
      </c>
      <c r="B3615" t="str">
        <f>"300518"</f>
        <v>300518</v>
      </c>
      <c r="C3615" t="s">
        <v>7566</v>
      </c>
      <c r="D3615" t="s">
        <v>899</v>
      </c>
      <c r="E3615">
        <v>138622843</v>
      </c>
      <c r="F3615">
        <v>85243305</v>
      </c>
      <c r="G3615">
        <v>68926934</v>
      </c>
      <c r="H3615">
        <v>126124161</v>
      </c>
      <c r="I3615">
        <v>101941787</v>
      </c>
      <c r="J3615">
        <v>75224213</v>
      </c>
      <c r="K3615">
        <v>58137931</v>
      </c>
      <c r="L3615">
        <v>0</v>
      </c>
      <c r="P3615">
        <v>91</v>
      </c>
      <c r="Q3615" t="s">
        <v>7567</v>
      </c>
    </row>
    <row r="3616" spans="1:17" x14ac:dyDescent="0.3">
      <c r="A3616" t="s">
        <v>73</v>
      </c>
      <c r="B3616" t="str">
        <f>"200054"</f>
        <v>200054</v>
      </c>
      <c r="C3616" t="s">
        <v>7568</v>
      </c>
      <c r="E3616">
        <v>138586966.336</v>
      </c>
      <c r="F3616">
        <v>278855216.23949999</v>
      </c>
      <c r="G3616">
        <v>197696771.7177</v>
      </c>
      <c r="H3616">
        <v>273967125.48180002</v>
      </c>
      <c r="I3616">
        <v>362563918.83050001</v>
      </c>
      <c r="J3616">
        <v>300516691.2396</v>
      </c>
      <c r="K3616">
        <v>246547840.85609999</v>
      </c>
      <c r="L3616">
        <v>291839146.25</v>
      </c>
      <c r="M3616">
        <v>389893253.26599997</v>
      </c>
      <c r="N3616">
        <v>340841831.57999998</v>
      </c>
      <c r="O3616">
        <v>256790532.92399999</v>
      </c>
      <c r="P3616">
        <v>7</v>
      </c>
      <c r="Q3616" t="s">
        <v>7569</v>
      </c>
    </row>
    <row r="3617" spans="1:17" x14ac:dyDescent="0.3">
      <c r="A3617" t="s">
        <v>17</v>
      </c>
      <c r="B3617" t="str">
        <f>"603059"</f>
        <v>603059</v>
      </c>
      <c r="C3617" t="s">
        <v>7570</v>
      </c>
      <c r="D3617" t="s">
        <v>5554</v>
      </c>
      <c r="E3617">
        <v>138554204</v>
      </c>
      <c r="F3617">
        <v>213396590</v>
      </c>
      <c r="G3617">
        <v>105039248</v>
      </c>
      <c r="H3617">
        <v>112336852</v>
      </c>
      <c r="I3617">
        <v>100438016</v>
      </c>
      <c r="P3617">
        <v>99</v>
      </c>
      <c r="Q3617" t="s">
        <v>7571</v>
      </c>
    </row>
    <row r="3618" spans="1:17" x14ac:dyDescent="0.3">
      <c r="A3618" t="s">
        <v>17</v>
      </c>
      <c r="B3618" t="str">
        <f>"605167"</f>
        <v>605167</v>
      </c>
      <c r="C3618" t="s">
        <v>7572</v>
      </c>
      <c r="D3618" t="s">
        <v>141</v>
      </c>
      <c r="E3618">
        <v>138392789</v>
      </c>
      <c r="F3618">
        <v>145355238</v>
      </c>
      <c r="P3618">
        <v>22</v>
      </c>
      <c r="Q3618" t="s">
        <v>7573</v>
      </c>
    </row>
    <row r="3619" spans="1:17" x14ac:dyDescent="0.3">
      <c r="A3619" t="s">
        <v>17</v>
      </c>
      <c r="B3619" t="str">
        <f>"603663"</f>
        <v>603663</v>
      </c>
      <c r="C3619" t="s">
        <v>7574</v>
      </c>
      <c r="D3619" t="s">
        <v>2246</v>
      </c>
      <c r="E3619">
        <v>137871688</v>
      </c>
      <c r="F3619">
        <v>129227057</v>
      </c>
      <c r="G3619">
        <v>153520522</v>
      </c>
      <c r="H3619">
        <v>125143080</v>
      </c>
      <c r="I3619">
        <v>102342002</v>
      </c>
      <c r="J3619">
        <v>67763858</v>
      </c>
      <c r="K3619">
        <v>72214229</v>
      </c>
      <c r="L3619">
        <v>0</v>
      </c>
      <c r="P3619">
        <v>143</v>
      </c>
      <c r="Q3619" t="s">
        <v>7575</v>
      </c>
    </row>
    <row r="3620" spans="1:17" x14ac:dyDescent="0.3">
      <c r="A3620" t="s">
        <v>73</v>
      </c>
      <c r="B3620" t="str">
        <f>"300488"</f>
        <v>300488</v>
      </c>
      <c r="C3620" t="s">
        <v>7576</v>
      </c>
      <c r="D3620" t="s">
        <v>146</v>
      </c>
      <c r="E3620">
        <v>137855513</v>
      </c>
      <c r="F3620">
        <v>123916693</v>
      </c>
      <c r="G3620">
        <v>118920467</v>
      </c>
      <c r="H3620">
        <v>121259027</v>
      </c>
      <c r="I3620">
        <v>96562390</v>
      </c>
      <c r="J3620">
        <v>79798376</v>
      </c>
      <c r="K3620">
        <v>43222559</v>
      </c>
      <c r="L3620">
        <v>0</v>
      </c>
      <c r="M3620">
        <v>0</v>
      </c>
      <c r="P3620">
        <v>120</v>
      </c>
      <c r="Q3620" t="s">
        <v>7577</v>
      </c>
    </row>
    <row r="3621" spans="1:17" x14ac:dyDescent="0.3">
      <c r="A3621" t="s">
        <v>73</v>
      </c>
      <c r="B3621" t="str">
        <f>"002899"</f>
        <v>002899</v>
      </c>
      <c r="C3621" t="s">
        <v>7578</v>
      </c>
      <c r="D3621" t="s">
        <v>6353</v>
      </c>
      <c r="E3621">
        <v>137572036</v>
      </c>
      <c r="F3621">
        <v>147003081</v>
      </c>
      <c r="G3621">
        <v>119790896</v>
      </c>
      <c r="H3621">
        <v>210466082</v>
      </c>
      <c r="I3621">
        <v>151510371</v>
      </c>
      <c r="J3621">
        <v>138410757</v>
      </c>
      <c r="P3621">
        <v>65</v>
      </c>
      <c r="Q3621" t="s">
        <v>7579</v>
      </c>
    </row>
    <row r="3622" spans="1:17" x14ac:dyDescent="0.3">
      <c r="A3622" t="s">
        <v>73</v>
      </c>
      <c r="B3622" t="str">
        <f>"301003"</f>
        <v>301003</v>
      </c>
      <c r="C3622" t="s">
        <v>7580</v>
      </c>
      <c r="D3622" t="s">
        <v>570</v>
      </c>
      <c r="E3622">
        <v>137553435</v>
      </c>
      <c r="F3622">
        <v>121200556</v>
      </c>
      <c r="P3622">
        <v>31</v>
      </c>
      <c r="Q3622" t="s">
        <v>7581</v>
      </c>
    </row>
    <row r="3623" spans="1:17" x14ac:dyDescent="0.3">
      <c r="A3623" t="s">
        <v>17</v>
      </c>
      <c r="B3623" t="str">
        <f>"603881"</f>
        <v>603881</v>
      </c>
      <c r="C3623" t="s">
        <v>7582</v>
      </c>
      <c r="D3623" t="s">
        <v>302</v>
      </c>
      <c r="E3623">
        <v>137482751</v>
      </c>
      <c r="F3623">
        <v>92093498</v>
      </c>
      <c r="G3623">
        <v>216879064</v>
      </c>
      <c r="H3623">
        <v>308245626</v>
      </c>
      <c r="I3623">
        <v>146513256</v>
      </c>
      <c r="J3623">
        <v>115278278</v>
      </c>
      <c r="P3623">
        <v>486</v>
      </c>
      <c r="Q3623" t="s">
        <v>7583</v>
      </c>
    </row>
    <row r="3624" spans="1:17" x14ac:dyDescent="0.3">
      <c r="A3624" t="s">
        <v>17</v>
      </c>
      <c r="B3624" t="str">
        <f>"688633"</f>
        <v>688633</v>
      </c>
      <c r="C3624" t="s">
        <v>7584</v>
      </c>
      <c r="D3624" t="s">
        <v>311</v>
      </c>
      <c r="E3624">
        <v>137447107</v>
      </c>
      <c r="F3624">
        <v>174610241</v>
      </c>
      <c r="P3624">
        <v>38</v>
      </c>
      <c r="Q3624" t="s">
        <v>7585</v>
      </c>
    </row>
    <row r="3625" spans="1:17" x14ac:dyDescent="0.3">
      <c r="A3625" t="s">
        <v>17</v>
      </c>
      <c r="B3625" t="str">
        <f>"688139"</f>
        <v>688139</v>
      </c>
      <c r="C3625" t="s">
        <v>7586</v>
      </c>
      <c r="D3625" t="s">
        <v>692</v>
      </c>
      <c r="E3625">
        <v>137351506</v>
      </c>
      <c r="F3625">
        <v>117898521</v>
      </c>
      <c r="G3625">
        <v>112154926</v>
      </c>
      <c r="H3625">
        <v>0</v>
      </c>
      <c r="P3625">
        <v>349</v>
      </c>
      <c r="Q3625" t="s">
        <v>7587</v>
      </c>
    </row>
    <row r="3626" spans="1:17" x14ac:dyDescent="0.3">
      <c r="A3626" t="s">
        <v>73</v>
      </c>
      <c r="B3626" t="str">
        <f>"002900"</f>
        <v>002900</v>
      </c>
      <c r="C3626" t="s">
        <v>7588</v>
      </c>
      <c r="D3626" t="s">
        <v>348</v>
      </c>
      <c r="E3626">
        <v>137158937</v>
      </c>
      <c r="F3626">
        <v>152009748</v>
      </c>
      <c r="G3626">
        <v>184807641</v>
      </c>
      <c r="H3626">
        <v>204792886</v>
      </c>
      <c r="I3626">
        <v>197907446</v>
      </c>
      <c r="P3626">
        <v>196</v>
      </c>
      <c r="Q3626" t="s">
        <v>7589</v>
      </c>
    </row>
    <row r="3627" spans="1:17" x14ac:dyDescent="0.3">
      <c r="A3627" t="s">
        <v>17</v>
      </c>
      <c r="B3627" t="str">
        <f>"603048"</f>
        <v>603048</v>
      </c>
      <c r="C3627" t="s">
        <v>7590</v>
      </c>
      <c r="D3627" t="s">
        <v>722</v>
      </c>
      <c r="E3627">
        <v>136848610</v>
      </c>
      <c r="P3627">
        <v>16</v>
      </c>
      <c r="Q3627" t="s">
        <v>7591</v>
      </c>
    </row>
    <row r="3628" spans="1:17" x14ac:dyDescent="0.3">
      <c r="A3628" t="s">
        <v>73</v>
      </c>
      <c r="B3628" t="str">
        <f>"301020"</f>
        <v>301020</v>
      </c>
      <c r="C3628" t="s">
        <v>7592</v>
      </c>
      <c r="D3628" t="s">
        <v>122</v>
      </c>
      <c r="E3628">
        <v>136640980</v>
      </c>
      <c r="F3628">
        <v>169053737</v>
      </c>
      <c r="P3628">
        <v>54</v>
      </c>
      <c r="Q3628" t="s">
        <v>7593</v>
      </c>
    </row>
    <row r="3629" spans="1:17" x14ac:dyDescent="0.3">
      <c r="A3629" t="s">
        <v>73</v>
      </c>
      <c r="B3629" t="str">
        <f>"300106"</f>
        <v>300106</v>
      </c>
      <c r="C3629" t="s">
        <v>7594</v>
      </c>
      <c r="D3629" t="s">
        <v>1027</v>
      </c>
      <c r="E3629">
        <v>136603245</v>
      </c>
      <c r="F3629">
        <v>107792873</v>
      </c>
      <c r="G3629">
        <v>97701657</v>
      </c>
      <c r="H3629">
        <v>103532548</v>
      </c>
      <c r="I3629">
        <v>93427460</v>
      </c>
      <c r="J3629">
        <v>105039978</v>
      </c>
      <c r="K3629">
        <v>67411363</v>
      </c>
      <c r="L3629">
        <v>66499059</v>
      </c>
      <c r="M3629">
        <v>46625603</v>
      </c>
      <c r="N3629">
        <v>48847519</v>
      </c>
      <c r="O3629">
        <v>50538466</v>
      </c>
      <c r="P3629">
        <v>124</v>
      </c>
      <c r="Q3629" t="s">
        <v>7595</v>
      </c>
    </row>
    <row r="3630" spans="1:17" x14ac:dyDescent="0.3">
      <c r="A3630" t="s">
        <v>73</v>
      </c>
      <c r="B3630" t="str">
        <f>"002428"</f>
        <v>002428</v>
      </c>
      <c r="C3630" t="s">
        <v>7596</v>
      </c>
      <c r="D3630" t="s">
        <v>1240</v>
      </c>
      <c r="E3630">
        <v>136499652</v>
      </c>
      <c r="F3630">
        <v>122228144</v>
      </c>
      <c r="G3630">
        <v>129623768</v>
      </c>
      <c r="H3630">
        <v>95831468</v>
      </c>
      <c r="I3630">
        <v>90735988</v>
      </c>
      <c r="J3630">
        <v>85668546</v>
      </c>
      <c r="K3630">
        <v>135346035</v>
      </c>
      <c r="L3630">
        <v>164918827</v>
      </c>
      <c r="M3630">
        <v>143481573</v>
      </c>
      <c r="N3630">
        <v>218713624</v>
      </c>
      <c r="O3630">
        <v>35671298</v>
      </c>
      <c r="P3630">
        <v>186</v>
      </c>
      <c r="Q3630" t="s">
        <v>7597</v>
      </c>
    </row>
    <row r="3631" spans="1:17" x14ac:dyDescent="0.3">
      <c r="A3631" t="s">
        <v>73</v>
      </c>
      <c r="B3631" t="str">
        <f>"003022"</f>
        <v>003022</v>
      </c>
      <c r="C3631" t="s">
        <v>7598</v>
      </c>
      <c r="D3631" t="s">
        <v>919</v>
      </c>
      <c r="E3631">
        <v>136294558</v>
      </c>
      <c r="F3631">
        <v>142784303</v>
      </c>
      <c r="P3631">
        <v>205</v>
      </c>
      <c r="Q3631" t="s">
        <v>7599</v>
      </c>
    </row>
    <row r="3632" spans="1:17" x14ac:dyDescent="0.3">
      <c r="A3632" t="s">
        <v>17</v>
      </c>
      <c r="B3632" t="str">
        <f>"603922"</f>
        <v>603922</v>
      </c>
      <c r="C3632" t="s">
        <v>7600</v>
      </c>
      <c r="D3632" t="s">
        <v>722</v>
      </c>
      <c r="E3632">
        <v>136294021</v>
      </c>
      <c r="F3632">
        <v>146023586</v>
      </c>
      <c r="G3632">
        <v>124185204</v>
      </c>
      <c r="H3632">
        <v>213318436</v>
      </c>
      <c r="I3632">
        <v>219480747</v>
      </c>
      <c r="P3632">
        <v>54</v>
      </c>
      <c r="Q3632" t="s">
        <v>7601</v>
      </c>
    </row>
    <row r="3633" spans="1:17" x14ac:dyDescent="0.3">
      <c r="A3633" t="s">
        <v>73</v>
      </c>
      <c r="B3633" t="str">
        <f>"300717"</f>
        <v>300717</v>
      </c>
      <c r="C3633" t="s">
        <v>7602</v>
      </c>
      <c r="D3633" t="s">
        <v>3079</v>
      </c>
      <c r="E3633">
        <v>136181907</v>
      </c>
      <c r="F3633">
        <v>127040379</v>
      </c>
      <c r="G3633">
        <v>123067474</v>
      </c>
      <c r="H3633">
        <v>126121814</v>
      </c>
      <c r="I3633">
        <v>129109640</v>
      </c>
      <c r="J3633">
        <v>0</v>
      </c>
      <c r="P3633">
        <v>71</v>
      </c>
      <c r="Q3633" t="s">
        <v>7603</v>
      </c>
    </row>
    <row r="3634" spans="1:17" x14ac:dyDescent="0.3">
      <c r="A3634" t="s">
        <v>17</v>
      </c>
      <c r="B3634" t="str">
        <f>"688093"</f>
        <v>688093</v>
      </c>
      <c r="C3634" t="s">
        <v>7604</v>
      </c>
      <c r="D3634" t="s">
        <v>651</v>
      </c>
      <c r="E3634">
        <v>135823717</v>
      </c>
      <c r="F3634">
        <v>95318308</v>
      </c>
      <c r="P3634">
        <v>59</v>
      </c>
      <c r="Q3634" t="s">
        <v>7605</v>
      </c>
    </row>
    <row r="3635" spans="1:17" x14ac:dyDescent="0.3">
      <c r="A3635" t="s">
        <v>17</v>
      </c>
      <c r="B3635" t="str">
        <f>"600345"</f>
        <v>600345</v>
      </c>
      <c r="C3635" t="s">
        <v>7606</v>
      </c>
      <c r="D3635" t="s">
        <v>2542</v>
      </c>
      <c r="E3635">
        <v>135597565</v>
      </c>
      <c r="F3635">
        <v>133380897</v>
      </c>
      <c r="G3635">
        <v>121391099</v>
      </c>
      <c r="H3635">
        <v>90751168</v>
      </c>
      <c r="I3635">
        <v>91087976</v>
      </c>
      <c r="J3635">
        <v>202256243</v>
      </c>
      <c r="K3635">
        <v>276109967</v>
      </c>
      <c r="L3635">
        <v>206498087</v>
      </c>
      <c r="M3635">
        <v>399423371</v>
      </c>
      <c r="N3635">
        <v>250725769</v>
      </c>
      <c r="O3635">
        <v>404329754</v>
      </c>
      <c r="P3635">
        <v>208</v>
      </c>
      <c r="Q3635" t="s">
        <v>7607</v>
      </c>
    </row>
    <row r="3636" spans="1:17" x14ac:dyDescent="0.3">
      <c r="A3636" t="s">
        <v>73</v>
      </c>
      <c r="B3636" t="str">
        <f>"002568"</f>
        <v>002568</v>
      </c>
      <c r="C3636" t="s">
        <v>7608</v>
      </c>
      <c r="D3636" t="s">
        <v>7055</v>
      </c>
      <c r="E3636">
        <v>135521194</v>
      </c>
      <c r="F3636">
        <v>78211529</v>
      </c>
      <c r="G3636">
        <v>75643040</v>
      </c>
      <c r="H3636">
        <v>105112706</v>
      </c>
      <c r="I3636">
        <v>98538814</v>
      </c>
      <c r="J3636">
        <v>70152487</v>
      </c>
      <c r="K3636">
        <v>74323051</v>
      </c>
      <c r="L3636">
        <v>32314121</v>
      </c>
      <c r="M3636">
        <v>19360588</v>
      </c>
      <c r="N3636">
        <v>33656788</v>
      </c>
      <c r="O3636">
        <v>26646595</v>
      </c>
      <c r="P3636">
        <v>1074</v>
      </c>
      <c r="Q3636" t="s">
        <v>7609</v>
      </c>
    </row>
    <row r="3637" spans="1:17" x14ac:dyDescent="0.3">
      <c r="A3637" t="s">
        <v>73</v>
      </c>
      <c r="B3637" t="str">
        <f>"300921"</f>
        <v>300921</v>
      </c>
      <c r="C3637" t="s">
        <v>7610</v>
      </c>
      <c r="D3637" t="s">
        <v>1004</v>
      </c>
      <c r="E3637">
        <v>135400687</v>
      </c>
      <c r="F3637">
        <v>92569641</v>
      </c>
      <c r="P3637">
        <v>39</v>
      </c>
      <c r="Q3637" t="s">
        <v>7611</v>
      </c>
    </row>
    <row r="3638" spans="1:17" x14ac:dyDescent="0.3">
      <c r="A3638" t="s">
        <v>73</v>
      </c>
      <c r="B3638" t="str">
        <f>"002952"</f>
        <v>002952</v>
      </c>
      <c r="C3638" t="s">
        <v>7612</v>
      </c>
      <c r="D3638" t="s">
        <v>97</v>
      </c>
      <c r="E3638">
        <v>135366987</v>
      </c>
      <c r="F3638">
        <v>85510140</v>
      </c>
      <c r="G3638">
        <v>77632278</v>
      </c>
      <c r="H3638">
        <v>95630947</v>
      </c>
      <c r="I3638">
        <v>0</v>
      </c>
      <c r="J3638">
        <v>74569565</v>
      </c>
      <c r="P3638">
        <v>79</v>
      </c>
      <c r="Q3638" t="s">
        <v>7613</v>
      </c>
    </row>
    <row r="3639" spans="1:17" x14ac:dyDescent="0.3">
      <c r="A3639" t="s">
        <v>73</v>
      </c>
      <c r="B3639" t="str">
        <f>"300877"</f>
        <v>300877</v>
      </c>
      <c r="C3639" t="s">
        <v>7614</v>
      </c>
      <c r="D3639" t="s">
        <v>3204</v>
      </c>
      <c r="E3639">
        <v>135132431</v>
      </c>
      <c r="F3639">
        <v>137056234</v>
      </c>
      <c r="G3639">
        <v>0</v>
      </c>
      <c r="H3639">
        <v>0</v>
      </c>
      <c r="P3639">
        <v>75</v>
      </c>
      <c r="Q3639" t="s">
        <v>7615</v>
      </c>
    </row>
    <row r="3640" spans="1:17" x14ac:dyDescent="0.3">
      <c r="A3640" t="s">
        <v>17</v>
      </c>
      <c r="B3640" t="str">
        <f>"600099"</f>
        <v>600099</v>
      </c>
      <c r="C3640" t="s">
        <v>7616</v>
      </c>
      <c r="D3640" t="s">
        <v>3193</v>
      </c>
      <c r="E3640">
        <v>134901259</v>
      </c>
      <c r="F3640">
        <v>99106097</v>
      </c>
      <c r="G3640">
        <v>117415949</v>
      </c>
      <c r="H3640">
        <v>161230987</v>
      </c>
      <c r="I3640">
        <v>142931441</v>
      </c>
      <c r="J3640">
        <v>119663903</v>
      </c>
      <c r="K3640">
        <v>103229486</v>
      </c>
      <c r="L3640">
        <v>98375738</v>
      </c>
      <c r="M3640">
        <v>74133417</v>
      </c>
      <c r="N3640">
        <v>46908239</v>
      </c>
      <c r="O3640">
        <v>48814042</v>
      </c>
      <c r="P3640">
        <v>74</v>
      </c>
      <c r="Q3640" t="s">
        <v>7617</v>
      </c>
    </row>
    <row r="3641" spans="1:17" x14ac:dyDescent="0.3">
      <c r="A3641" t="s">
        <v>73</v>
      </c>
      <c r="B3641" t="str">
        <f>"002274"</f>
        <v>002274</v>
      </c>
      <c r="C3641" t="s">
        <v>7618</v>
      </c>
      <c r="D3641" t="s">
        <v>4079</v>
      </c>
      <c r="E3641">
        <v>134867020</v>
      </c>
      <c r="F3641">
        <v>91989610</v>
      </c>
      <c r="G3641">
        <v>90855800</v>
      </c>
      <c r="H3641">
        <v>93356178</v>
      </c>
      <c r="I3641">
        <v>178746668</v>
      </c>
      <c r="J3641">
        <v>221866842</v>
      </c>
      <c r="K3641">
        <v>204337984</v>
      </c>
      <c r="L3641">
        <v>207201647</v>
      </c>
      <c r="M3641">
        <v>207592847</v>
      </c>
      <c r="N3641">
        <v>199053573</v>
      </c>
      <c r="O3641">
        <v>170164866</v>
      </c>
      <c r="P3641">
        <v>217</v>
      </c>
      <c r="Q3641" t="s">
        <v>7619</v>
      </c>
    </row>
    <row r="3642" spans="1:17" x14ac:dyDescent="0.3">
      <c r="A3642" t="s">
        <v>73</v>
      </c>
      <c r="B3642" t="str">
        <f>"002695"</f>
        <v>002695</v>
      </c>
      <c r="C3642" t="s">
        <v>7620</v>
      </c>
      <c r="D3642" t="s">
        <v>7475</v>
      </c>
      <c r="E3642">
        <v>134340957</v>
      </c>
      <c r="F3642">
        <v>120007144</v>
      </c>
      <c r="G3642">
        <v>68024366</v>
      </c>
      <c r="H3642">
        <v>59726096</v>
      </c>
      <c r="I3642">
        <v>56121547</v>
      </c>
      <c r="J3642">
        <v>56508513</v>
      </c>
      <c r="K3642">
        <v>52374649</v>
      </c>
      <c r="L3642">
        <v>19569976</v>
      </c>
      <c r="M3642">
        <v>21015715</v>
      </c>
      <c r="N3642">
        <v>19909863</v>
      </c>
      <c r="O3642">
        <v>0</v>
      </c>
      <c r="P3642">
        <v>623</v>
      </c>
      <c r="Q3642" t="s">
        <v>7621</v>
      </c>
    </row>
    <row r="3643" spans="1:17" x14ac:dyDescent="0.3">
      <c r="A3643" t="s">
        <v>73</v>
      </c>
      <c r="B3643" t="str">
        <f>"002553"</f>
        <v>002553</v>
      </c>
      <c r="C3643" t="s">
        <v>7622</v>
      </c>
      <c r="D3643" t="s">
        <v>122</v>
      </c>
      <c r="E3643">
        <v>134148349</v>
      </c>
      <c r="F3643">
        <v>125074623</v>
      </c>
      <c r="G3643">
        <v>103848964</v>
      </c>
      <c r="H3643">
        <v>80741178</v>
      </c>
      <c r="I3643">
        <v>85477193</v>
      </c>
      <c r="J3643">
        <v>74969649</v>
      </c>
      <c r="K3643">
        <v>57828518</v>
      </c>
      <c r="L3643">
        <v>61629216</v>
      </c>
      <c r="M3643">
        <v>57942222</v>
      </c>
      <c r="N3643">
        <v>50169283</v>
      </c>
      <c r="O3643">
        <v>43603989</v>
      </c>
      <c r="P3643">
        <v>140</v>
      </c>
      <c r="Q3643" t="s">
        <v>7623</v>
      </c>
    </row>
    <row r="3644" spans="1:17" x14ac:dyDescent="0.3">
      <c r="A3644" t="s">
        <v>73</v>
      </c>
      <c r="B3644" t="str">
        <f>"301188"</f>
        <v>301188</v>
      </c>
      <c r="C3644" t="s">
        <v>7624</v>
      </c>
      <c r="D3644" t="s">
        <v>3902</v>
      </c>
      <c r="E3644">
        <v>133722599</v>
      </c>
      <c r="P3644">
        <v>18</v>
      </c>
      <c r="Q3644" t="s">
        <v>7625</v>
      </c>
    </row>
    <row r="3645" spans="1:17" x14ac:dyDescent="0.3">
      <c r="A3645" t="s">
        <v>17</v>
      </c>
      <c r="B3645" t="str">
        <f>"688215"</f>
        <v>688215</v>
      </c>
      <c r="C3645" t="s">
        <v>7626</v>
      </c>
      <c r="D3645" t="s">
        <v>1967</v>
      </c>
      <c r="E3645">
        <v>133654846</v>
      </c>
      <c r="F3645">
        <v>98363326</v>
      </c>
      <c r="G3645">
        <v>0</v>
      </c>
      <c r="H3645">
        <v>0</v>
      </c>
      <c r="P3645">
        <v>62</v>
      </c>
      <c r="Q3645" t="s">
        <v>7627</v>
      </c>
    </row>
    <row r="3646" spans="1:17" x14ac:dyDescent="0.3">
      <c r="A3646" t="s">
        <v>17</v>
      </c>
      <c r="B3646" t="str">
        <f>"603536"</f>
        <v>603536</v>
      </c>
      <c r="C3646" t="s">
        <v>7628</v>
      </c>
      <c r="D3646" t="s">
        <v>4652</v>
      </c>
      <c r="E3646">
        <v>133643397</v>
      </c>
      <c r="F3646">
        <v>151015644</v>
      </c>
      <c r="G3646">
        <v>109996914</v>
      </c>
      <c r="H3646">
        <v>103167074</v>
      </c>
      <c r="I3646">
        <v>86417391</v>
      </c>
      <c r="P3646">
        <v>125</v>
      </c>
      <c r="Q3646" t="s">
        <v>7629</v>
      </c>
    </row>
    <row r="3647" spans="1:17" x14ac:dyDescent="0.3">
      <c r="A3647" t="s">
        <v>17</v>
      </c>
      <c r="B3647" t="str">
        <f>"688109"</f>
        <v>688109</v>
      </c>
      <c r="C3647" t="s">
        <v>7630</v>
      </c>
      <c r="D3647" t="s">
        <v>795</v>
      </c>
      <c r="E3647">
        <v>133582887</v>
      </c>
      <c r="F3647">
        <v>80538627</v>
      </c>
      <c r="P3647">
        <v>72</v>
      </c>
      <c r="Q3647" t="s">
        <v>7631</v>
      </c>
    </row>
    <row r="3648" spans="1:17" x14ac:dyDescent="0.3">
      <c r="A3648" t="s">
        <v>73</v>
      </c>
      <c r="B3648" t="str">
        <f>"002896"</f>
        <v>002896</v>
      </c>
      <c r="C3648" t="s">
        <v>7632</v>
      </c>
      <c r="D3648" t="s">
        <v>146</v>
      </c>
      <c r="E3648">
        <v>133315345</v>
      </c>
      <c r="F3648">
        <v>134344530</v>
      </c>
      <c r="G3648">
        <v>137937637</v>
      </c>
      <c r="H3648">
        <v>129167862</v>
      </c>
      <c r="I3648">
        <v>95417442</v>
      </c>
      <c r="P3648">
        <v>137</v>
      </c>
      <c r="Q3648" t="s">
        <v>7633</v>
      </c>
    </row>
    <row r="3649" spans="1:17" x14ac:dyDescent="0.3">
      <c r="A3649" t="s">
        <v>73</v>
      </c>
      <c r="B3649" t="str">
        <f>"300378"</f>
        <v>300378</v>
      </c>
      <c r="C3649" t="s">
        <v>7634</v>
      </c>
      <c r="D3649" t="s">
        <v>404</v>
      </c>
      <c r="E3649">
        <v>133289317</v>
      </c>
      <c r="F3649">
        <v>107677970</v>
      </c>
      <c r="G3649">
        <v>107989990</v>
      </c>
      <c r="H3649">
        <v>195488050</v>
      </c>
      <c r="I3649">
        <v>164210225</v>
      </c>
      <c r="J3649">
        <v>215086798</v>
      </c>
      <c r="K3649">
        <v>270570024</v>
      </c>
      <c r="L3649">
        <v>313593224</v>
      </c>
      <c r="M3649">
        <v>325554298</v>
      </c>
      <c r="N3649">
        <v>0</v>
      </c>
      <c r="P3649">
        <v>195</v>
      </c>
      <c r="Q3649" t="s">
        <v>7635</v>
      </c>
    </row>
    <row r="3650" spans="1:17" x14ac:dyDescent="0.3">
      <c r="A3650" t="s">
        <v>17</v>
      </c>
      <c r="B3650" t="str">
        <f>"603221"</f>
        <v>603221</v>
      </c>
      <c r="C3650" t="s">
        <v>7636</v>
      </c>
      <c r="D3650" t="s">
        <v>972</v>
      </c>
      <c r="E3650">
        <v>133067171</v>
      </c>
      <c r="F3650">
        <v>103289724</v>
      </c>
      <c r="G3650">
        <v>173027150</v>
      </c>
      <c r="H3650">
        <v>0</v>
      </c>
      <c r="P3650">
        <v>79</v>
      </c>
      <c r="Q3650" t="s">
        <v>7637</v>
      </c>
    </row>
    <row r="3651" spans="1:17" x14ac:dyDescent="0.3">
      <c r="A3651" t="s">
        <v>17</v>
      </c>
      <c r="B3651" t="str">
        <f>"603110"</f>
        <v>603110</v>
      </c>
      <c r="C3651" t="s">
        <v>7638</v>
      </c>
      <c r="D3651" t="s">
        <v>3072</v>
      </c>
      <c r="E3651">
        <v>133039862</v>
      </c>
      <c r="F3651">
        <v>155135441</v>
      </c>
      <c r="G3651">
        <v>146648891</v>
      </c>
      <c r="H3651">
        <v>151377267</v>
      </c>
      <c r="I3651">
        <v>151182302</v>
      </c>
      <c r="P3651">
        <v>71</v>
      </c>
      <c r="Q3651" t="s">
        <v>7639</v>
      </c>
    </row>
    <row r="3652" spans="1:17" x14ac:dyDescent="0.3">
      <c r="A3652" t="s">
        <v>73</v>
      </c>
      <c r="B3652" t="str">
        <f>"002930"</f>
        <v>002930</v>
      </c>
      <c r="C3652" t="s">
        <v>7640</v>
      </c>
      <c r="D3652" t="s">
        <v>1321</v>
      </c>
      <c r="E3652">
        <v>132926517</v>
      </c>
      <c r="F3652">
        <v>124615526</v>
      </c>
      <c r="G3652">
        <v>85222696</v>
      </c>
      <c r="H3652">
        <v>68439801</v>
      </c>
      <c r="I3652">
        <v>49390177</v>
      </c>
      <c r="J3652">
        <v>0</v>
      </c>
      <c r="P3652">
        <v>160</v>
      </c>
      <c r="Q3652" t="s">
        <v>7641</v>
      </c>
    </row>
    <row r="3653" spans="1:17" x14ac:dyDescent="0.3">
      <c r="A3653" t="s">
        <v>73</v>
      </c>
      <c r="B3653" t="str">
        <f>"002167"</f>
        <v>002167</v>
      </c>
      <c r="C3653" t="s">
        <v>7642</v>
      </c>
      <c r="D3653" t="s">
        <v>1240</v>
      </c>
      <c r="E3653">
        <v>132869058</v>
      </c>
      <c r="F3653">
        <v>112279882</v>
      </c>
      <c r="G3653">
        <v>80566708</v>
      </c>
      <c r="H3653">
        <v>0</v>
      </c>
      <c r="I3653">
        <v>287863796</v>
      </c>
      <c r="J3653">
        <v>445365864</v>
      </c>
      <c r="K3653">
        <v>409090476</v>
      </c>
      <c r="L3653">
        <v>408013448</v>
      </c>
      <c r="M3653">
        <v>331038180</v>
      </c>
      <c r="N3653">
        <v>114336912</v>
      </c>
      <c r="O3653">
        <v>99336796</v>
      </c>
      <c r="P3653">
        <v>111</v>
      </c>
      <c r="Q3653" t="s">
        <v>7643</v>
      </c>
    </row>
    <row r="3654" spans="1:17" x14ac:dyDescent="0.3">
      <c r="A3654" t="s">
        <v>17</v>
      </c>
      <c r="B3654" t="str">
        <f>"688021"</f>
        <v>688021</v>
      </c>
      <c r="C3654" t="s">
        <v>7644</v>
      </c>
      <c r="D3654" t="s">
        <v>722</v>
      </c>
      <c r="E3654">
        <v>132735003</v>
      </c>
      <c r="F3654">
        <v>129168082</v>
      </c>
      <c r="G3654">
        <v>142326837</v>
      </c>
      <c r="P3654">
        <v>79</v>
      </c>
      <c r="Q3654" t="s">
        <v>7645</v>
      </c>
    </row>
    <row r="3655" spans="1:17" x14ac:dyDescent="0.3">
      <c r="A3655" t="s">
        <v>17</v>
      </c>
      <c r="B3655" t="str">
        <f>"600444"</f>
        <v>600444</v>
      </c>
      <c r="C3655" t="s">
        <v>7646</v>
      </c>
      <c r="D3655" t="s">
        <v>1451</v>
      </c>
      <c r="E3655">
        <v>132718134</v>
      </c>
      <c r="F3655">
        <v>166756205</v>
      </c>
      <c r="G3655">
        <v>312166005</v>
      </c>
      <c r="H3655">
        <v>246649663</v>
      </c>
      <c r="I3655">
        <v>222851487</v>
      </c>
      <c r="J3655">
        <v>287207557</v>
      </c>
      <c r="K3655">
        <v>283308355</v>
      </c>
      <c r="L3655">
        <v>140449143</v>
      </c>
      <c r="M3655">
        <v>130796746</v>
      </c>
      <c r="N3655">
        <v>96141337</v>
      </c>
      <c r="O3655">
        <v>86865215</v>
      </c>
      <c r="P3655">
        <v>69</v>
      </c>
      <c r="Q3655" t="s">
        <v>7647</v>
      </c>
    </row>
    <row r="3656" spans="1:17" x14ac:dyDescent="0.3">
      <c r="A3656" t="s">
        <v>17</v>
      </c>
      <c r="B3656" t="str">
        <f>"605116"</f>
        <v>605116</v>
      </c>
      <c r="C3656" t="s">
        <v>7648</v>
      </c>
      <c r="D3656" t="s">
        <v>908</v>
      </c>
      <c r="E3656">
        <v>132711302</v>
      </c>
      <c r="F3656">
        <v>162873256</v>
      </c>
      <c r="P3656">
        <v>81</v>
      </c>
      <c r="Q3656" t="s">
        <v>7649</v>
      </c>
    </row>
    <row r="3657" spans="1:17" x14ac:dyDescent="0.3">
      <c r="A3657" t="s">
        <v>17</v>
      </c>
      <c r="B3657" t="str">
        <f>"688511"</f>
        <v>688511</v>
      </c>
      <c r="C3657" t="s">
        <v>7650</v>
      </c>
      <c r="D3657" t="s">
        <v>502</v>
      </c>
      <c r="E3657">
        <v>132453762</v>
      </c>
      <c r="F3657">
        <v>117483320</v>
      </c>
      <c r="P3657">
        <v>23</v>
      </c>
      <c r="Q3657" t="s">
        <v>7651</v>
      </c>
    </row>
    <row r="3658" spans="1:17" x14ac:dyDescent="0.3">
      <c r="A3658" t="s">
        <v>17</v>
      </c>
      <c r="B3658" t="str">
        <f>"605006"</f>
        <v>605006</v>
      </c>
      <c r="C3658" t="s">
        <v>7652</v>
      </c>
      <c r="D3658" t="s">
        <v>598</v>
      </c>
      <c r="E3658">
        <v>132448250</v>
      </c>
      <c r="F3658">
        <v>53358579</v>
      </c>
      <c r="P3658">
        <v>121</v>
      </c>
      <c r="Q3658" t="s">
        <v>7653</v>
      </c>
    </row>
    <row r="3659" spans="1:17" x14ac:dyDescent="0.3">
      <c r="A3659" t="s">
        <v>73</v>
      </c>
      <c r="B3659" t="str">
        <f>"300584"</f>
        <v>300584</v>
      </c>
      <c r="C3659" t="s">
        <v>7654</v>
      </c>
      <c r="D3659" t="s">
        <v>348</v>
      </c>
      <c r="E3659">
        <v>132398257</v>
      </c>
      <c r="F3659">
        <v>82890314</v>
      </c>
      <c r="G3659">
        <v>96449564</v>
      </c>
      <c r="H3659">
        <v>83967820</v>
      </c>
      <c r="I3659">
        <v>78539838</v>
      </c>
      <c r="J3659">
        <v>23408312</v>
      </c>
      <c r="K3659">
        <v>0</v>
      </c>
      <c r="P3659">
        <v>195</v>
      </c>
      <c r="Q3659" t="s">
        <v>7655</v>
      </c>
    </row>
    <row r="3660" spans="1:17" x14ac:dyDescent="0.3">
      <c r="A3660" t="s">
        <v>17</v>
      </c>
      <c r="B3660" t="str">
        <f>"688711"</f>
        <v>688711</v>
      </c>
      <c r="C3660" t="s">
        <v>7656</v>
      </c>
      <c r="D3660" t="s">
        <v>1479</v>
      </c>
      <c r="E3660">
        <v>131893257</v>
      </c>
      <c r="P3660">
        <v>38</v>
      </c>
      <c r="Q3660" t="s">
        <v>7657</v>
      </c>
    </row>
    <row r="3661" spans="1:17" x14ac:dyDescent="0.3">
      <c r="A3661" t="s">
        <v>17</v>
      </c>
      <c r="B3661" t="str">
        <f>"603309"</f>
        <v>603309</v>
      </c>
      <c r="C3661" t="s">
        <v>7658</v>
      </c>
      <c r="D3661" t="s">
        <v>1523</v>
      </c>
      <c r="E3661">
        <v>131771287</v>
      </c>
      <c r="F3661">
        <v>85832313</v>
      </c>
      <c r="G3661">
        <v>64445284</v>
      </c>
      <c r="H3661">
        <v>72134233</v>
      </c>
      <c r="I3661">
        <v>69599216</v>
      </c>
      <c r="J3661">
        <v>60748007</v>
      </c>
      <c r="K3661">
        <v>51638502</v>
      </c>
      <c r="L3661">
        <v>56465432</v>
      </c>
      <c r="M3661">
        <v>0</v>
      </c>
      <c r="P3661">
        <v>147</v>
      </c>
      <c r="Q3661" t="s">
        <v>7659</v>
      </c>
    </row>
    <row r="3662" spans="1:17" x14ac:dyDescent="0.3">
      <c r="A3662" t="s">
        <v>73</v>
      </c>
      <c r="B3662" t="str">
        <f>"300969"</f>
        <v>300969</v>
      </c>
      <c r="C3662" t="s">
        <v>7660</v>
      </c>
      <c r="D3662" t="s">
        <v>106</v>
      </c>
      <c r="E3662">
        <v>131459530</v>
      </c>
      <c r="F3662">
        <v>107819968</v>
      </c>
      <c r="P3662">
        <v>42</v>
      </c>
      <c r="Q3662" t="s">
        <v>7661</v>
      </c>
    </row>
    <row r="3663" spans="1:17" x14ac:dyDescent="0.3">
      <c r="A3663" t="s">
        <v>17</v>
      </c>
      <c r="B3663" t="str">
        <f>"688175"</f>
        <v>688175</v>
      </c>
      <c r="C3663" t="s">
        <v>7662</v>
      </c>
      <c r="E3663">
        <v>131364956</v>
      </c>
      <c r="P3663">
        <v>3</v>
      </c>
      <c r="Q3663" t="s">
        <v>7663</v>
      </c>
    </row>
    <row r="3664" spans="1:17" x14ac:dyDescent="0.3">
      <c r="A3664" t="s">
        <v>17</v>
      </c>
      <c r="B3664" t="str">
        <f>"600369"</f>
        <v>600369</v>
      </c>
      <c r="C3664" t="s">
        <v>7664</v>
      </c>
      <c r="D3664" t="s">
        <v>53</v>
      </c>
      <c r="E3664">
        <v>131292427</v>
      </c>
      <c r="F3664">
        <v>202630681</v>
      </c>
      <c r="G3664">
        <v>36378964</v>
      </c>
      <c r="H3664">
        <v>21937092</v>
      </c>
      <c r="I3664">
        <v>63956878</v>
      </c>
      <c r="J3664">
        <v>92173400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930</v>
      </c>
      <c r="Q3664" t="s">
        <v>7665</v>
      </c>
    </row>
    <row r="3665" spans="1:17" x14ac:dyDescent="0.3">
      <c r="A3665" t="s">
        <v>73</v>
      </c>
      <c r="B3665" t="str">
        <f>"301066"</f>
        <v>301066</v>
      </c>
      <c r="C3665" t="s">
        <v>7666</v>
      </c>
      <c r="D3665" t="s">
        <v>2601</v>
      </c>
      <c r="E3665">
        <v>131153978</v>
      </c>
      <c r="P3665">
        <v>21</v>
      </c>
      <c r="Q3665" t="s">
        <v>7667</v>
      </c>
    </row>
    <row r="3666" spans="1:17" x14ac:dyDescent="0.3">
      <c r="A3666" t="s">
        <v>73</v>
      </c>
      <c r="B3666" t="str">
        <f>"002492"</f>
        <v>002492</v>
      </c>
      <c r="C3666" t="s">
        <v>7668</v>
      </c>
      <c r="D3666" t="s">
        <v>1321</v>
      </c>
      <c r="E3666">
        <v>131090307</v>
      </c>
      <c r="F3666">
        <v>43836589</v>
      </c>
      <c r="G3666">
        <v>87451245</v>
      </c>
      <c r="H3666">
        <v>45596246</v>
      </c>
      <c r="I3666">
        <v>69785981</v>
      </c>
      <c r="J3666">
        <v>40806581</v>
      </c>
      <c r="K3666">
        <v>53266735</v>
      </c>
      <c r="L3666">
        <v>51217360</v>
      </c>
      <c r="M3666">
        <v>31887596</v>
      </c>
      <c r="N3666">
        <v>35548978</v>
      </c>
      <c r="O3666">
        <v>19551160</v>
      </c>
      <c r="P3666">
        <v>94</v>
      </c>
      <c r="Q3666" t="s">
        <v>7669</v>
      </c>
    </row>
    <row r="3667" spans="1:17" x14ac:dyDescent="0.3">
      <c r="A3667" t="s">
        <v>73</v>
      </c>
      <c r="B3667" t="str">
        <f>"301288"</f>
        <v>301288</v>
      </c>
      <c r="C3667" t="s">
        <v>7670</v>
      </c>
      <c r="E3667">
        <v>131090171</v>
      </c>
      <c r="P3667">
        <v>4</v>
      </c>
      <c r="Q3667" t="s">
        <v>7671</v>
      </c>
    </row>
    <row r="3668" spans="1:17" x14ac:dyDescent="0.3">
      <c r="A3668" t="s">
        <v>73</v>
      </c>
      <c r="B3668" t="str">
        <f>"300651"</f>
        <v>300651</v>
      </c>
      <c r="C3668" t="s">
        <v>7672</v>
      </c>
      <c r="D3668" t="s">
        <v>3944</v>
      </c>
      <c r="E3668">
        <v>131089648</v>
      </c>
      <c r="F3668">
        <v>126635632</v>
      </c>
      <c r="G3668">
        <v>60539376</v>
      </c>
      <c r="H3668">
        <v>0</v>
      </c>
      <c r="I3668">
        <v>106430042</v>
      </c>
      <c r="J3668">
        <v>101394174</v>
      </c>
      <c r="K3668">
        <v>0</v>
      </c>
      <c r="P3668">
        <v>99</v>
      </c>
      <c r="Q3668" t="s">
        <v>7673</v>
      </c>
    </row>
    <row r="3669" spans="1:17" x14ac:dyDescent="0.3">
      <c r="A3669" t="s">
        <v>73</v>
      </c>
      <c r="B3669" t="str">
        <f>"002633"</f>
        <v>002633</v>
      </c>
      <c r="C3669" t="s">
        <v>7674</v>
      </c>
      <c r="D3669" t="s">
        <v>146</v>
      </c>
      <c r="E3669">
        <v>131027834</v>
      </c>
      <c r="F3669">
        <v>85758688</v>
      </c>
      <c r="G3669">
        <v>87619421</v>
      </c>
      <c r="H3669">
        <v>109321184</v>
      </c>
      <c r="I3669">
        <v>118484454</v>
      </c>
      <c r="J3669">
        <v>96493581</v>
      </c>
      <c r="K3669">
        <v>88224778</v>
      </c>
      <c r="L3669">
        <v>158049913</v>
      </c>
      <c r="M3669">
        <v>182391560</v>
      </c>
      <c r="N3669">
        <v>187653644</v>
      </c>
      <c r="O3669">
        <v>132752898</v>
      </c>
      <c r="P3669">
        <v>44</v>
      </c>
      <c r="Q3669" t="s">
        <v>7675</v>
      </c>
    </row>
    <row r="3670" spans="1:17" x14ac:dyDescent="0.3">
      <c r="A3670" t="s">
        <v>73</v>
      </c>
      <c r="B3670" t="str">
        <f>"002890"</f>
        <v>002890</v>
      </c>
      <c r="C3670" t="s">
        <v>7676</v>
      </c>
      <c r="D3670" t="s">
        <v>2030</v>
      </c>
      <c r="E3670">
        <v>130851361</v>
      </c>
      <c r="F3670">
        <v>126358437</v>
      </c>
      <c r="G3670">
        <v>95653449</v>
      </c>
      <c r="H3670">
        <v>118799647</v>
      </c>
      <c r="I3670">
        <v>105132209</v>
      </c>
      <c r="P3670">
        <v>70</v>
      </c>
      <c r="Q3670" t="s">
        <v>7677</v>
      </c>
    </row>
    <row r="3671" spans="1:17" x14ac:dyDescent="0.3">
      <c r="A3671" t="s">
        <v>17</v>
      </c>
      <c r="B3671" t="str">
        <f>"603880"</f>
        <v>603880</v>
      </c>
      <c r="C3671" t="s">
        <v>7678</v>
      </c>
      <c r="D3671" t="s">
        <v>1523</v>
      </c>
      <c r="E3671">
        <v>130653838</v>
      </c>
      <c r="F3671">
        <v>122035193</v>
      </c>
      <c r="G3671">
        <v>109218310</v>
      </c>
      <c r="H3671">
        <v>126901485</v>
      </c>
      <c r="I3671">
        <v>139570638</v>
      </c>
      <c r="P3671">
        <v>125</v>
      </c>
      <c r="Q3671" t="s">
        <v>7679</v>
      </c>
    </row>
    <row r="3672" spans="1:17" x14ac:dyDescent="0.3">
      <c r="A3672" t="s">
        <v>17</v>
      </c>
      <c r="B3672" t="str">
        <f>"688616"</f>
        <v>688616</v>
      </c>
      <c r="C3672" t="s">
        <v>7680</v>
      </c>
      <c r="D3672" t="s">
        <v>1280</v>
      </c>
      <c r="E3672">
        <v>130588530</v>
      </c>
      <c r="F3672">
        <v>92870573</v>
      </c>
      <c r="P3672">
        <v>23</v>
      </c>
      <c r="Q3672" t="s">
        <v>7681</v>
      </c>
    </row>
    <row r="3673" spans="1:17" x14ac:dyDescent="0.3">
      <c r="A3673" t="s">
        <v>17</v>
      </c>
      <c r="B3673" t="str">
        <f>"601555"</f>
        <v>601555</v>
      </c>
      <c r="C3673" t="s">
        <v>7682</v>
      </c>
      <c r="D3673" t="s">
        <v>53</v>
      </c>
      <c r="E3673">
        <v>130428626</v>
      </c>
      <c r="F3673">
        <v>688566518</v>
      </c>
      <c r="G3673">
        <v>143465331</v>
      </c>
      <c r="H3673">
        <v>178121790</v>
      </c>
      <c r="I3673">
        <v>314600371</v>
      </c>
      <c r="J3673">
        <v>416797432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937</v>
      </c>
      <c r="Q3673" t="s">
        <v>7683</v>
      </c>
    </row>
    <row r="3674" spans="1:17" x14ac:dyDescent="0.3">
      <c r="A3674" t="s">
        <v>73</v>
      </c>
      <c r="B3674" t="str">
        <f>"301053"</f>
        <v>301053</v>
      </c>
      <c r="C3674" t="s">
        <v>7684</v>
      </c>
      <c r="D3674" t="s">
        <v>792</v>
      </c>
      <c r="E3674">
        <v>130418480</v>
      </c>
      <c r="P3674">
        <v>24</v>
      </c>
      <c r="Q3674" t="s">
        <v>7685</v>
      </c>
    </row>
    <row r="3675" spans="1:17" x14ac:dyDescent="0.3">
      <c r="A3675" t="s">
        <v>17</v>
      </c>
      <c r="B3675" t="str">
        <f>"688799"</f>
        <v>688799</v>
      </c>
      <c r="C3675" t="s">
        <v>7686</v>
      </c>
      <c r="D3675" t="s">
        <v>348</v>
      </c>
      <c r="E3675">
        <v>130400788</v>
      </c>
      <c r="F3675">
        <v>116457015</v>
      </c>
      <c r="P3675">
        <v>35</v>
      </c>
      <c r="Q3675" t="s">
        <v>7687</v>
      </c>
    </row>
    <row r="3676" spans="1:17" x14ac:dyDescent="0.3">
      <c r="A3676" t="s">
        <v>73</v>
      </c>
      <c r="B3676" t="str">
        <f>"002360"</f>
        <v>002360</v>
      </c>
      <c r="C3676" t="s">
        <v>7688</v>
      </c>
      <c r="D3676" t="s">
        <v>484</v>
      </c>
      <c r="E3676">
        <v>130397360</v>
      </c>
      <c r="F3676">
        <v>124335182</v>
      </c>
      <c r="G3676">
        <v>144341415</v>
      </c>
      <c r="H3676">
        <v>86473401</v>
      </c>
      <c r="I3676">
        <v>78621129</v>
      </c>
      <c r="J3676">
        <v>90657734</v>
      </c>
      <c r="K3676">
        <v>79753722</v>
      </c>
      <c r="L3676">
        <v>67809370</v>
      </c>
      <c r="M3676">
        <v>69526220</v>
      </c>
      <c r="N3676">
        <v>49554314</v>
      </c>
      <c r="O3676">
        <v>38777592</v>
      </c>
      <c r="P3676">
        <v>111</v>
      </c>
      <c r="Q3676" t="s">
        <v>7689</v>
      </c>
    </row>
    <row r="3677" spans="1:17" x14ac:dyDescent="0.3">
      <c r="A3677" t="s">
        <v>17</v>
      </c>
      <c r="B3677" t="str">
        <f>"600971"</f>
        <v>600971</v>
      </c>
      <c r="C3677" t="s">
        <v>7690</v>
      </c>
      <c r="D3677" t="s">
        <v>218</v>
      </c>
      <c r="E3677">
        <v>130341676</v>
      </c>
      <c r="F3677">
        <v>147312537</v>
      </c>
      <c r="G3677">
        <v>276327671</v>
      </c>
      <c r="H3677">
        <v>255099670</v>
      </c>
      <c r="I3677">
        <v>218789670</v>
      </c>
      <c r="J3677">
        <v>357267888</v>
      </c>
      <c r="K3677">
        <v>575211195</v>
      </c>
      <c r="L3677">
        <v>602774465</v>
      </c>
      <c r="M3677">
        <v>809144617</v>
      </c>
      <c r="N3677">
        <v>710332862</v>
      </c>
      <c r="O3677">
        <v>241218346</v>
      </c>
      <c r="P3677">
        <v>1522</v>
      </c>
      <c r="Q3677" t="s">
        <v>7691</v>
      </c>
    </row>
    <row r="3678" spans="1:17" x14ac:dyDescent="0.3">
      <c r="A3678" t="s">
        <v>17</v>
      </c>
      <c r="B3678" t="str">
        <f>"688600"</f>
        <v>688600</v>
      </c>
      <c r="C3678" t="s">
        <v>7692</v>
      </c>
      <c r="D3678" t="s">
        <v>540</v>
      </c>
      <c r="E3678">
        <v>130254566</v>
      </c>
      <c r="F3678">
        <v>105338238</v>
      </c>
      <c r="G3678">
        <v>101109022</v>
      </c>
      <c r="P3678">
        <v>62</v>
      </c>
      <c r="Q3678" t="s">
        <v>7693</v>
      </c>
    </row>
    <row r="3679" spans="1:17" x14ac:dyDescent="0.3">
      <c r="A3679" t="s">
        <v>73</v>
      </c>
      <c r="B3679" t="str">
        <f>"300780"</f>
        <v>300780</v>
      </c>
      <c r="C3679" t="s">
        <v>7694</v>
      </c>
      <c r="D3679" t="s">
        <v>146</v>
      </c>
      <c r="E3679">
        <v>130003518</v>
      </c>
      <c r="F3679">
        <v>83760884</v>
      </c>
      <c r="G3679">
        <v>78608668</v>
      </c>
      <c r="H3679">
        <v>0</v>
      </c>
      <c r="I3679">
        <v>0</v>
      </c>
      <c r="J3679">
        <v>61282759</v>
      </c>
      <c r="P3679">
        <v>56</v>
      </c>
      <c r="Q3679" t="s">
        <v>7695</v>
      </c>
    </row>
    <row r="3680" spans="1:17" x14ac:dyDescent="0.3">
      <c r="A3680" t="s">
        <v>17</v>
      </c>
      <c r="B3680" t="str">
        <f>"603188"</f>
        <v>603188</v>
      </c>
      <c r="C3680" t="s">
        <v>7696</v>
      </c>
      <c r="D3680" t="s">
        <v>1001</v>
      </c>
      <c r="E3680">
        <v>130001283</v>
      </c>
      <c r="F3680">
        <v>45796976</v>
      </c>
      <c r="G3680">
        <v>92446667</v>
      </c>
      <c r="H3680">
        <v>247329344</v>
      </c>
      <c r="I3680">
        <v>303211386</v>
      </c>
      <c r="J3680">
        <v>387585919</v>
      </c>
      <c r="K3680">
        <v>401638314</v>
      </c>
      <c r="L3680">
        <v>329194443</v>
      </c>
      <c r="M3680">
        <v>0</v>
      </c>
      <c r="P3680">
        <v>206</v>
      </c>
      <c r="Q3680" t="s">
        <v>7697</v>
      </c>
    </row>
    <row r="3681" spans="1:17" x14ac:dyDescent="0.3">
      <c r="A3681" t="s">
        <v>73</v>
      </c>
      <c r="B3681" t="str">
        <f>"300386"</f>
        <v>300386</v>
      </c>
      <c r="C3681" t="s">
        <v>7698</v>
      </c>
      <c r="D3681" t="s">
        <v>158</v>
      </c>
      <c r="E3681">
        <v>129854781</v>
      </c>
      <c r="F3681">
        <v>119624567</v>
      </c>
      <c r="G3681">
        <v>145559062</v>
      </c>
      <c r="H3681">
        <v>169033499</v>
      </c>
      <c r="I3681">
        <v>132993592</v>
      </c>
      <c r="J3681">
        <v>135952572</v>
      </c>
      <c r="K3681">
        <v>87075118</v>
      </c>
      <c r="L3681">
        <v>106370106</v>
      </c>
      <c r="M3681">
        <v>0</v>
      </c>
      <c r="P3681">
        <v>188</v>
      </c>
      <c r="Q3681" t="s">
        <v>7699</v>
      </c>
    </row>
    <row r="3682" spans="1:17" x14ac:dyDescent="0.3">
      <c r="A3682" t="s">
        <v>73</v>
      </c>
      <c r="B3682" t="str">
        <f>"301189"</f>
        <v>301189</v>
      </c>
      <c r="C3682" t="s">
        <v>7700</v>
      </c>
      <c r="D3682" t="s">
        <v>1937</v>
      </c>
      <c r="E3682">
        <v>129803277</v>
      </c>
      <c r="P3682">
        <v>10</v>
      </c>
      <c r="Q3682" t="s">
        <v>7701</v>
      </c>
    </row>
    <row r="3683" spans="1:17" x14ac:dyDescent="0.3">
      <c r="A3683" t="s">
        <v>17</v>
      </c>
      <c r="B3683" t="str">
        <f>"600644"</f>
        <v>600644</v>
      </c>
      <c r="C3683" t="s">
        <v>7702</v>
      </c>
      <c r="D3683" t="s">
        <v>314</v>
      </c>
      <c r="E3683">
        <v>129791347</v>
      </c>
      <c r="F3683">
        <v>71523200</v>
      </c>
      <c r="G3683">
        <v>92309396</v>
      </c>
      <c r="H3683">
        <v>56879559</v>
      </c>
      <c r="I3683">
        <v>42675592</v>
      </c>
      <c r="J3683">
        <v>37094897</v>
      </c>
      <c r="K3683">
        <v>57023871</v>
      </c>
      <c r="L3683">
        <v>30991328</v>
      </c>
      <c r="M3683">
        <v>15100915</v>
      </c>
      <c r="N3683">
        <v>20633157</v>
      </c>
      <c r="O3683">
        <v>21138513</v>
      </c>
      <c r="P3683">
        <v>81</v>
      </c>
      <c r="Q3683" t="s">
        <v>7703</v>
      </c>
    </row>
    <row r="3684" spans="1:17" x14ac:dyDescent="0.3">
      <c r="A3684" t="s">
        <v>17</v>
      </c>
      <c r="B3684" t="str">
        <f>"600076"</f>
        <v>600076</v>
      </c>
      <c r="C3684" t="s">
        <v>7704</v>
      </c>
      <c r="D3684" t="s">
        <v>972</v>
      </c>
      <c r="E3684">
        <v>129697575</v>
      </c>
      <c r="F3684">
        <v>338737392</v>
      </c>
      <c r="G3684">
        <v>471547865</v>
      </c>
      <c r="H3684">
        <v>449511298</v>
      </c>
      <c r="I3684">
        <v>421636939</v>
      </c>
      <c r="J3684">
        <v>183537562</v>
      </c>
      <c r="K3684">
        <v>311866742</v>
      </c>
      <c r="L3684">
        <v>2700033</v>
      </c>
      <c r="M3684">
        <v>1568480</v>
      </c>
      <c r="N3684">
        <v>2372509</v>
      </c>
      <c r="O3684">
        <v>1795504</v>
      </c>
      <c r="P3684">
        <v>200</v>
      </c>
      <c r="Q3684" t="s">
        <v>7705</v>
      </c>
    </row>
    <row r="3685" spans="1:17" x14ac:dyDescent="0.3">
      <c r="A3685" t="s">
        <v>17</v>
      </c>
      <c r="B3685" t="str">
        <f>"600793"</f>
        <v>600793</v>
      </c>
      <c r="C3685" t="s">
        <v>7706</v>
      </c>
      <c r="D3685" t="s">
        <v>2185</v>
      </c>
      <c r="E3685">
        <v>129669750</v>
      </c>
      <c r="F3685">
        <v>187042608</v>
      </c>
      <c r="G3685">
        <v>100596128</v>
      </c>
      <c r="H3685">
        <v>142058604</v>
      </c>
      <c r="I3685">
        <v>128621139</v>
      </c>
      <c r="J3685">
        <v>95866125</v>
      </c>
      <c r="K3685">
        <v>70422894</v>
      </c>
      <c r="L3685">
        <v>1175579</v>
      </c>
      <c r="M3685">
        <v>646536</v>
      </c>
      <c r="N3685">
        <v>1062644</v>
      </c>
      <c r="O3685">
        <v>4648883</v>
      </c>
      <c r="P3685">
        <v>109</v>
      </c>
      <c r="Q3685" t="s">
        <v>7707</v>
      </c>
    </row>
    <row r="3686" spans="1:17" x14ac:dyDescent="0.3">
      <c r="A3686" t="s">
        <v>17</v>
      </c>
      <c r="B3686" t="str">
        <f>"688020"</f>
        <v>688020</v>
      </c>
      <c r="C3686" t="s">
        <v>7708</v>
      </c>
      <c r="D3686" t="s">
        <v>418</v>
      </c>
      <c r="E3686">
        <v>129500703</v>
      </c>
      <c r="F3686">
        <v>93207236</v>
      </c>
      <c r="G3686">
        <v>108027805</v>
      </c>
      <c r="H3686">
        <v>0</v>
      </c>
      <c r="P3686">
        <v>253</v>
      </c>
      <c r="Q3686" t="s">
        <v>7709</v>
      </c>
    </row>
    <row r="3687" spans="1:17" x14ac:dyDescent="0.3">
      <c r="A3687" t="s">
        <v>17</v>
      </c>
      <c r="B3687" t="str">
        <f>"600600"</f>
        <v>600600</v>
      </c>
      <c r="C3687" t="s">
        <v>7710</v>
      </c>
      <c r="D3687" t="s">
        <v>5451</v>
      </c>
      <c r="E3687">
        <v>129364574</v>
      </c>
      <c r="F3687">
        <v>141519585</v>
      </c>
      <c r="G3687">
        <v>151460345</v>
      </c>
      <c r="H3687">
        <v>95196732</v>
      </c>
      <c r="I3687">
        <v>136612363</v>
      </c>
      <c r="J3687">
        <v>129972451</v>
      </c>
      <c r="K3687">
        <v>131436668</v>
      </c>
      <c r="L3687">
        <v>195530139</v>
      </c>
      <c r="M3687">
        <v>241370000</v>
      </c>
      <c r="N3687">
        <v>202787436</v>
      </c>
      <c r="O3687">
        <v>113428428</v>
      </c>
      <c r="P3687">
        <v>2021</v>
      </c>
      <c r="Q3687" t="s">
        <v>7711</v>
      </c>
    </row>
    <row r="3688" spans="1:17" x14ac:dyDescent="0.3">
      <c r="A3688" t="s">
        <v>17</v>
      </c>
      <c r="B3688" t="str">
        <f>"603351"</f>
        <v>603351</v>
      </c>
      <c r="C3688" t="s">
        <v>7712</v>
      </c>
      <c r="D3688" t="s">
        <v>908</v>
      </c>
      <c r="E3688">
        <v>129242295</v>
      </c>
      <c r="F3688">
        <v>100409548</v>
      </c>
      <c r="G3688">
        <v>77877355</v>
      </c>
      <c r="H3688">
        <v>104202644</v>
      </c>
      <c r="P3688">
        <v>87</v>
      </c>
      <c r="Q3688" t="s">
        <v>7713</v>
      </c>
    </row>
    <row r="3689" spans="1:17" x14ac:dyDescent="0.3">
      <c r="A3689" t="s">
        <v>73</v>
      </c>
      <c r="B3689" t="str">
        <f>"002522"</f>
        <v>002522</v>
      </c>
      <c r="C3689" t="s">
        <v>7714</v>
      </c>
      <c r="D3689" t="s">
        <v>2271</v>
      </c>
      <c r="E3689">
        <v>129228747</v>
      </c>
      <c r="F3689">
        <v>105951851</v>
      </c>
      <c r="G3689">
        <v>99767311</v>
      </c>
      <c r="H3689">
        <v>90339552</v>
      </c>
      <c r="I3689">
        <v>63896360</v>
      </c>
      <c r="J3689">
        <v>67025691</v>
      </c>
      <c r="K3689">
        <v>53849218</v>
      </c>
      <c r="L3689">
        <v>45155285</v>
      </c>
      <c r="M3689">
        <v>52921300</v>
      </c>
      <c r="N3689">
        <v>46937760</v>
      </c>
      <c r="O3689">
        <v>52660066</v>
      </c>
      <c r="P3689">
        <v>367</v>
      </c>
      <c r="Q3689" t="s">
        <v>7715</v>
      </c>
    </row>
    <row r="3690" spans="1:17" x14ac:dyDescent="0.3">
      <c r="A3690" t="s">
        <v>73</v>
      </c>
      <c r="B3690" t="str">
        <f>"001202"</f>
        <v>001202</v>
      </c>
      <c r="C3690" t="s">
        <v>7716</v>
      </c>
      <c r="D3690" t="s">
        <v>192</v>
      </c>
      <c r="E3690">
        <v>129139561</v>
      </c>
      <c r="F3690">
        <v>97710236</v>
      </c>
      <c r="P3690">
        <v>32</v>
      </c>
      <c r="Q3690" t="s">
        <v>7717</v>
      </c>
    </row>
    <row r="3691" spans="1:17" x14ac:dyDescent="0.3">
      <c r="A3691" t="s">
        <v>17</v>
      </c>
      <c r="B3691" t="str">
        <f>"600746"</f>
        <v>600746</v>
      </c>
      <c r="C3691" t="s">
        <v>7718</v>
      </c>
      <c r="D3691" t="s">
        <v>1145</v>
      </c>
      <c r="E3691">
        <v>128997969</v>
      </c>
      <c r="F3691">
        <v>59382048</v>
      </c>
      <c r="G3691">
        <v>60007151</v>
      </c>
      <c r="H3691">
        <v>5295222</v>
      </c>
      <c r="I3691">
        <v>14349569</v>
      </c>
      <c r="J3691">
        <v>13661449</v>
      </c>
      <c r="K3691">
        <v>15853014</v>
      </c>
      <c r="L3691">
        <v>31513035</v>
      </c>
      <c r="M3691">
        <v>40888317</v>
      </c>
      <c r="N3691">
        <v>73217311</v>
      </c>
      <c r="O3691">
        <v>76033237</v>
      </c>
      <c r="P3691">
        <v>230</v>
      </c>
      <c r="Q3691" t="s">
        <v>7719</v>
      </c>
    </row>
    <row r="3692" spans="1:17" x14ac:dyDescent="0.3">
      <c r="A3692" t="s">
        <v>73</v>
      </c>
      <c r="B3692" t="str">
        <f>"300329"</f>
        <v>300329</v>
      </c>
      <c r="C3692" t="s">
        <v>7720</v>
      </c>
      <c r="D3692" t="s">
        <v>6353</v>
      </c>
      <c r="E3692">
        <v>128991395</v>
      </c>
      <c r="F3692">
        <v>128679126</v>
      </c>
      <c r="G3692">
        <v>112453145</v>
      </c>
      <c r="H3692">
        <v>113920471</v>
      </c>
      <c r="I3692">
        <v>110810560</v>
      </c>
      <c r="J3692">
        <v>100075314</v>
      </c>
      <c r="K3692">
        <v>105460708</v>
      </c>
      <c r="L3692">
        <v>99083751</v>
      </c>
      <c r="M3692">
        <v>93990717</v>
      </c>
      <c r="N3692">
        <v>87702236</v>
      </c>
      <c r="O3692">
        <v>66185131</v>
      </c>
      <c r="P3692">
        <v>96</v>
      </c>
      <c r="Q3692" t="s">
        <v>7721</v>
      </c>
    </row>
    <row r="3693" spans="1:17" x14ac:dyDescent="0.3">
      <c r="A3693" t="s">
        <v>73</v>
      </c>
      <c r="B3693" t="str">
        <f>"300551"</f>
        <v>300551</v>
      </c>
      <c r="C3693" t="s">
        <v>7722</v>
      </c>
      <c r="D3693" t="s">
        <v>158</v>
      </c>
      <c r="E3693">
        <v>128987122</v>
      </c>
      <c r="F3693">
        <v>134079241</v>
      </c>
      <c r="G3693">
        <v>215349133</v>
      </c>
      <c r="H3693">
        <v>193543723</v>
      </c>
      <c r="I3693">
        <v>145833503</v>
      </c>
      <c r="J3693">
        <v>116338070</v>
      </c>
      <c r="K3693">
        <v>0</v>
      </c>
      <c r="P3693">
        <v>89</v>
      </c>
      <c r="Q3693" t="s">
        <v>7723</v>
      </c>
    </row>
    <row r="3694" spans="1:17" x14ac:dyDescent="0.3">
      <c r="A3694" t="s">
        <v>17</v>
      </c>
      <c r="B3694" t="str">
        <f>"600293"</f>
        <v>600293</v>
      </c>
      <c r="C3694" t="s">
        <v>7724</v>
      </c>
      <c r="D3694" t="s">
        <v>2655</v>
      </c>
      <c r="E3694">
        <v>128852677</v>
      </c>
      <c r="F3694">
        <v>638237236</v>
      </c>
      <c r="G3694">
        <v>1146275013</v>
      </c>
      <c r="H3694">
        <v>1409265361</v>
      </c>
      <c r="I3694">
        <v>1107234860</v>
      </c>
      <c r="J3694">
        <v>549155757</v>
      </c>
      <c r="K3694">
        <v>88864589</v>
      </c>
      <c r="L3694">
        <v>85521474</v>
      </c>
      <c r="M3694">
        <v>47674278</v>
      </c>
      <c r="N3694">
        <v>54978933</v>
      </c>
      <c r="O3694">
        <v>65669476</v>
      </c>
      <c r="P3694">
        <v>126</v>
      </c>
      <c r="Q3694" t="s">
        <v>7725</v>
      </c>
    </row>
    <row r="3695" spans="1:17" x14ac:dyDescent="0.3">
      <c r="A3695" t="s">
        <v>73</v>
      </c>
      <c r="B3695" t="str">
        <f>"300875"</f>
        <v>300875</v>
      </c>
      <c r="C3695" t="s">
        <v>7726</v>
      </c>
      <c r="D3695" t="s">
        <v>1743</v>
      </c>
      <c r="E3695">
        <v>128778603</v>
      </c>
      <c r="F3695">
        <v>83204314</v>
      </c>
      <c r="I3695">
        <v>4585552</v>
      </c>
      <c r="P3695">
        <v>106</v>
      </c>
      <c r="Q3695" t="s">
        <v>7727</v>
      </c>
    </row>
    <row r="3696" spans="1:17" x14ac:dyDescent="0.3">
      <c r="A3696" t="s">
        <v>17</v>
      </c>
      <c r="B3696" t="str">
        <f>"603138"</f>
        <v>603138</v>
      </c>
      <c r="C3696" t="s">
        <v>7728</v>
      </c>
      <c r="D3696" t="s">
        <v>302</v>
      </c>
      <c r="E3696">
        <v>128673294</v>
      </c>
      <c r="F3696">
        <v>102571734</v>
      </c>
      <c r="G3696">
        <v>143952539</v>
      </c>
      <c r="H3696">
        <v>94614338</v>
      </c>
      <c r="I3696">
        <v>71439739</v>
      </c>
      <c r="J3696">
        <v>52466278</v>
      </c>
      <c r="P3696">
        <v>147</v>
      </c>
      <c r="Q3696" t="s">
        <v>7729</v>
      </c>
    </row>
    <row r="3697" spans="1:17" x14ac:dyDescent="0.3">
      <c r="A3697" t="s">
        <v>73</v>
      </c>
      <c r="B3697" t="str">
        <f>"300107"</f>
        <v>300107</v>
      </c>
      <c r="C3697" t="s">
        <v>7730</v>
      </c>
      <c r="D3697" t="s">
        <v>1001</v>
      </c>
      <c r="E3697">
        <v>128553773</v>
      </c>
      <c r="F3697">
        <v>104056819</v>
      </c>
      <c r="G3697">
        <v>102891127</v>
      </c>
      <c r="H3697">
        <v>163048082</v>
      </c>
      <c r="I3697">
        <v>111058039</v>
      </c>
      <c r="J3697">
        <v>63375182</v>
      </c>
      <c r="K3697">
        <v>64569572</v>
      </c>
      <c r="L3697">
        <v>66300354</v>
      </c>
      <c r="M3697">
        <v>67172359</v>
      </c>
      <c r="N3697">
        <v>65742020</v>
      </c>
      <c r="O3697">
        <v>46320379</v>
      </c>
      <c r="P3697">
        <v>239</v>
      </c>
      <c r="Q3697" t="s">
        <v>7731</v>
      </c>
    </row>
    <row r="3698" spans="1:17" x14ac:dyDescent="0.3">
      <c r="A3698" t="s">
        <v>73</v>
      </c>
      <c r="B3698" t="str">
        <f>"002113"</f>
        <v>002113</v>
      </c>
      <c r="C3698" t="s">
        <v>7732</v>
      </c>
      <c r="D3698" t="s">
        <v>899</v>
      </c>
      <c r="E3698">
        <v>128260928</v>
      </c>
      <c r="F3698">
        <v>250205354</v>
      </c>
      <c r="G3698">
        <v>220439964</v>
      </c>
      <c r="H3698">
        <v>135046475</v>
      </c>
      <c r="I3698">
        <v>106586891</v>
      </c>
      <c r="J3698">
        <v>80057528</v>
      </c>
      <c r="K3698">
        <v>99038</v>
      </c>
      <c r="L3698">
        <v>237500</v>
      </c>
      <c r="M3698">
        <v>175000</v>
      </c>
      <c r="N3698">
        <v>1323891</v>
      </c>
      <c r="O3698">
        <v>1584474</v>
      </c>
      <c r="P3698">
        <v>77</v>
      </c>
      <c r="Q3698" t="s">
        <v>7733</v>
      </c>
    </row>
    <row r="3699" spans="1:17" x14ac:dyDescent="0.3">
      <c r="A3699" t="s">
        <v>73</v>
      </c>
      <c r="B3699" t="str">
        <f>"002122"</f>
        <v>002122</v>
      </c>
      <c r="C3699" t="s">
        <v>7734</v>
      </c>
      <c r="D3699" t="s">
        <v>146</v>
      </c>
      <c r="E3699">
        <v>128257713</v>
      </c>
      <c r="F3699">
        <v>170721395</v>
      </c>
      <c r="G3699">
        <v>225750940</v>
      </c>
      <c r="H3699">
        <v>974843041</v>
      </c>
      <c r="I3699">
        <v>773069130</v>
      </c>
      <c r="J3699">
        <v>1002898198</v>
      </c>
      <c r="K3699">
        <v>1052603538</v>
      </c>
      <c r="L3699">
        <v>1178756530</v>
      </c>
      <c r="M3699">
        <v>1146171644</v>
      </c>
      <c r="N3699">
        <v>1132531503</v>
      </c>
      <c r="O3699">
        <v>1114778730</v>
      </c>
      <c r="P3699">
        <v>69</v>
      </c>
      <c r="Q3699" t="s">
        <v>7735</v>
      </c>
    </row>
    <row r="3700" spans="1:17" x14ac:dyDescent="0.3">
      <c r="A3700" t="s">
        <v>17</v>
      </c>
      <c r="B3700" t="str">
        <f>"603180"</f>
        <v>603180</v>
      </c>
      <c r="C3700" t="s">
        <v>7736</v>
      </c>
      <c r="D3700" t="s">
        <v>2533</v>
      </c>
      <c r="E3700">
        <v>128186598</v>
      </c>
      <c r="F3700">
        <v>69522520</v>
      </c>
      <c r="G3700">
        <v>51592534</v>
      </c>
      <c r="H3700">
        <v>31813113</v>
      </c>
      <c r="I3700">
        <v>21320622</v>
      </c>
      <c r="J3700">
        <v>10595544</v>
      </c>
      <c r="P3700">
        <v>1304</v>
      </c>
      <c r="Q3700" t="s">
        <v>7737</v>
      </c>
    </row>
    <row r="3701" spans="1:17" x14ac:dyDescent="0.3">
      <c r="A3701" t="s">
        <v>73</v>
      </c>
      <c r="B3701" t="str">
        <f>"300952"</f>
        <v>300952</v>
      </c>
      <c r="C3701" t="s">
        <v>7738</v>
      </c>
      <c r="D3701" t="s">
        <v>2601</v>
      </c>
      <c r="E3701">
        <v>127978916</v>
      </c>
      <c r="F3701">
        <v>139798550</v>
      </c>
      <c r="P3701">
        <v>38</v>
      </c>
      <c r="Q3701" t="s">
        <v>7739</v>
      </c>
    </row>
    <row r="3702" spans="1:17" x14ac:dyDescent="0.3">
      <c r="A3702" t="s">
        <v>73</v>
      </c>
      <c r="B3702" t="str">
        <f>"300828"</f>
        <v>300828</v>
      </c>
      <c r="C3702" t="s">
        <v>7740</v>
      </c>
      <c r="D3702" t="s">
        <v>146</v>
      </c>
      <c r="E3702">
        <v>127694789</v>
      </c>
      <c r="F3702">
        <v>91472929</v>
      </c>
      <c r="G3702">
        <v>68521525</v>
      </c>
      <c r="H3702">
        <v>0</v>
      </c>
      <c r="P3702">
        <v>91</v>
      </c>
      <c r="Q3702" t="s">
        <v>7741</v>
      </c>
    </row>
    <row r="3703" spans="1:17" x14ac:dyDescent="0.3">
      <c r="A3703" t="s">
        <v>17</v>
      </c>
      <c r="B3703" t="str">
        <f>"603041"</f>
        <v>603041</v>
      </c>
      <c r="C3703" t="s">
        <v>7742</v>
      </c>
      <c r="D3703" t="s">
        <v>267</v>
      </c>
      <c r="E3703">
        <v>127550668</v>
      </c>
      <c r="F3703">
        <v>91728463</v>
      </c>
      <c r="G3703">
        <v>69247553</v>
      </c>
      <c r="H3703">
        <v>59453400</v>
      </c>
      <c r="I3703">
        <v>55077179</v>
      </c>
      <c r="J3703">
        <v>73817728</v>
      </c>
      <c r="P3703">
        <v>98</v>
      </c>
      <c r="Q3703" t="s">
        <v>7743</v>
      </c>
    </row>
    <row r="3704" spans="1:17" x14ac:dyDescent="0.3">
      <c r="A3704" t="s">
        <v>17</v>
      </c>
      <c r="B3704" t="str">
        <f>"600272"</f>
        <v>600272</v>
      </c>
      <c r="C3704" t="s">
        <v>7744</v>
      </c>
      <c r="D3704" t="s">
        <v>50</v>
      </c>
      <c r="E3704">
        <v>127396629</v>
      </c>
      <c r="F3704">
        <v>122917515</v>
      </c>
      <c r="G3704">
        <v>126799838</v>
      </c>
      <c r="H3704">
        <v>142763436</v>
      </c>
      <c r="I3704">
        <v>127785421</v>
      </c>
      <c r="J3704">
        <v>160646398</v>
      </c>
      <c r="K3704">
        <v>142024343</v>
      </c>
      <c r="L3704">
        <v>141964195</v>
      </c>
      <c r="M3704">
        <v>148319157</v>
      </c>
      <c r="N3704">
        <v>128387834</v>
      </c>
      <c r="O3704">
        <v>114698881</v>
      </c>
      <c r="P3704">
        <v>66</v>
      </c>
      <c r="Q3704" t="s">
        <v>7745</v>
      </c>
    </row>
    <row r="3705" spans="1:17" x14ac:dyDescent="0.3">
      <c r="A3705" t="s">
        <v>17</v>
      </c>
      <c r="B3705" t="str">
        <f>"688076"</f>
        <v>688076</v>
      </c>
      <c r="C3705" t="s">
        <v>7746</v>
      </c>
      <c r="D3705" t="s">
        <v>459</v>
      </c>
      <c r="E3705">
        <v>127392690</v>
      </c>
      <c r="F3705">
        <v>111189848</v>
      </c>
      <c r="P3705">
        <v>53</v>
      </c>
      <c r="Q3705" t="s">
        <v>7747</v>
      </c>
    </row>
    <row r="3706" spans="1:17" x14ac:dyDescent="0.3">
      <c r="A3706" t="s">
        <v>17</v>
      </c>
      <c r="B3706" t="str">
        <f>"688171"</f>
        <v>688171</v>
      </c>
      <c r="C3706" t="s">
        <v>7748</v>
      </c>
      <c r="E3706">
        <v>127311814</v>
      </c>
      <c r="G3706">
        <v>56790720</v>
      </c>
      <c r="P3706">
        <v>12</v>
      </c>
      <c r="Q3706" t="s">
        <v>7749</v>
      </c>
    </row>
    <row r="3707" spans="1:17" x14ac:dyDescent="0.3">
      <c r="A3707" t="s">
        <v>73</v>
      </c>
      <c r="B3707" t="str">
        <f>"003041"</f>
        <v>003041</v>
      </c>
      <c r="C3707" t="s">
        <v>7750</v>
      </c>
      <c r="D3707" t="s">
        <v>4320</v>
      </c>
      <c r="E3707">
        <v>127096803</v>
      </c>
      <c r="F3707">
        <v>92989885</v>
      </c>
      <c r="P3707">
        <v>30</v>
      </c>
      <c r="Q3707" t="s">
        <v>7751</v>
      </c>
    </row>
    <row r="3708" spans="1:17" x14ac:dyDescent="0.3">
      <c r="A3708" t="s">
        <v>73</v>
      </c>
      <c r="B3708" t="str">
        <f>"300299"</f>
        <v>300299</v>
      </c>
      <c r="C3708" t="s">
        <v>7752</v>
      </c>
      <c r="D3708" t="s">
        <v>899</v>
      </c>
      <c r="E3708">
        <v>127068359</v>
      </c>
      <c r="F3708">
        <v>145408091</v>
      </c>
      <c r="G3708">
        <v>219529124</v>
      </c>
      <c r="H3708">
        <v>306647816</v>
      </c>
      <c r="I3708">
        <v>278940929</v>
      </c>
      <c r="J3708">
        <v>356207898</v>
      </c>
      <c r="K3708">
        <v>326485760</v>
      </c>
      <c r="L3708">
        <v>260162594</v>
      </c>
      <c r="M3708">
        <v>209948172</v>
      </c>
      <c r="N3708">
        <v>171371328</v>
      </c>
      <c r="O3708">
        <v>132806295</v>
      </c>
      <c r="P3708">
        <v>187</v>
      </c>
      <c r="Q3708" t="s">
        <v>7753</v>
      </c>
    </row>
    <row r="3709" spans="1:17" x14ac:dyDescent="0.3">
      <c r="A3709" t="s">
        <v>73</v>
      </c>
      <c r="B3709" t="str">
        <f>"000718"</f>
        <v>000718</v>
      </c>
      <c r="C3709" t="s">
        <v>7754</v>
      </c>
      <c r="D3709" t="s">
        <v>27</v>
      </c>
      <c r="E3709">
        <v>127023002</v>
      </c>
      <c r="F3709">
        <v>84230059</v>
      </c>
      <c r="G3709">
        <v>115132052</v>
      </c>
      <c r="H3709">
        <v>192750250</v>
      </c>
      <c r="I3709">
        <v>554356239</v>
      </c>
      <c r="J3709">
        <v>541345958</v>
      </c>
      <c r="K3709">
        <v>297260257</v>
      </c>
      <c r="L3709">
        <v>143868505</v>
      </c>
      <c r="M3709">
        <v>171217608</v>
      </c>
      <c r="N3709">
        <v>146824944</v>
      </c>
      <c r="O3709">
        <v>97872980</v>
      </c>
      <c r="P3709">
        <v>659</v>
      </c>
      <c r="Q3709" t="s">
        <v>7755</v>
      </c>
    </row>
    <row r="3710" spans="1:17" x14ac:dyDescent="0.3">
      <c r="A3710" t="s">
        <v>73</v>
      </c>
      <c r="B3710" t="str">
        <f>"000020"</f>
        <v>000020</v>
      </c>
      <c r="C3710" t="s">
        <v>7756</v>
      </c>
      <c r="D3710" t="s">
        <v>97</v>
      </c>
      <c r="E3710">
        <v>126914942</v>
      </c>
      <c r="F3710">
        <v>141260235</v>
      </c>
      <c r="G3710">
        <v>124682500</v>
      </c>
      <c r="H3710">
        <v>128214499</v>
      </c>
      <c r="I3710">
        <v>138153697</v>
      </c>
      <c r="J3710">
        <v>191400139</v>
      </c>
      <c r="K3710">
        <v>184246017</v>
      </c>
      <c r="L3710">
        <v>136923064</v>
      </c>
      <c r="M3710">
        <v>204247342</v>
      </c>
      <c r="N3710">
        <v>195997976</v>
      </c>
      <c r="O3710">
        <v>205673779</v>
      </c>
      <c r="P3710">
        <v>75</v>
      </c>
      <c r="Q3710" t="s">
        <v>7757</v>
      </c>
    </row>
    <row r="3711" spans="1:17" x14ac:dyDescent="0.3">
      <c r="A3711" t="s">
        <v>73</v>
      </c>
      <c r="B3711" t="str">
        <f>"000936"</f>
        <v>000936</v>
      </c>
      <c r="C3711" t="s">
        <v>7758</v>
      </c>
      <c r="D3711" t="s">
        <v>2854</v>
      </c>
      <c r="E3711">
        <v>126896282</v>
      </c>
      <c r="F3711">
        <v>120805929</v>
      </c>
      <c r="G3711">
        <v>183372129</v>
      </c>
      <c r="H3711">
        <v>376802838</v>
      </c>
      <c r="I3711">
        <v>288037858</v>
      </c>
      <c r="J3711">
        <v>345936320</v>
      </c>
      <c r="K3711">
        <v>191613552</v>
      </c>
      <c r="L3711">
        <v>197003403</v>
      </c>
      <c r="M3711">
        <v>125729599</v>
      </c>
      <c r="N3711">
        <v>129615448</v>
      </c>
      <c r="O3711">
        <v>126349235</v>
      </c>
      <c r="P3711">
        <v>226</v>
      </c>
      <c r="Q3711" t="s">
        <v>7759</v>
      </c>
    </row>
    <row r="3712" spans="1:17" x14ac:dyDescent="0.3">
      <c r="A3712" t="s">
        <v>73</v>
      </c>
      <c r="B3712" t="str">
        <f>"002147"</f>
        <v>002147</v>
      </c>
      <c r="C3712" t="s">
        <v>7760</v>
      </c>
      <c r="D3712" t="s">
        <v>873</v>
      </c>
      <c r="E3712">
        <v>126880150</v>
      </c>
      <c r="F3712">
        <v>241204019</v>
      </c>
      <c r="G3712">
        <v>188211367</v>
      </c>
      <c r="H3712">
        <v>191605704</v>
      </c>
      <c r="I3712">
        <v>660856168</v>
      </c>
      <c r="J3712">
        <v>230597394</v>
      </c>
      <c r="K3712">
        <v>226084759</v>
      </c>
      <c r="L3712">
        <v>236252013</v>
      </c>
      <c r="M3712">
        <v>222102024</v>
      </c>
      <c r="N3712">
        <v>208440340</v>
      </c>
      <c r="O3712">
        <v>171573050</v>
      </c>
      <c r="P3712">
        <v>94</v>
      </c>
      <c r="Q3712" t="s">
        <v>7761</v>
      </c>
    </row>
    <row r="3713" spans="1:17" x14ac:dyDescent="0.3">
      <c r="A3713" t="s">
        <v>73</v>
      </c>
      <c r="B3713" t="str">
        <f>"000972"</f>
        <v>000972</v>
      </c>
      <c r="C3713" t="s">
        <v>7762</v>
      </c>
      <c r="D3713" t="s">
        <v>5070</v>
      </c>
      <c r="E3713">
        <v>126855321</v>
      </c>
      <c r="F3713">
        <v>142649354</v>
      </c>
      <c r="G3713">
        <v>159160010</v>
      </c>
      <c r="H3713">
        <v>167652199</v>
      </c>
      <c r="I3713">
        <v>104912286</v>
      </c>
      <c r="J3713">
        <v>114646906</v>
      </c>
      <c r="K3713">
        <v>153019595</v>
      </c>
      <c r="L3713">
        <v>84269453</v>
      </c>
      <c r="M3713">
        <v>147520617</v>
      </c>
      <c r="N3713">
        <v>189637494</v>
      </c>
      <c r="O3713">
        <v>432623757</v>
      </c>
      <c r="P3713">
        <v>78</v>
      </c>
      <c r="Q3713" t="s">
        <v>7763</v>
      </c>
    </row>
    <row r="3714" spans="1:17" x14ac:dyDescent="0.3">
      <c r="A3714" t="s">
        <v>17</v>
      </c>
      <c r="B3714" t="str">
        <f>"600791"</f>
        <v>600791</v>
      </c>
      <c r="C3714" t="s">
        <v>7764</v>
      </c>
      <c r="D3714" t="s">
        <v>27</v>
      </c>
      <c r="E3714">
        <v>126212091</v>
      </c>
      <c r="F3714">
        <v>1299191</v>
      </c>
      <c r="G3714">
        <v>1450172</v>
      </c>
      <c r="H3714">
        <v>2637986</v>
      </c>
      <c r="I3714">
        <v>16779</v>
      </c>
      <c r="J3714">
        <v>578409</v>
      </c>
      <c r="K3714">
        <v>202573</v>
      </c>
      <c r="L3714">
        <v>398923</v>
      </c>
      <c r="M3714">
        <v>488244</v>
      </c>
      <c r="N3714">
        <v>525031</v>
      </c>
      <c r="O3714">
        <v>359395</v>
      </c>
      <c r="P3714">
        <v>105</v>
      </c>
      <c r="Q3714" t="s">
        <v>7765</v>
      </c>
    </row>
    <row r="3715" spans="1:17" x14ac:dyDescent="0.3">
      <c r="A3715" t="s">
        <v>73</v>
      </c>
      <c r="B3715" t="str">
        <f>"301101"</f>
        <v>301101</v>
      </c>
      <c r="C3715" t="s">
        <v>7766</v>
      </c>
      <c r="D3715" t="s">
        <v>770</v>
      </c>
      <c r="E3715">
        <v>125897666</v>
      </c>
      <c r="P3715">
        <v>19</v>
      </c>
      <c r="Q3715" t="s">
        <v>7767</v>
      </c>
    </row>
    <row r="3716" spans="1:17" x14ac:dyDescent="0.3">
      <c r="A3716" t="s">
        <v>17</v>
      </c>
      <c r="B3716" t="str">
        <f>"603709"</f>
        <v>603709</v>
      </c>
      <c r="C3716" t="s">
        <v>7768</v>
      </c>
      <c r="D3716" t="s">
        <v>1111</v>
      </c>
      <c r="E3716">
        <v>125795310</v>
      </c>
      <c r="F3716">
        <v>158244445</v>
      </c>
      <c r="G3716">
        <v>132391294</v>
      </c>
      <c r="H3716">
        <v>0</v>
      </c>
      <c r="I3716">
        <v>51692342</v>
      </c>
      <c r="P3716">
        <v>99</v>
      </c>
      <c r="Q3716" t="s">
        <v>7769</v>
      </c>
    </row>
    <row r="3717" spans="1:17" x14ac:dyDescent="0.3">
      <c r="A3717" t="s">
        <v>73</v>
      </c>
      <c r="B3717" t="str">
        <f>"002715"</f>
        <v>002715</v>
      </c>
      <c r="C3717" t="s">
        <v>7770</v>
      </c>
      <c r="D3717" t="s">
        <v>122</v>
      </c>
      <c r="E3717">
        <v>125581917</v>
      </c>
      <c r="F3717">
        <v>143520223</v>
      </c>
      <c r="G3717">
        <v>110981582</v>
      </c>
      <c r="H3717">
        <v>104017958</v>
      </c>
      <c r="I3717">
        <v>118737066</v>
      </c>
      <c r="J3717">
        <v>112792667</v>
      </c>
      <c r="K3717">
        <v>95429938</v>
      </c>
      <c r="L3717">
        <v>106114180</v>
      </c>
      <c r="M3717">
        <v>130072841</v>
      </c>
      <c r="N3717">
        <v>0</v>
      </c>
      <c r="P3717">
        <v>61</v>
      </c>
      <c r="Q3717" t="s">
        <v>7771</v>
      </c>
    </row>
    <row r="3718" spans="1:17" x14ac:dyDescent="0.3">
      <c r="A3718" t="s">
        <v>73</v>
      </c>
      <c r="B3718" t="str">
        <f>"300989"</f>
        <v>300989</v>
      </c>
      <c r="C3718" t="s">
        <v>7772</v>
      </c>
      <c r="D3718" t="s">
        <v>661</v>
      </c>
      <c r="E3718">
        <v>125500039</v>
      </c>
      <c r="F3718">
        <v>63966751</v>
      </c>
      <c r="P3718">
        <v>32</v>
      </c>
      <c r="Q3718" t="s">
        <v>7773</v>
      </c>
    </row>
    <row r="3719" spans="1:17" x14ac:dyDescent="0.3">
      <c r="A3719" t="s">
        <v>17</v>
      </c>
      <c r="B3719" t="str">
        <f>"601568"</f>
        <v>601568</v>
      </c>
      <c r="C3719" t="s">
        <v>7774</v>
      </c>
      <c r="D3719" t="s">
        <v>641</v>
      </c>
      <c r="E3719">
        <v>125319753</v>
      </c>
      <c r="F3719">
        <v>85872201</v>
      </c>
      <c r="P3719">
        <v>121</v>
      </c>
      <c r="Q3719" t="s">
        <v>7775</v>
      </c>
    </row>
    <row r="3720" spans="1:17" x14ac:dyDescent="0.3">
      <c r="A3720" t="s">
        <v>73</v>
      </c>
      <c r="B3720" t="str">
        <f>"002880"</f>
        <v>002880</v>
      </c>
      <c r="C3720" t="s">
        <v>7776</v>
      </c>
      <c r="D3720" t="s">
        <v>1538</v>
      </c>
      <c r="E3720">
        <v>125159909</v>
      </c>
      <c r="F3720">
        <v>104395490</v>
      </c>
      <c r="G3720">
        <v>104690390</v>
      </c>
      <c r="H3720">
        <v>78336164</v>
      </c>
      <c r="I3720">
        <v>75285971</v>
      </c>
      <c r="P3720">
        <v>214</v>
      </c>
      <c r="Q3720" t="s">
        <v>7777</v>
      </c>
    </row>
    <row r="3721" spans="1:17" x14ac:dyDescent="0.3">
      <c r="A3721" t="s">
        <v>73</v>
      </c>
      <c r="B3721" t="str">
        <f>"300245"</f>
        <v>300245</v>
      </c>
      <c r="C3721" t="s">
        <v>7778</v>
      </c>
      <c r="D3721" t="s">
        <v>302</v>
      </c>
      <c r="E3721">
        <v>124934356</v>
      </c>
      <c r="F3721">
        <v>85702509</v>
      </c>
      <c r="G3721">
        <v>183235037</v>
      </c>
      <c r="H3721">
        <v>178478479</v>
      </c>
      <c r="I3721">
        <v>157601395</v>
      </c>
      <c r="J3721">
        <v>177775134</v>
      </c>
      <c r="K3721">
        <v>185041020</v>
      </c>
      <c r="L3721">
        <v>168785358</v>
      </c>
      <c r="M3721">
        <v>151064416</v>
      </c>
      <c r="N3721">
        <v>96760664</v>
      </c>
      <c r="O3721">
        <v>59751782</v>
      </c>
      <c r="P3721">
        <v>128</v>
      </c>
      <c r="Q3721" t="s">
        <v>7779</v>
      </c>
    </row>
    <row r="3722" spans="1:17" x14ac:dyDescent="0.3">
      <c r="A3722" t="s">
        <v>73</v>
      </c>
      <c r="B3722" t="str">
        <f>"300753"</f>
        <v>300753</v>
      </c>
      <c r="C3722" t="s">
        <v>7780</v>
      </c>
      <c r="D3722" t="s">
        <v>692</v>
      </c>
      <c r="E3722">
        <v>124831591</v>
      </c>
      <c r="F3722">
        <v>88045710</v>
      </c>
      <c r="G3722">
        <v>54013383</v>
      </c>
      <c r="H3722">
        <v>50168326</v>
      </c>
      <c r="I3722">
        <v>0</v>
      </c>
      <c r="P3722">
        <v>243</v>
      </c>
      <c r="Q3722" t="s">
        <v>7781</v>
      </c>
    </row>
    <row r="3723" spans="1:17" x14ac:dyDescent="0.3">
      <c r="A3723" t="s">
        <v>17</v>
      </c>
      <c r="B3723" t="str">
        <f>"688210"</f>
        <v>688210</v>
      </c>
      <c r="C3723" t="s">
        <v>7782</v>
      </c>
      <c r="D3723" t="s">
        <v>42</v>
      </c>
      <c r="E3723">
        <v>124718654</v>
      </c>
      <c r="P3723">
        <v>9</v>
      </c>
      <c r="Q3723" t="s">
        <v>7783</v>
      </c>
    </row>
    <row r="3724" spans="1:17" x14ac:dyDescent="0.3">
      <c r="A3724" t="s">
        <v>73</v>
      </c>
      <c r="B3724" t="str">
        <f>"300330"</f>
        <v>300330</v>
      </c>
      <c r="C3724" t="s">
        <v>7784</v>
      </c>
      <c r="D3724" t="s">
        <v>158</v>
      </c>
      <c r="E3724">
        <v>124615207</v>
      </c>
      <c r="F3724">
        <v>169640060</v>
      </c>
      <c r="G3724">
        <v>161144624</v>
      </c>
      <c r="H3724">
        <v>213999685</v>
      </c>
      <c r="I3724">
        <v>194541689</v>
      </c>
      <c r="J3724">
        <v>147857393</v>
      </c>
      <c r="K3724">
        <v>180522590</v>
      </c>
      <c r="L3724">
        <v>183098585</v>
      </c>
      <c r="M3724">
        <v>191688536</v>
      </c>
      <c r="N3724">
        <v>196549806</v>
      </c>
      <c r="O3724">
        <v>106573680</v>
      </c>
      <c r="P3724">
        <v>82</v>
      </c>
      <c r="Q3724" t="s">
        <v>7785</v>
      </c>
    </row>
    <row r="3725" spans="1:17" x14ac:dyDescent="0.3">
      <c r="A3725" t="s">
        <v>73</v>
      </c>
      <c r="B3725" t="str">
        <f>"002501"</f>
        <v>002501</v>
      </c>
      <c r="C3725" t="s">
        <v>7786</v>
      </c>
      <c r="D3725" t="s">
        <v>616</v>
      </c>
      <c r="E3725">
        <v>124599393</v>
      </c>
      <c r="F3725">
        <v>194775811</v>
      </c>
      <c r="G3725">
        <v>87886838</v>
      </c>
      <c r="H3725">
        <v>95766146</v>
      </c>
      <c r="I3725">
        <v>292432533</v>
      </c>
      <c r="J3725">
        <v>107926168</v>
      </c>
      <c r="K3725">
        <v>59077695</v>
      </c>
      <c r="L3725">
        <v>64737965</v>
      </c>
      <c r="M3725">
        <v>61102766</v>
      </c>
      <c r="N3725">
        <v>65994061</v>
      </c>
      <c r="O3725">
        <v>72332251</v>
      </c>
      <c r="P3725">
        <v>107</v>
      </c>
      <c r="Q3725" t="s">
        <v>7787</v>
      </c>
    </row>
    <row r="3726" spans="1:17" x14ac:dyDescent="0.3">
      <c r="A3726" t="s">
        <v>73</v>
      </c>
      <c r="B3726" t="str">
        <f>"300743"</f>
        <v>300743</v>
      </c>
      <c r="C3726" t="s">
        <v>7788</v>
      </c>
      <c r="D3726" t="s">
        <v>158</v>
      </c>
      <c r="E3726">
        <v>124586685</v>
      </c>
      <c r="F3726">
        <v>92495233</v>
      </c>
      <c r="G3726">
        <v>87616446</v>
      </c>
      <c r="H3726">
        <v>78665050</v>
      </c>
      <c r="I3726">
        <v>69551733</v>
      </c>
      <c r="J3726">
        <v>0</v>
      </c>
      <c r="P3726">
        <v>54</v>
      </c>
      <c r="Q3726" t="s">
        <v>7789</v>
      </c>
    </row>
    <row r="3727" spans="1:17" x14ac:dyDescent="0.3">
      <c r="A3727" t="s">
        <v>73</v>
      </c>
      <c r="B3727" t="str">
        <f>"300540"</f>
        <v>300540</v>
      </c>
      <c r="C3727" t="s">
        <v>7790</v>
      </c>
      <c r="D3727" t="s">
        <v>1451</v>
      </c>
      <c r="E3727">
        <v>124504508</v>
      </c>
      <c r="F3727">
        <v>177565041</v>
      </c>
      <c r="G3727">
        <v>354133233</v>
      </c>
      <c r="H3727">
        <v>0</v>
      </c>
      <c r="I3727">
        <v>389701684</v>
      </c>
      <c r="J3727">
        <v>391642877</v>
      </c>
      <c r="K3727">
        <v>0</v>
      </c>
      <c r="P3727">
        <v>65</v>
      </c>
      <c r="Q3727" t="s">
        <v>7791</v>
      </c>
    </row>
    <row r="3728" spans="1:17" x14ac:dyDescent="0.3">
      <c r="A3728" t="s">
        <v>17</v>
      </c>
      <c r="B3728" t="str">
        <f>"688310"</f>
        <v>688310</v>
      </c>
      <c r="C3728" t="s">
        <v>7792</v>
      </c>
      <c r="D3728" t="s">
        <v>1967</v>
      </c>
      <c r="E3728">
        <v>124220726</v>
      </c>
      <c r="F3728">
        <v>96972905</v>
      </c>
      <c r="G3728">
        <v>103279691</v>
      </c>
      <c r="H3728">
        <v>0</v>
      </c>
      <c r="P3728">
        <v>92</v>
      </c>
      <c r="Q3728" t="s">
        <v>7793</v>
      </c>
    </row>
    <row r="3729" spans="1:17" x14ac:dyDescent="0.3">
      <c r="A3729" t="s">
        <v>17</v>
      </c>
      <c r="B3729" t="str">
        <f>"603669"</f>
        <v>603669</v>
      </c>
      <c r="C3729" t="s">
        <v>7794</v>
      </c>
      <c r="D3729" t="s">
        <v>348</v>
      </c>
      <c r="E3729">
        <v>124219331</v>
      </c>
      <c r="F3729">
        <v>179398348</v>
      </c>
      <c r="G3729">
        <v>258898607</v>
      </c>
      <c r="H3729">
        <v>137986311</v>
      </c>
      <c r="I3729">
        <v>159010483</v>
      </c>
      <c r="J3729">
        <v>55397373</v>
      </c>
      <c r="K3729">
        <v>41575120</v>
      </c>
      <c r="L3729">
        <v>0</v>
      </c>
      <c r="M3729">
        <v>0</v>
      </c>
      <c r="P3729">
        <v>194</v>
      </c>
      <c r="Q3729" t="s">
        <v>7795</v>
      </c>
    </row>
    <row r="3730" spans="1:17" x14ac:dyDescent="0.3">
      <c r="A3730" t="s">
        <v>73</v>
      </c>
      <c r="B3730" t="str">
        <f>"002263"</f>
        <v>002263</v>
      </c>
      <c r="C3730" t="s">
        <v>7796</v>
      </c>
      <c r="D3730" t="s">
        <v>2271</v>
      </c>
      <c r="E3730">
        <v>124052791</v>
      </c>
      <c r="F3730">
        <v>103058971</v>
      </c>
      <c r="G3730">
        <v>106730947</v>
      </c>
      <c r="H3730">
        <v>148949648</v>
      </c>
      <c r="I3730">
        <v>208695382</v>
      </c>
      <c r="J3730">
        <v>176772316</v>
      </c>
      <c r="K3730">
        <v>156809124</v>
      </c>
      <c r="L3730">
        <v>102540406</v>
      </c>
      <c r="M3730">
        <v>116961463</v>
      </c>
      <c r="N3730">
        <v>89416657</v>
      </c>
      <c r="O3730">
        <v>191941641</v>
      </c>
      <c r="P3730">
        <v>126</v>
      </c>
      <c r="Q3730" t="s">
        <v>7797</v>
      </c>
    </row>
    <row r="3731" spans="1:17" x14ac:dyDescent="0.3">
      <c r="A3731" t="s">
        <v>73</v>
      </c>
      <c r="B3731" t="str">
        <f>"002330"</f>
        <v>002330</v>
      </c>
      <c r="C3731" t="s">
        <v>7798</v>
      </c>
      <c r="D3731" t="s">
        <v>1381</v>
      </c>
      <c r="E3731">
        <v>124051129</v>
      </c>
      <c r="F3731">
        <v>150523817</v>
      </c>
      <c r="G3731">
        <v>178861201</v>
      </c>
      <c r="H3731">
        <v>0</v>
      </c>
      <c r="I3731">
        <v>200994453</v>
      </c>
      <c r="J3731">
        <v>190144238</v>
      </c>
      <c r="K3731">
        <v>202550557</v>
      </c>
      <c r="L3731">
        <v>238275965</v>
      </c>
      <c r="M3731">
        <v>219468355</v>
      </c>
      <c r="N3731">
        <v>190763398</v>
      </c>
      <c r="O3731">
        <v>192355195</v>
      </c>
      <c r="P3731">
        <v>540</v>
      </c>
      <c r="Q3731" t="s">
        <v>7799</v>
      </c>
    </row>
    <row r="3732" spans="1:17" x14ac:dyDescent="0.3">
      <c r="A3732" t="s">
        <v>73</v>
      </c>
      <c r="B3732" t="str">
        <f>"001209"</f>
        <v>001209</v>
      </c>
      <c r="C3732" t="s">
        <v>7800</v>
      </c>
      <c r="D3732" t="s">
        <v>991</v>
      </c>
      <c r="E3732">
        <v>124023199</v>
      </c>
      <c r="F3732">
        <v>83717867</v>
      </c>
      <c r="P3732">
        <v>22</v>
      </c>
      <c r="Q3732" t="s">
        <v>7801</v>
      </c>
    </row>
    <row r="3733" spans="1:17" x14ac:dyDescent="0.3">
      <c r="A3733" t="s">
        <v>73</v>
      </c>
      <c r="B3733" t="str">
        <f>"301182"</f>
        <v>301182</v>
      </c>
      <c r="C3733" t="s">
        <v>7802</v>
      </c>
      <c r="D3733" t="s">
        <v>42</v>
      </c>
      <c r="E3733">
        <v>123755416</v>
      </c>
      <c r="P3733">
        <v>11</v>
      </c>
      <c r="Q3733" t="s">
        <v>7803</v>
      </c>
    </row>
    <row r="3734" spans="1:17" x14ac:dyDescent="0.3">
      <c r="A3734" t="s">
        <v>73</v>
      </c>
      <c r="B3734" t="str">
        <f>"000576"</f>
        <v>000576</v>
      </c>
      <c r="C3734" t="s">
        <v>7804</v>
      </c>
      <c r="D3734" t="s">
        <v>1743</v>
      </c>
      <c r="E3734">
        <v>123710517</v>
      </c>
      <c r="F3734">
        <v>143405862</v>
      </c>
      <c r="G3734">
        <v>71596406</v>
      </c>
      <c r="H3734">
        <v>85015384</v>
      </c>
      <c r="I3734">
        <v>10238384</v>
      </c>
      <c r="J3734">
        <v>53942114</v>
      </c>
      <c r="K3734">
        <v>76620563</v>
      </c>
      <c r="L3734">
        <v>94897476</v>
      </c>
      <c r="M3734">
        <v>85998590</v>
      </c>
      <c r="N3734">
        <v>79905683</v>
      </c>
      <c r="O3734">
        <v>72904947</v>
      </c>
      <c r="P3734">
        <v>161</v>
      </c>
      <c r="Q3734" t="s">
        <v>7805</v>
      </c>
    </row>
    <row r="3735" spans="1:17" x14ac:dyDescent="0.3">
      <c r="A3735" t="s">
        <v>73</v>
      </c>
      <c r="B3735" t="str">
        <f>"300819"</f>
        <v>300819</v>
      </c>
      <c r="C3735" t="s">
        <v>7806</v>
      </c>
      <c r="D3735" t="s">
        <v>3204</v>
      </c>
      <c r="E3735">
        <v>123411363</v>
      </c>
      <c r="F3735">
        <v>50127083</v>
      </c>
      <c r="G3735">
        <v>63887402</v>
      </c>
      <c r="H3735">
        <v>0</v>
      </c>
      <c r="P3735">
        <v>50</v>
      </c>
      <c r="Q3735" t="s">
        <v>7807</v>
      </c>
    </row>
    <row r="3736" spans="1:17" x14ac:dyDescent="0.3">
      <c r="A3736" t="s">
        <v>17</v>
      </c>
      <c r="B3736" t="str">
        <f>"600561"</f>
        <v>600561</v>
      </c>
      <c r="C3736" t="s">
        <v>7808</v>
      </c>
      <c r="D3736" t="s">
        <v>4964</v>
      </c>
      <c r="E3736">
        <v>123382886</v>
      </c>
      <c r="F3736">
        <v>134770003</v>
      </c>
      <c r="G3736">
        <v>214199236</v>
      </c>
      <c r="H3736">
        <v>336227403</v>
      </c>
      <c r="I3736">
        <v>356213240</v>
      </c>
      <c r="J3736">
        <v>292743435</v>
      </c>
      <c r="K3736">
        <v>175175035</v>
      </c>
      <c r="L3736">
        <v>84154126</v>
      </c>
      <c r="M3736">
        <v>70646241</v>
      </c>
      <c r="N3736">
        <v>65536796</v>
      </c>
      <c r="O3736">
        <v>52115548</v>
      </c>
      <c r="P3736">
        <v>59</v>
      </c>
      <c r="Q3736" t="s">
        <v>7809</v>
      </c>
    </row>
    <row r="3737" spans="1:17" x14ac:dyDescent="0.3">
      <c r="A3737" t="s">
        <v>73</v>
      </c>
      <c r="B3737" t="str">
        <f>"300380"</f>
        <v>300380</v>
      </c>
      <c r="C3737" t="s">
        <v>7810</v>
      </c>
      <c r="D3737" t="s">
        <v>795</v>
      </c>
      <c r="E3737">
        <v>123358899</v>
      </c>
      <c r="F3737">
        <v>111506799</v>
      </c>
      <c r="G3737">
        <v>113515062</v>
      </c>
      <c r="H3737">
        <v>126894711</v>
      </c>
      <c r="I3737">
        <v>181487839</v>
      </c>
      <c r="J3737">
        <v>163348536</v>
      </c>
      <c r="K3737">
        <v>136114954</v>
      </c>
      <c r="L3737">
        <v>101386331</v>
      </c>
      <c r="M3737">
        <v>82351324</v>
      </c>
      <c r="N3737">
        <v>0</v>
      </c>
      <c r="P3737">
        <v>85</v>
      </c>
      <c r="Q3737" t="s">
        <v>7811</v>
      </c>
    </row>
    <row r="3738" spans="1:17" x14ac:dyDescent="0.3">
      <c r="A3738" t="s">
        <v>73</v>
      </c>
      <c r="B3738" t="str">
        <f>"301021"</f>
        <v>301021</v>
      </c>
      <c r="C3738" t="s">
        <v>7812</v>
      </c>
      <c r="D3738" t="s">
        <v>499</v>
      </c>
      <c r="E3738">
        <v>123159512</v>
      </c>
      <c r="F3738">
        <v>148667750</v>
      </c>
      <c r="P3738">
        <v>35</v>
      </c>
      <c r="Q3738" t="s">
        <v>7813</v>
      </c>
    </row>
    <row r="3739" spans="1:17" x14ac:dyDescent="0.3">
      <c r="A3739" t="s">
        <v>73</v>
      </c>
      <c r="B3739" t="str">
        <f>"300635"</f>
        <v>300635</v>
      </c>
      <c r="C3739" t="s">
        <v>7814</v>
      </c>
      <c r="D3739" t="s">
        <v>661</v>
      </c>
      <c r="E3739">
        <v>122960779</v>
      </c>
      <c r="F3739">
        <v>103701599</v>
      </c>
      <c r="G3739">
        <v>170385433</v>
      </c>
      <c r="H3739">
        <v>600095081</v>
      </c>
      <c r="I3739">
        <v>502054023</v>
      </c>
      <c r="J3739">
        <v>374051347</v>
      </c>
      <c r="K3739">
        <v>0</v>
      </c>
      <c r="P3739">
        <v>113</v>
      </c>
      <c r="Q3739" t="s">
        <v>7815</v>
      </c>
    </row>
    <row r="3740" spans="1:17" x14ac:dyDescent="0.3">
      <c r="A3740" t="s">
        <v>17</v>
      </c>
      <c r="B3740" t="str">
        <f>"688135"</f>
        <v>688135</v>
      </c>
      <c r="C3740" t="s">
        <v>7816</v>
      </c>
      <c r="D3740" t="s">
        <v>554</v>
      </c>
      <c r="E3740">
        <v>122792638</v>
      </c>
      <c r="F3740">
        <v>68887174</v>
      </c>
      <c r="G3740">
        <v>45703231</v>
      </c>
      <c r="P3740">
        <v>87</v>
      </c>
      <c r="Q3740" t="s">
        <v>7817</v>
      </c>
    </row>
    <row r="3741" spans="1:17" x14ac:dyDescent="0.3">
      <c r="A3741" t="s">
        <v>17</v>
      </c>
      <c r="B3741" t="str">
        <f>"600833"</f>
        <v>600833</v>
      </c>
      <c r="C3741" t="s">
        <v>7818</v>
      </c>
      <c r="D3741" t="s">
        <v>1520</v>
      </c>
      <c r="E3741">
        <v>122699748</v>
      </c>
      <c r="F3741">
        <v>119939825</v>
      </c>
      <c r="G3741">
        <v>142512136</v>
      </c>
      <c r="H3741">
        <v>123212196</v>
      </c>
      <c r="I3741">
        <v>105391019</v>
      </c>
      <c r="J3741">
        <v>179759642</v>
      </c>
      <c r="K3741">
        <v>148900604</v>
      </c>
      <c r="L3741">
        <v>151853938</v>
      </c>
      <c r="M3741">
        <v>153265074</v>
      </c>
      <c r="N3741">
        <v>141639408</v>
      </c>
      <c r="O3741">
        <v>136448607</v>
      </c>
      <c r="P3741">
        <v>108</v>
      </c>
      <c r="Q3741" t="s">
        <v>7819</v>
      </c>
    </row>
    <row r="3742" spans="1:17" x14ac:dyDescent="0.3">
      <c r="A3742" t="s">
        <v>17</v>
      </c>
      <c r="B3742" t="str">
        <f>"603615"</f>
        <v>603615</v>
      </c>
      <c r="C3742" t="s">
        <v>7820</v>
      </c>
      <c r="D3742" t="s">
        <v>3902</v>
      </c>
      <c r="E3742">
        <v>122665933</v>
      </c>
      <c r="F3742">
        <v>130529197</v>
      </c>
      <c r="G3742">
        <v>117000310</v>
      </c>
      <c r="H3742">
        <v>111846423</v>
      </c>
      <c r="I3742">
        <v>100457075</v>
      </c>
      <c r="J3742">
        <v>85719647</v>
      </c>
      <c r="P3742">
        <v>107</v>
      </c>
      <c r="Q3742" t="s">
        <v>7821</v>
      </c>
    </row>
    <row r="3743" spans="1:17" x14ac:dyDescent="0.3">
      <c r="A3743" t="s">
        <v>17</v>
      </c>
      <c r="B3743" t="str">
        <f>"600197"</f>
        <v>600197</v>
      </c>
      <c r="C3743" t="s">
        <v>7822</v>
      </c>
      <c r="D3743" t="s">
        <v>7050</v>
      </c>
      <c r="E3743">
        <v>122535756</v>
      </c>
      <c r="F3743">
        <v>162883427</v>
      </c>
      <c r="G3743">
        <v>12691490</v>
      </c>
      <c r="H3743">
        <v>20925136</v>
      </c>
      <c r="I3743">
        <v>20224753</v>
      </c>
      <c r="J3743">
        <v>10166847</v>
      </c>
      <c r="K3743">
        <v>31723393</v>
      </c>
      <c r="L3743">
        <v>19703722</v>
      </c>
      <c r="M3743">
        <v>9420200</v>
      </c>
      <c r="N3743">
        <v>32498301</v>
      </c>
      <c r="O3743">
        <v>53553902</v>
      </c>
      <c r="P3743">
        <v>1080</v>
      </c>
      <c r="Q3743" t="s">
        <v>7823</v>
      </c>
    </row>
    <row r="3744" spans="1:17" x14ac:dyDescent="0.3">
      <c r="A3744" t="s">
        <v>73</v>
      </c>
      <c r="B3744" t="str">
        <f>"002075"</f>
        <v>002075</v>
      </c>
      <c r="C3744" t="s">
        <v>7824</v>
      </c>
      <c r="D3744" t="s">
        <v>928</v>
      </c>
      <c r="E3744">
        <v>122404794</v>
      </c>
      <c r="F3744">
        <v>25166996</v>
      </c>
      <c r="G3744">
        <v>15870362</v>
      </c>
      <c r="H3744">
        <v>35236354</v>
      </c>
      <c r="I3744">
        <v>41603945</v>
      </c>
      <c r="J3744">
        <v>64970762</v>
      </c>
      <c r="K3744">
        <v>21271756</v>
      </c>
      <c r="L3744">
        <v>47411860</v>
      </c>
      <c r="M3744">
        <v>125442002</v>
      </c>
      <c r="N3744">
        <v>66999925</v>
      </c>
      <c r="O3744">
        <v>39381533</v>
      </c>
      <c r="P3744">
        <v>281</v>
      </c>
      <c r="Q3744" t="s">
        <v>7825</v>
      </c>
    </row>
    <row r="3745" spans="1:17" x14ac:dyDescent="0.3">
      <c r="A3745" t="s">
        <v>73</v>
      </c>
      <c r="B3745" t="str">
        <f>"300855"</f>
        <v>300855</v>
      </c>
      <c r="C3745" t="s">
        <v>7826</v>
      </c>
      <c r="D3745" t="s">
        <v>1949</v>
      </c>
      <c r="E3745">
        <v>122400324</v>
      </c>
      <c r="F3745">
        <v>49061665</v>
      </c>
      <c r="G3745">
        <v>51448556</v>
      </c>
      <c r="H3745">
        <v>0</v>
      </c>
      <c r="P3745">
        <v>139</v>
      </c>
      <c r="Q3745" t="s">
        <v>7827</v>
      </c>
    </row>
    <row r="3746" spans="1:17" x14ac:dyDescent="0.3">
      <c r="A3746" t="s">
        <v>73</v>
      </c>
      <c r="B3746" t="str">
        <f>"002923"</f>
        <v>002923</v>
      </c>
      <c r="C3746" t="s">
        <v>7828</v>
      </c>
      <c r="D3746" t="s">
        <v>348</v>
      </c>
      <c r="E3746">
        <v>122144942</v>
      </c>
      <c r="F3746">
        <v>143276664</v>
      </c>
      <c r="G3746">
        <v>159938209</v>
      </c>
      <c r="H3746">
        <v>140613323</v>
      </c>
      <c r="I3746">
        <v>79059251</v>
      </c>
      <c r="P3746">
        <v>165</v>
      </c>
      <c r="Q3746" t="s">
        <v>7829</v>
      </c>
    </row>
    <row r="3747" spans="1:17" x14ac:dyDescent="0.3">
      <c r="A3747" t="s">
        <v>17</v>
      </c>
      <c r="B3747" t="str">
        <f>"688089"</f>
        <v>688089</v>
      </c>
      <c r="C3747" t="s">
        <v>7830</v>
      </c>
      <c r="D3747" t="s">
        <v>1430</v>
      </c>
      <c r="E3747">
        <v>122112078</v>
      </c>
      <c r="F3747">
        <v>135444048</v>
      </c>
      <c r="G3747">
        <v>103122950</v>
      </c>
      <c r="P3747">
        <v>150</v>
      </c>
      <c r="Q3747" t="s">
        <v>7831</v>
      </c>
    </row>
    <row r="3748" spans="1:17" x14ac:dyDescent="0.3">
      <c r="A3748" t="s">
        <v>17</v>
      </c>
      <c r="B3748" t="str">
        <f>"603005"</f>
        <v>603005</v>
      </c>
      <c r="C3748" t="s">
        <v>7832</v>
      </c>
      <c r="D3748" t="s">
        <v>554</v>
      </c>
      <c r="E3748">
        <v>122051446</v>
      </c>
      <c r="F3748">
        <v>134780030</v>
      </c>
      <c r="G3748">
        <v>79260319</v>
      </c>
      <c r="H3748">
        <v>47776346</v>
      </c>
      <c r="I3748">
        <v>75758730</v>
      </c>
      <c r="J3748">
        <v>63804331</v>
      </c>
      <c r="K3748">
        <v>60525338</v>
      </c>
      <c r="L3748">
        <v>73158497</v>
      </c>
      <c r="M3748">
        <v>57281431</v>
      </c>
      <c r="N3748">
        <v>0</v>
      </c>
      <c r="P3748">
        <v>3661</v>
      </c>
      <c r="Q3748" t="s">
        <v>7833</v>
      </c>
    </row>
    <row r="3749" spans="1:17" x14ac:dyDescent="0.3">
      <c r="A3749" t="s">
        <v>73</v>
      </c>
      <c r="B3749" t="str">
        <f>"300652"</f>
        <v>300652</v>
      </c>
      <c r="C3749" t="s">
        <v>7834</v>
      </c>
      <c r="D3749" t="s">
        <v>781</v>
      </c>
      <c r="E3749">
        <v>121178439</v>
      </c>
      <c r="F3749">
        <v>118084309</v>
      </c>
      <c r="G3749">
        <v>85590403</v>
      </c>
      <c r="H3749">
        <v>106251508</v>
      </c>
      <c r="I3749">
        <v>127715785</v>
      </c>
      <c r="J3749">
        <v>108282023</v>
      </c>
      <c r="K3749">
        <v>0</v>
      </c>
      <c r="P3749">
        <v>92</v>
      </c>
      <c r="Q3749" t="s">
        <v>7835</v>
      </c>
    </row>
    <row r="3750" spans="1:17" x14ac:dyDescent="0.3">
      <c r="A3750" t="s">
        <v>73</v>
      </c>
      <c r="B3750" t="str">
        <f>"300669"</f>
        <v>300669</v>
      </c>
      <c r="C3750" t="s">
        <v>7836</v>
      </c>
      <c r="D3750" t="s">
        <v>744</v>
      </c>
      <c r="E3750">
        <v>121078398</v>
      </c>
      <c r="F3750">
        <v>93196626</v>
      </c>
      <c r="G3750">
        <v>73007385</v>
      </c>
      <c r="H3750">
        <v>77267771</v>
      </c>
      <c r="I3750">
        <v>60385696</v>
      </c>
      <c r="J3750">
        <v>57571546</v>
      </c>
      <c r="P3750">
        <v>102</v>
      </c>
      <c r="Q3750" t="s">
        <v>7837</v>
      </c>
    </row>
    <row r="3751" spans="1:17" x14ac:dyDescent="0.3">
      <c r="A3751" t="s">
        <v>73</v>
      </c>
      <c r="B3751" t="str">
        <f>"300615"</f>
        <v>300615</v>
      </c>
      <c r="C3751" t="s">
        <v>7838</v>
      </c>
      <c r="D3751" t="s">
        <v>332</v>
      </c>
      <c r="E3751">
        <v>121056923</v>
      </c>
      <c r="F3751">
        <v>102205678</v>
      </c>
      <c r="G3751">
        <v>96940722</v>
      </c>
      <c r="H3751">
        <v>93482084</v>
      </c>
      <c r="I3751">
        <v>91979581</v>
      </c>
      <c r="J3751">
        <v>86712162</v>
      </c>
      <c r="K3751">
        <v>0</v>
      </c>
      <c r="P3751">
        <v>156</v>
      </c>
      <c r="Q3751" t="s">
        <v>7839</v>
      </c>
    </row>
    <row r="3752" spans="1:17" x14ac:dyDescent="0.3">
      <c r="A3752" t="s">
        <v>73</v>
      </c>
      <c r="B3752" t="str">
        <f>"000893"</f>
        <v>000893</v>
      </c>
      <c r="C3752" t="s">
        <v>7840</v>
      </c>
      <c r="D3752" t="s">
        <v>4044</v>
      </c>
      <c r="E3752">
        <v>121039844</v>
      </c>
      <c r="F3752">
        <v>48641224</v>
      </c>
      <c r="G3752">
        <v>27829803</v>
      </c>
      <c r="H3752">
        <v>26986567</v>
      </c>
      <c r="I3752">
        <v>11965954</v>
      </c>
      <c r="J3752">
        <v>45219859</v>
      </c>
      <c r="K3752">
        <v>86202759</v>
      </c>
      <c r="L3752">
        <v>256959025</v>
      </c>
      <c r="M3752">
        <v>598467606</v>
      </c>
      <c r="N3752">
        <v>37656315</v>
      </c>
      <c r="O3752">
        <v>43958225</v>
      </c>
      <c r="P3752">
        <v>159</v>
      </c>
      <c r="Q3752" t="s">
        <v>7841</v>
      </c>
    </row>
    <row r="3753" spans="1:17" x14ac:dyDescent="0.3">
      <c r="A3753" t="s">
        <v>17</v>
      </c>
      <c r="B3753" t="str">
        <f>"688070"</f>
        <v>688070</v>
      </c>
      <c r="C3753" t="s">
        <v>7842</v>
      </c>
      <c r="D3753" t="s">
        <v>130</v>
      </c>
      <c r="E3753">
        <v>120955428</v>
      </c>
      <c r="F3753">
        <v>66051472</v>
      </c>
      <c r="G3753">
        <v>0</v>
      </c>
      <c r="P3753">
        <v>43</v>
      </c>
      <c r="Q3753" t="s">
        <v>7843</v>
      </c>
    </row>
    <row r="3754" spans="1:17" x14ac:dyDescent="0.3">
      <c r="A3754" t="s">
        <v>17</v>
      </c>
      <c r="B3754" t="str">
        <f>"688059"</f>
        <v>688059</v>
      </c>
      <c r="C3754" t="s">
        <v>7844</v>
      </c>
      <c r="D3754" t="s">
        <v>146</v>
      </c>
      <c r="E3754">
        <v>120854168</v>
      </c>
      <c r="F3754">
        <v>98137939</v>
      </c>
      <c r="P3754">
        <v>105</v>
      </c>
      <c r="Q3754" t="s">
        <v>7845</v>
      </c>
    </row>
    <row r="3755" spans="1:17" x14ac:dyDescent="0.3">
      <c r="A3755" t="s">
        <v>73</v>
      </c>
      <c r="B3755" t="str">
        <f>"002089"</f>
        <v>002089</v>
      </c>
      <c r="C3755" t="s">
        <v>7846</v>
      </c>
      <c r="D3755" t="s">
        <v>189</v>
      </c>
      <c r="E3755">
        <v>120638944</v>
      </c>
      <c r="F3755">
        <v>101847173</v>
      </c>
      <c r="G3755">
        <v>104544490</v>
      </c>
      <c r="H3755">
        <v>0</v>
      </c>
      <c r="I3755">
        <v>418757643</v>
      </c>
      <c r="J3755">
        <v>713342944</v>
      </c>
      <c r="K3755">
        <v>542848856</v>
      </c>
      <c r="L3755">
        <v>568734843</v>
      </c>
      <c r="M3755">
        <v>567143210</v>
      </c>
      <c r="N3755">
        <v>460496132</v>
      </c>
      <c r="O3755">
        <v>518623549</v>
      </c>
      <c r="P3755">
        <v>175</v>
      </c>
      <c r="Q3755" t="s">
        <v>7847</v>
      </c>
    </row>
    <row r="3756" spans="1:17" x14ac:dyDescent="0.3">
      <c r="A3756" t="s">
        <v>73</v>
      </c>
      <c r="B3756" t="str">
        <f>"002362"</f>
        <v>002362</v>
      </c>
      <c r="C3756" t="s">
        <v>7848</v>
      </c>
      <c r="D3756" t="s">
        <v>795</v>
      </c>
      <c r="E3756">
        <v>120288637</v>
      </c>
      <c r="F3756">
        <v>159894582</v>
      </c>
      <c r="G3756">
        <v>121302577</v>
      </c>
      <c r="H3756">
        <v>157765839</v>
      </c>
      <c r="I3756">
        <v>70172480</v>
      </c>
      <c r="J3756">
        <v>65017386</v>
      </c>
      <c r="K3756">
        <v>44842117</v>
      </c>
      <c r="L3756">
        <v>47800272</v>
      </c>
      <c r="M3756">
        <v>41487673</v>
      </c>
      <c r="N3756">
        <v>72259246</v>
      </c>
      <c r="O3756">
        <v>82472701</v>
      </c>
      <c r="P3756">
        <v>197</v>
      </c>
      <c r="Q3756" t="s">
        <v>7849</v>
      </c>
    </row>
    <row r="3757" spans="1:17" x14ac:dyDescent="0.3">
      <c r="A3757" t="s">
        <v>73</v>
      </c>
      <c r="B3757" t="str">
        <f>"301237"</f>
        <v>301237</v>
      </c>
      <c r="C3757" t="s">
        <v>7850</v>
      </c>
      <c r="E3757">
        <v>120127309</v>
      </c>
      <c r="P3757">
        <v>6</v>
      </c>
      <c r="Q3757" t="s">
        <v>7851</v>
      </c>
    </row>
    <row r="3758" spans="1:17" x14ac:dyDescent="0.3">
      <c r="A3758" t="s">
        <v>17</v>
      </c>
      <c r="B3758" t="str">
        <f>"688378"</f>
        <v>688378</v>
      </c>
      <c r="C3758" t="s">
        <v>7852</v>
      </c>
      <c r="D3758" t="s">
        <v>1451</v>
      </c>
      <c r="E3758">
        <v>120026482</v>
      </c>
      <c r="F3758">
        <v>83150545</v>
      </c>
      <c r="G3758">
        <v>0</v>
      </c>
      <c r="P3758">
        <v>50</v>
      </c>
      <c r="Q3758" t="s">
        <v>7853</v>
      </c>
    </row>
    <row r="3759" spans="1:17" x14ac:dyDescent="0.3">
      <c r="A3759" t="s">
        <v>73</v>
      </c>
      <c r="B3759" t="str">
        <f>"300721"</f>
        <v>300721</v>
      </c>
      <c r="C3759" t="s">
        <v>7854</v>
      </c>
      <c r="D3759" t="s">
        <v>588</v>
      </c>
      <c r="E3759">
        <v>119891682</v>
      </c>
      <c r="F3759">
        <v>142954815</v>
      </c>
      <c r="G3759">
        <v>77959513</v>
      </c>
      <c r="H3759">
        <v>81416394</v>
      </c>
      <c r="I3759">
        <v>109817057</v>
      </c>
      <c r="J3759">
        <v>0</v>
      </c>
      <c r="P3759">
        <v>73</v>
      </c>
      <c r="Q3759" t="s">
        <v>7855</v>
      </c>
    </row>
    <row r="3760" spans="1:17" x14ac:dyDescent="0.3">
      <c r="A3760" t="s">
        <v>73</v>
      </c>
      <c r="B3760" t="str">
        <f>"300354"</f>
        <v>300354</v>
      </c>
      <c r="C3760" t="s">
        <v>7856</v>
      </c>
      <c r="D3760" t="s">
        <v>2280</v>
      </c>
      <c r="E3760">
        <v>119596453</v>
      </c>
      <c r="F3760">
        <v>85664900</v>
      </c>
      <c r="G3760">
        <v>70396014</v>
      </c>
      <c r="H3760">
        <v>52581333</v>
      </c>
      <c r="I3760">
        <v>62577206</v>
      </c>
      <c r="J3760">
        <v>59251065</v>
      </c>
      <c r="K3760">
        <v>49271721</v>
      </c>
      <c r="L3760">
        <v>44821424</v>
      </c>
      <c r="M3760">
        <v>41129514</v>
      </c>
      <c r="N3760">
        <v>42254994</v>
      </c>
      <c r="O3760">
        <v>0</v>
      </c>
      <c r="P3760">
        <v>139</v>
      </c>
      <c r="Q3760" t="s">
        <v>7857</v>
      </c>
    </row>
    <row r="3761" spans="1:17" x14ac:dyDescent="0.3">
      <c r="A3761" t="s">
        <v>17</v>
      </c>
      <c r="B3761" t="str">
        <f>"600193"</f>
        <v>600193</v>
      </c>
      <c r="C3761" t="s">
        <v>7858</v>
      </c>
      <c r="D3761" t="s">
        <v>258</v>
      </c>
      <c r="E3761">
        <v>119581704</v>
      </c>
      <c r="F3761">
        <v>220079455</v>
      </c>
      <c r="G3761">
        <v>102740754</v>
      </c>
      <c r="H3761">
        <v>32880515</v>
      </c>
      <c r="I3761">
        <v>2277</v>
      </c>
      <c r="J3761">
        <v>21956</v>
      </c>
      <c r="K3761">
        <v>41636</v>
      </c>
      <c r="L3761">
        <v>5051556</v>
      </c>
      <c r="M3761">
        <v>6087263</v>
      </c>
      <c r="N3761">
        <v>12188199</v>
      </c>
      <c r="O3761">
        <v>1437502</v>
      </c>
      <c r="P3761">
        <v>57</v>
      </c>
      <c r="Q3761" t="s">
        <v>7859</v>
      </c>
    </row>
    <row r="3762" spans="1:17" x14ac:dyDescent="0.3">
      <c r="A3762" t="s">
        <v>17</v>
      </c>
      <c r="B3762" t="str">
        <f>"688356"</f>
        <v>688356</v>
      </c>
      <c r="C3762" t="s">
        <v>7860</v>
      </c>
      <c r="D3762" t="s">
        <v>908</v>
      </c>
      <c r="E3762">
        <v>119497696</v>
      </c>
      <c r="F3762">
        <v>84938752</v>
      </c>
      <c r="G3762">
        <v>45408623</v>
      </c>
      <c r="P3762">
        <v>152</v>
      </c>
      <c r="Q3762" t="s">
        <v>7861</v>
      </c>
    </row>
    <row r="3763" spans="1:17" x14ac:dyDescent="0.3">
      <c r="A3763" t="s">
        <v>73</v>
      </c>
      <c r="B3763" t="str">
        <f>"000514"</f>
        <v>000514</v>
      </c>
      <c r="C3763" t="s">
        <v>7862</v>
      </c>
      <c r="D3763" t="s">
        <v>27</v>
      </c>
      <c r="E3763">
        <v>119483689</v>
      </c>
      <c r="F3763">
        <v>11263809</v>
      </c>
      <c r="G3763">
        <v>17468981</v>
      </c>
      <c r="H3763">
        <v>12249770</v>
      </c>
      <c r="I3763">
        <v>10613617</v>
      </c>
      <c r="J3763">
        <v>12733259</v>
      </c>
      <c r="K3763">
        <v>27024081</v>
      </c>
      <c r="L3763">
        <v>59817518</v>
      </c>
      <c r="M3763">
        <v>104742777</v>
      </c>
      <c r="N3763">
        <v>137219346</v>
      </c>
      <c r="O3763">
        <v>292445875</v>
      </c>
      <c r="P3763">
        <v>113</v>
      </c>
      <c r="Q3763" t="s">
        <v>7863</v>
      </c>
    </row>
    <row r="3764" spans="1:17" x14ac:dyDescent="0.3">
      <c r="A3764" t="s">
        <v>17</v>
      </c>
      <c r="B3764" t="str">
        <f>"600639"</f>
        <v>600639</v>
      </c>
      <c r="C3764" t="s">
        <v>7864</v>
      </c>
      <c r="D3764" t="s">
        <v>61</v>
      </c>
      <c r="E3764">
        <v>119457370</v>
      </c>
      <c r="F3764">
        <v>182911440</v>
      </c>
      <c r="G3764">
        <v>231949216</v>
      </c>
      <c r="H3764">
        <v>220153773</v>
      </c>
      <c r="I3764">
        <v>292118098</v>
      </c>
      <c r="J3764">
        <v>112954657</v>
      </c>
      <c r="K3764">
        <v>81282553</v>
      </c>
      <c r="L3764">
        <v>141472258</v>
      </c>
      <c r="M3764">
        <v>26940670</v>
      </c>
      <c r="N3764">
        <v>89163879</v>
      </c>
      <c r="O3764">
        <v>158978772</v>
      </c>
      <c r="P3764">
        <v>189</v>
      </c>
      <c r="Q3764" t="s">
        <v>7865</v>
      </c>
    </row>
    <row r="3765" spans="1:17" x14ac:dyDescent="0.3">
      <c r="A3765" t="s">
        <v>73</v>
      </c>
      <c r="B3765" t="str">
        <f>"001266"</f>
        <v>001266</v>
      </c>
      <c r="C3765" t="s">
        <v>7866</v>
      </c>
      <c r="E3765">
        <v>119317256</v>
      </c>
      <c r="P3765">
        <v>8</v>
      </c>
      <c r="Q3765" t="s">
        <v>7867</v>
      </c>
    </row>
    <row r="3766" spans="1:17" x14ac:dyDescent="0.3">
      <c r="A3766" t="s">
        <v>17</v>
      </c>
      <c r="B3766" t="str">
        <f>"688655"</f>
        <v>688655</v>
      </c>
      <c r="C3766" t="s">
        <v>7868</v>
      </c>
      <c r="D3766" t="s">
        <v>418</v>
      </c>
      <c r="E3766">
        <v>119206518</v>
      </c>
      <c r="F3766">
        <v>141769384</v>
      </c>
      <c r="P3766">
        <v>21</v>
      </c>
      <c r="Q3766" t="s">
        <v>7869</v>
      </c>
    </row>
    <row r="3767" spans="1:17" x14ac:dyDescent="0.3">
      <c r="A3767" t="s">
        <v>73</v>
      </c>
      <c r="B3767" t="str">
        <f>"000683"</f>
        <v>000683</v>
      </c>
      <c r="C3767" t="s">
        <v>7870</v>
      </c>
      <c r="D3767" t="s">
        <v>2812</v>
      </c>
      <c r="E3767">
        <v>118966471</v>
      </c>
      <c r="F3767">
        <v>187883212</v>
      </c>
      <c r="G3767">
        <v>211250723</v>
      </c>
      <c r="H3767">
        <v>290614792</v>
      </c>
      <c r="I3767">
        <v>311924375</v>
      </c>
      <c r="J3767">
        <v>460537655</v>
      </c>
      <c r="K3767">
        <v>345473326</v>
      </c>
      <c r="L3767">
        <v>299518510</v>
      </c>
      <c r="M3767">
        <v>68011437</v>
      </c>
      <c r="N3767">
        <v>33312066</v>
      </c>
      <c r="O3767">
        <v>84785993</v>
      </c>
      <c r="P3767">
        <v>314</v>
      </c>
      <c r="Q3767" t="s">
        <v>7871</v>
      </c>
    </row>
    <row r="3768" spans="1:17" x14ac:dyDescent="0.3">
      <c r="A3768" t="s">
        <v>17</v>
      </c>
      <c r="B3768" t="str">
        <f>"600130"</f>
        <v>600130</v>
      </c>
      <c r="C3768" t="s">
        <v>7872</v>
      </c>
      <c r="D3768" t="s">
        <v>42</v>
      </c>
      <c r="E3768">
        <v>118961189</v>
      </c>
      <c r="F3768">
        <v>189375340</v>
      </c>
      <c r="G3768">
        <v>54692286</v>
      </c>
      <c r="H3768">
        <v>77838204</v>
      </c>
      <c r="I3768">
        <v>58229906</v>
      </c>
      <c r="J3768">
        <v>100085921</v>
      </c>
      <c r="K3768">
        <v>116987189</v>
      </c>
      <c r="L3768">
        <v>88759441</v>
      </c>
      <c r="M3768">
        <v>71639148</v>
      </c>
      <c r="N3768">
        <v>30296340</v>
      </c>
      <c r="O3768">
        <v>29374421</v>
      </c>
      <c r="P3768">
        <v>93</v>
      </c>
      <c r="Q3768" t="s">
        <v>7873</v>
      </c>
    </row>
    <row r="3769" spans="1:17" x14ac:dyDescent="0.3">
      <c r="A3769" t="s">
        <v>73</v>
      </c>
      <c r="B3769" t="str">
        <f>"300534"</f>
        <v>300534</v>
      </c>
      <c r="C3769" t="s">
        <v>7874</v>
      </c>
      <c r="D3769" t="s">
        <v>215</v>
      </c>
      <c r="E3769">
        <v>118819515</v>
      </c>
      <c r="F3769">
        <v>152848779</v>
      </c>
      <c r="G3769">
        <v>170022579</v>
      </c>
      <c r="H3769">
        <v>185873714</v>
      </c>
      <c r="I3769">
        <v>182080090</v>
      </c>
      <c r="J3769">
        <v>154615602</v>
      </c>
      <c r="K3769">
        <v>0</v>
      </c>
      <c r="P3769">
        <v>109</v>
      </c>
      <c r="Q3769" t="s">
        <v>7875</v>
      </c>
    </row>
    <row r="3770" spans="1:17" x14ac:dyDescent="0.3">
      <c r="A3770" t="s">
        <v>73</v>
      </c>
      <c r="B3770" t="str">
        <f>"300086"</f>
        <v>300086</v>
      </c>
      <c r="C3770" t="s">
        <v>7876</v>
      </c>
      <c r="D3770" t="s">
        <v>348</v>
      </c>
      <c r="E3770">
        <v>118769308</v>
      </c>
      <c r="F3770">
        <v>126235427</v>
      </c>
      <c r="G3770">
        <v>82345456</v>
      </c>
      <c r="H3770">
        <v>152806215</v>
      </c>
      <c r="I3770">
        <v>88762257</v>
      </c>
      <c r="J3770">
        <v>62331385</v>
      </c>
      <c r="K3770">
        <v>95059015</v>
      </c>
      <c r="L3770">
        <v>27965885</v>
      </c>
      <c r="M3770">
        <v>28625576</v>
      </c>
      <c r="N3770">
        <v>42632131</v>
      </c>
      <c r="O3770">
        <v>113441189</v>
      </c>
      <c r="P3770">
        <v>106</v>
      </c>
      <c r="Q3770" t="s">
        <v>7877</v>
      </c>
    </row>
    <row r="3771" spans="1:17" x14ac:dyDescent="0.3">
      <c r="A3771" t="s">
        <v>73</v>
      </c>
      <c r="B3771" t="str">
        <f>"301177"</f>
        <v>301177</v>
      </c>
      <c r="C3771" t="s">
        <v>7878</v>
      </c>
      <c r="D3771" t="s">
        <v>1260</v>
      </c>
      <c r="E3771">
        <v>118759314</v>
      </c>
      <c r="P3771">
        <v>30</v>
      </c>
      <c r="Q3771" t="s">
        <v>7879</v>
      </c>
    </row>
    <row r="3772" spans="1:17" x14ac:dyDescent="0.3">
      <c r="A3772" t="s">
        <v>17</v>
      </c>
      <c r="B3772" t="str">
        <f>"688312"</f>
        <v>688312</v>
      </c>
      <c r="C3772" t="s">
        <v>7880</v>
      </c>
      <c r="D3772" t="s">
        <v>1451</v>
      </c>
      <c r="E3772">
        <v>118641425</v>
      </c>
      <c r="F3772">
        <v>75822839</v>
      </c>
      <c r="G3772">
        <v>43623225</v>
      </c>
      <c r="H3772">
        <v>45774195</v>
      </c>
      <c r="P3772">
        <v>64</v>
      </c>
      <c r="Q3772" t="s">
        <v>7881</v>
      </c>
    </row>
    <row r="3773" spans="1:17" x14ac:dyDescent="0.3">
      <c r="A3773" t="s">
        <v>73</v>
      </c>
      <c r="B3773" t="str">
        <f>"300536"</f>
        <v>300536</v>
      </c>
      <c r="C3773" t="s">
        <v>7882</v>
      </c>
      <c r="D3773" t="s">
        <v>445</v>
      </c>
      <c r="E3773">
        <v>118607371</v>
      </c>
      <c r="F3773">
        <v>51300712</v>
      </c>
      <c r="G3773">
        <v>103362879</v>
      </c>
      <c r="H3773">
        <v>174218936</v>
      </c>
      <c r="I3773">
        <v>189512682</v>
      </c>
      <c r="J3773">
        <v>107988394</v>
      </c>
      <c r="K3773">
        <v>0</v>
      </c>
      <c r="P3773">
        <v>63</v>
      </c>
      <c r="Q3773" t="s">
        <v>7883</v>
      </c>
    </row>
    <row r="3774" spans="1:17" x14ac:dyDescent="0.3">
      <c r="A3774" t="s">
        <v>73</v>
      </c>
      <c r="B3774" t="str">
        <f>"300820"</f>
        <v>300820</v>
      </c>
      <c r="C3774" t="s">
        <v>7884</v>
      </c>
      <c r="D3774" t="s">
        <v>747</v>
      </c>
      <c r="E3774">
        <v>118580836</v>
      </c>
      <c r="F3774">
        <v>80252114</v>
      </c>
      <c r="G3774">
        <v>103578817</v>
      </c>
      <c r="H3774">
        <v>0</v>
      </c>
      <c r="P3774">
        <v>369</v>
      </c>
      <c r="Q3774" t="s">
        <v>7885</v>
      </c>
    </row>
    <row r="3775" spans="1:17" x14ac:dyDescent="0.3">
      <c r="A3775" t="s">
        <v>17</v>
      </c>
      <c r="B3775" t="str">
        <f>"603171"</f>
        <v>603171</v>
      </c>
      <c r="C3775" t="s">
        <v>7886</v>
      </c>
      <c r="D3775" t="s">
        <v>302</v>
      </c>
      <c r="E3775">
        <v>118538865</v>
      </c>
      <c r="F3775">
        <v>77460220</v>
      </c>
      <c r="P3775">
        <v>54</v>
      </c>
      <c r="Q3775" t="s">
        <v>7887</v>
      </c>
    </row>
    <row r="3776" spans="1:17" x14ac:dyDescent="0.3">
      <c r="A3776" t="s">
        <v>73</v>
      </c>
      <c r="B3776" t="str">
        <f>"300286"</f>
        <v>300286</v>
      </c>
      <c r="C3776" t="s">
        <v>7888</v>
      </c>
      <c r="D3776" t="s">
        <v>1280</v>
      </c>
      <c r="E3776">
        <v>118495805</v>
      </c>
      <c r="F3776">
        <v>96127236</v>
      </c>
      <c r="G3776">
        <v>97342824</v>
      </c>
      <c r="H3776">
        <v>91129027</v>
      </c>
      <c r="I3776">
        <v>74990312</v>
      </c>
      <c r="J3776">
        <v>66806354</v>
      </c>
      <c r="K3776">
        <v>50984547</v>
      </c>
      <c r="L3776">
        <v>38690867</v>
      </c>
      <c r="M3776">
        <v>26652712</v>
      </c>
      <c r="N3776">
        <v>7749113</v>
      </c>
      <c r="O3776">
        <v>11979602</v>
      </c>
      <c r="P3776">
        <v>272</v>
      </c>
      <c r="Q3776" t="s">
        <v>7889</v>
      </c>
    </row>
    <row r="3777" spans="1:17" x14ac:dyDescent="0.3">
      <c r="A3777" t="s">
        <v>17</v>
      </c>
      <c r="B3777" t="str">
        <f>"600051"</f>
        <v>600051</v>
      </c>
      <c r="C3777" t="s">
        <v>7890</v>
      </c>
      <c r="D3777" t="s">
        <v>466</v>
      </c>
      <c r="E3777">
        <v>118366509</v>
      </c>
      <c r="F3777">
        <v>102792154</v>
      </c>
      <c r="G3777">
        <v>160496085</v>
      </c>
      <c r="H3777">
        <v>197055094</v>
      </c>
      <c r="I3777">
        <v>244941013</v>
      </c>
      <c r="J3777">
        <v>201278778</v>
      </c>
      <c r="K3777">
        <v>91458608</v>
      </c>
      <c r="L3777">
        <v>74569225</v>
      </c>
      <c r="M3777">
        <v>57554326</v>
      </c>
      <c r="N3777">
        <v>68079223</v>
      </c>
      <c r="O3777">
        <v>53138604</v>
      </c>
      <c r="P3777">
        <v>305</v>
      </c>
      <c r="Q3777" t="s">
        <v>7891</v>
      </c>
    </row>
    <row r="3778" spans="1:17" x14ac:dyDescent="0.3">
      <c r="A3778" t="s">
        <v>17</v>
      </c>
      <c r="B3778" t="str">
        <f>"688169"</f>
        <v>688169</v>
      </c>
      <c r="C3778" t="s">
        <v>7892</v>
      </c>
      <c r="D3778" t="s">
        <v>1560</v>
      </c>
      <c r="E3778">
        <v>118224849</v>
      </c>
      <c r="F3778">
        <v>64049548</v>
      </c>
      <c r="G3778">
        <v>119718877</v>
      </c>
      <c r="P3778">
        <v>758</v>
      </c>
      <c r="Q3778" t="s">
        <v>7893</v>
      </c>
    </row>
    <row r="3779" spans="1:17" x14ac:dyDescent="0.3">
      <c r="A3779" t="s">
        <v>73</v>
      </c>
      <c r="B3779" t="str">
        <f>"002816"</f>
        <v>002816</v>
      </c>
      <c r="C3779" t="s">
        <v>7894</v>
      </c>
      <c r="D3779" t="s">
        <v>1451</v>
      </c>
      <c r="E3779">
        <v>118122681</v>
      </c>
      <c r="F3779">
        <v>109810833</v>
      </c>
      <c r="G3779">
        <v>134369338</v>
      </c>
      <c r="H3779">
        <v>238911336</v>
      </c>
      <c r="I3779">
        <v>249479000</v>
      </c>
      <c r="J3779">
        <v>218902574</v>
      </c>
      <c r="P3779">
        <v>46</v>
      </c>
      <c r="Q3779" t="s">
        <v>7895</v>
      </c>
    </row>
    <row r="3780" spans="1:17" x14ac:dyDescent="0.3">
      <c r="A3780" t="s">
        <v>73</v>
      </c>
      <c r="B3780" t="str">
        <f>"002895"</f>
        <v>002895</v>
      </c>
      <c r="C3780" t="s">
        <v>7896</v>
      </c>
      <c r="D3780" t="s">
        <v>1137</v>
      </c>
      <c r="E3780">
        <v>118053905</v>
      </c>
      <c r="F3780">
        <v>82953954</v>
      </c>
      <c r="G3780">
        <v>73980782</v>
      </c>
      <c r="H3780">
        <v>89620589</v>
      </c>
      <c r="I3780">
        <v>41353423</v>
      </c>
      <c r="J3780">
        <v>41401627</v>
      </c>
      <c r="P3780">
        <v>148</v>
      </c>
      <c r="Q3780" t="s">
        <v>7897</v>
      </c>
    </row>
    <row r="3781" spans="1:17" x14ac:dyDescent="0.3">
      <c r="A3781" t="s">
        <v>73</v>
      </c>
      <c r="B3781" t="str">
        <f>"003010"</f>
        <v>003010</v>
      </c>
      <c r="C3781" t="s">
        <v>7898</v>
      </c>
      <c r="D3781" t="s">
        <v>1960</v>
      </c>
      <c r="E3781">
        <v>118034799</v>
      </c>
      <c r="F3781">
        <v>116259763</v>
      </c>
      <c r="I3781">
        <v>0</v>
      </c>
      <c r="J3781">
        <v>54276698</v>
      </c>
      <c r="P3781">
        <v>58</v>
      </c>
      <c r="Q3781" t="s">
        <v>7899</v>
      </c>
    </row>
    <row r="3782" spans="1:17" x14ac:dyDescent="0.3">
      <c r="A3782" t="s">
        <v>73</v>
      </c>
      <c r="B3782" t="str">
        <f>"002224"</f>
        <v>002224</v>
      </c>
      <c r="C3782" t="s">
        <v>7900</v>
      </c>
      <c r="D3782" t="s">
        <v>2295</v>
      </c>
      <c r="E3782">
        <v>118010652</v>
      </c>
      <c r="F3782">
        <v>91354581</v>
      </c>
      <c r="G3782">
        <v>124185444</v>
      </c>
      <c r="H3782">
        <v>0</v>
      </c>
      <c r="I3782">
        <v>101909924</v>
      </c>
      <c r="J3782">
        <v>70103445</v>
      </c>
      <c r="K3782">
        <v>102310278</v>
      </c>
      <c r="L3782">
        <v>72635707</v>
      </c>
      <c r="M3782">
        <v>49078405</v>
      </c>
      <c r="N3782">
        <v>74719144</v>
      </c>
      <c r="O3782">
        <v>81368661</v>
      </c>
      <c r="P3782">
        <v>186</v>
      </c>
      <c r="Q3782" t="s">
        <v>7901</v>
      </c>
    </row>
    <row r="3783" spans="1:17" x14ac:dyDescent="0.3">
      <c r="A3783" t="s">
        <v>17</v>
      </c>
      <c r="B3783" t="str">
        <f>"688113"</f>
        <v>688113</v>
      </c>
      <c r="C3783" t="s">
        <v>7902</v>
      </c>
      <c r="D3783" t="s">
        <v>1451</v>
      </c>
      <c r="E3783">
        <v>118003460</v>
      </c>
      <c r="F3783">
        <v>124863401</v>
      </c>
      <c r="P3783">
        <v>40</v>
      </c>
      <c r="Q3783" t="s">
        <v>7903</v>
      </c>
    </row>
    <row r="3784" spans="1:17" x14ac:dyDescent="0.3">
      <c r="A3784" t="s">
        <v>17</v>
      </c>
      <c r="B3784" t="str">
        <f>"603320"</f>
        <v>603320</v>
      </c>
      <c r="C3784" t="s">
        <v>7904</v>
      </c>
      <c r="D3784" t="s">
        <v>689</v>
      </c>
      <c r="E3784">
        <v>117511308</v>
      </c>
      <c r="F3784">
        <v>119452597</v>
      </c>
      <c r="G3784">
        <v>82047408</v>
      </c>
      <c r="H3784">
        <v>118698042</v>
      </c>
      <c r="I3784">
        <v>84100393</v>
      </c>
      <c r="J3784">
        <v>63554665</v>
      </c>
      <c r="P3784">
        <v>94</v>
      </c>
      <c r="Q3784" t="s">
        <v>7905</v>
      </c>
    </row>
    <row r="3785" spans="1:17" x14ac:dyDescent="0.3">
      <c r="A3785" t="s">
        <v>17</v>
      </c>
      <c r="B3785" t="str">
        <f>"603159"</f>
        <v>603159</v>
      </c>
      <c r="C3785" t="s">
        <v>7906</v>
      </c>
      <c r="D3785" t="s">
        <v>1451</v>
      </c>
      <c r="E3785">
        <v>117401438</v>
      </c>
      <c r="F3785">
        <v>136981131</v>
      </c>
      <c r="G3785">
        <v>83210944</v>
      </c>
      <c r="H3785">
        <v>88266973</v>
      </c>
      <c r="I3785">
        <v>103363533</v>
      </c>
      <c r="J3785">
        <v>97526288</v>
      </c>
      <c r="K3785">
        <v>0</v>
      </c>
      <c r="L3785">
        <v>0</v>
      </c>
      <c r="P3785">
        <v>62</v>
      </c>
      <c r="Q3785" t="s">
        <v>7907</v>
      </c>
    </row>
    <row r="3786" spans="1:17" x14ac:dyDescent="0.3">
      <c r="A3786" t="s">
        <v>17</v>
      </c>
      <c r="B3786" t="str">
        <f>"600568"</f>
        <v>600568</v>
      </c>
      <c r="C3786" t="s">
        <v>7908</v>
      </c>
      <c r="D3786" t="s">
        <v>1255</v>
      </c>
      <c r="E3786">
        <v>117333506</v>
      </c>
      <c r="F3786">
        <v>103680529</v>
      </c>
      <c r="G3786">
        <v>125518198</v>
      </c>
      <c r="H3786">
        <v>245912072</v>
      </c>
      <c r="I3786">
        <v>348549320</v>
      </c>
      <c r="J3786">
        <v>280674370</v>
      </c>
      <c r="K3786">
        <v>211510300</v>
      </c>
      <c r="L3786">
        <v>199264045</v>
      </c>
      <c r="M3786">
        <v>157519616</v>
      </c>
      <c r="N3786">
        <v>31596724</v>
      </c>
      <c r="O3786">
        <v>20920867</v>
      </c>
      <c r="P3786">
        <v>98</v>
      </c>
      <c r="Q3786" t="s">
        <v>7909</v>
      </c>
    </row>
    <row r="3787" spans="1:17" x14ac:dyDescent="0.3">
      <c r="A3787" t="s">
        <v>17</v>
      </c>
      <c r="B3787" t="str">
        <f>"603551"</f>
        <v>603551</v>
      </c>
      <c r="C3787" t="s">
        <v>7910</v>
      </c>
      <c r="D3787" t="s">
        <v>2222</v>
      </c>
      <c r="E3787">
        <v>117084894</v>
      </c>
      <c r="F3787">
        <v>84221107</v>
      </c>
      <c r="G3787">
        <v>74061146</v>
      </c>
      <c r="P3787">
        <v>116</v>
      </c>
      <c r="Q3787" t="s">
        <v>7911</v>
      </c>
    </row>
    <row r="3788" spans="1:17" x14ac:dyDescent="0.3">
      <c r="A3788" t="s">
        <v>17</v>
      </c>
      <c r="B3788" t="str">
        <f>"600866"</f>
        <v>600866</v>
      </c>
      <c r="C3788" t="s">
        <v>7912</v>
      </c>
      <c r="D3788" t="s">
        <v>1430</v>
      </c>
      <c r="E3788">
        <v>117083843</v>
      </c>
      <c r="F3788">
        <v>153862806</v>
      </c>
      <c r="G3788">
        <v>168152814</v>
      </c>
      <c r="H3788">
        <v>167621910</v>
      </c>
      <c r="I3788">
        <v>90233422</v>
      </c>
      <c r="J3788">
        <v>109382388</v>
      </c>
      <c r="K3788">
        <v>108301870</v>
      </c>
      <c r="L3788">
        <v>162634833</v>
      </c>
      <c r="M3788">
        <v>136558293</v>
      </c>
      <c r="N3788">
        <v>112205064</v>
      </c>
      <c r="O3788">
        <v>99342522</v>
      </c>
      <c r="P3788">
        <v>143</v>
      </c>
      <c r="Q3788" t="s">
        <v>7913</v>
      </c>
    </row>
    <row r="3789" spans="1:17" x14ac:dyDescent="0.3">
      <c r="A3789" t="s">
        <v>73</v>
      </c>
      <c r="B3789" t="str">
        <f>"002657"</f>
        <v>002657</v>
      </c>
      <c r="C3789" t="s">
        <v>7914</v>
      </c>
      <c r="D3789" t="s">
        <v>302</v>
      </c>
      <c r="E3789">
        <v>117010376</v>
      </c>
      <c r="F3789">
        <v>72985010</v>
      </c>
      <c r="G3789">
        <v>120552777</v>
      </c>
      <c r="H3789">
        <v>117458966</v>
      </c>
      <c r="I3789">
        <v>114613764</v>
      </c>
      <c r="J3789">
        <v>89024461</v>
      </c>
      <c r="K3789">
        <v>93158686</v>
      </c>
      <c r="L3789">
        <v>56248365</v>
      </c>
      <c r="M3789">
        <v>72619138</v>
      </c>
      <c r="N3789">
        <v>56428899</v>
      </c>
      <c r="O3789">
        <v>56843454</v>
      </c>
      <c r="P3789">
        <v>154</v>
      </c>
      <c r="Q3789" t="s">
        <v>7915</v>
      </c>
    </row>
    <row r="3790" spans="1:17" x14ac:dyDescent="0.3">
      <c r="A3790" t="s">
        <v>73</v>
      </c>
      <c r="B3790" t="str">
        <f>"002714"</f>
        <v>002714</v>
      </c>
      <c r="C3790" t="s">
        <v>7916</v>
      </c>
      <c r="D3790" t="s">
        <v>1626</v>
      </c>
      <c r="E3790">
        <v>116983390</v>
      </c>
      <c r="F3790">
        <v>31971100</v>
      </c>
      <c r="G3790">
        <v>0</v>
      </c>
      <c r="H3790">
        <v>28400355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P3790">
        <v>4953</v>
      </c>
      <c r="Q3790" t="s">
        <v>7917</v>
      </c>
    </row>
    <row r="3791" spans="1:17" x14ac:dyDescent="0.3">
      <c r="A3791" t="s">
        <v>17</v>
      </c>
      <c r="B3791" t="str">
        <f>"603398"</f>
        <v>603398</v>
      </c>
      <c r="C3791" t="s">
        <v>7918</v>
      </c>
      <c r="D3791" t="s">
        <v>6353</v>
      </c>
      <c r="E3791">
        <v>116936689</v>
      </c>
      <c r="F3791">
        <v>80360982</v>
      </c>
      <c r="G3791">
        <v>118382502</v>
      </c>
      <c r="H3791">
        <v>125481350</v>
      </c>
      <c r="I3791">
        <v>12815841</v>
      </c>
      <c r="J3791">
        <v>5765618</v>
      </c>
      <c r="K3791">
        <v>4488836</v>
      </c>
      <c r="L3791">
        <v>0</v>
      </c>
      <c r="M3791">
        <v>0</v>
      </c>
      <c r="P3791">
        <v>89</v>
      </c>
      <c r="Q3791" t="s">
        <v>7919</v>
      </c>
    </row>
    <row r="3792" spans="1:17" x14ac:dyDescent="0.3">
      <c r="A3792" t="s">
        <v>17</v>
      </c>
      <c r="B3792" t="str">
        <f>"688167"</f>
        <v>688167</v>
      </c>
      <c r="C3792" t="s">
        <v>7920</v>
      </c>
      <c r="D3792" t="s">
        <v>499</v>
      </c>
      <c r="E3792">
        <v>116894016</v>
      </c>
      <c r="P3792">
        <v>32</v>
      </c>
      <c r="Q3792" t="s">
        <v>7921</v>
      </c>
    </row>
    <row r="3793" spans="1:17" x14ac:dyDescent="0.3">
      <c r="A3793" t="s">
        <v>17</v>
      </c>
      <c r="B3793" t="str">
        <f>"600732"</f>
        <v>600732</v>
      </c>
      <c r="C3793" t="s">
        <v>7922</v>
      </c>
      <c r="D3793" t="s">
        <v>305</v>
      </c>
      <c r="E3793">
        <v>116762578</v>
      </c>
      <c r="F3793">
        <v>95784872</v>
      </c>
      <c r="G3793">
        <v>65563431</v>
      </c>
      <c r="H3793">
        <v>1510980</v>
      </c>
      <c r="I3793">
        <v>110224</v>
      </c>
      <c r="J3793">
        <v>67443</v>
      </c>
      <c r="K3793">
        <v>513177</v>
      </c>
      <c r="L3793">
        <v>394040</v>
      </c>
      <c r="M3793">
        <v>17830</v>
      </c>
      <c r="N3793">
        <v>151658</v>
      </c>
      <c r="O3793">
        <v>247485</v>
      </c>
      <c r="P3793">
        <v>357</v>
      </c>
      <c r="Q3793" t="s">
        <v>7923</v>
      </c>
    </row>
    <row r="3794" spans="1:17" x14ac:dyDescent="0.3">
      <c r="A3794" t="s">
        <v>17</v>
      </c>
      <c r="B3794" t="str">
        <f>"600327"</f>
        <v>600327</v>
      </c>
      <c r="C3794" t="s">
        <v>7924</v>
      </c>
      <c r="D3794" t="s">
        <v>415</v>
      </c>
      <c r="E3794">
        <v>116677997</v>
      </c>
      <c r="F3794">
        <v>159778452</v>
      </c>
      <c r="G3794">
        <v>98483597</v>
      </c>
      <c r="H3794">
        <v>148404420</v>
      </c>
      <c r="I3794">
        <v>136132449</v>
      </c>
      <c r="J3794">
        <v>109582488</v>
      </c>
      <c r="K3794">
        <v>88203154</v>
      </c>
      <c r="L3794">
        <v>92525816</v>
      </c>
      <c r="M3794">
        <v>93151556</v>
      </c>
      <c r="N3794">
        <v>152528992</v>
      </c>
      <c r="O3794">
        <v>65052680</v>
      </c>
      <c r="P3794">
        <v>221</v>
      </c>
      <c r="Q3794" t="s">
        <v>7925</v>
      </c>
    </row>
    <row r="3795" spans="1:17" x14ac:dyDescent="0.3">
      <c r="A3795" t="s">
        <v>73</v>
      </c>
      <c r="B3795" t="str">
        <f>"300689"</f>
        <v>300689</v>
      </c>
      <c r="C3795" t="s">
        <v>7926</v>
      </c>
      <c r="D3795" t="s">
        <v>332</v>
      </c>
      <c r="E3795">
        <v>116499488</v>
      </c>
      <c r="F3795">
        <v>82416559</v>
      </c>
      <c r="G3795">
        <v>85186210</v>
      </c>
      <c r="H3795">
        <v>95058807</v>
      </c>
      <c r="I3795">
        <v>80914041</v>
      </c>
      <c r="J3795">
        <v>0</v>
      </c>
      <c r="P3795">
        <v>76</v>
      </c>
      <c r="Q3795" t="s">
        <v>7927</v>
      </c>
    </row>
    <row r="3796" spans="1:17" x14ac:dyDescent="0.3">
      <c r="A3796" t="s">
        <v>73</v>
      </c>
      <c r="B3796" t="str">
        <f>"300178"</f>
        <v>300178</v>
      </c>
      <c r="C3796" t="s">
        <v>7928</v>
      </c>
      <c r="D3796" t="s">
        <v>5692</v>
      </c>
      <c r="E3796">
        <v>115915591</v>
      </c>
      <c r="F3796">
        <v>132389740</v>
      </c>
      <c r="G3796">
        <v>362314298</v>
      </c>
      <c r="H3796">
        <v>941724407</v>
      </c>
      <c r="I3796">
        <v>694187558</v>
      </c>
      <c r="J3796">
        <v>526094934</v>
      </c>
      <c r="K3796">
        <v>429020291</v>
      </c>
      <c r="L3796">
        <v>324701909</v>
      </c>
      <c r="M3796">
        <v>195816117</v>
      </c>
      <c r="N3796">
        <v>199222933</v>
      </c>
      <c r="O3796">
        <v>72657578</v>
      </c>
      <c r="P3796">
        <v>152</v>
      </c>
      <c r="Q3796" t="s">
        <v>7929</v>
      </c>
    </row>
    <row r="3797" spans="1:17" x14ac:dyDescent="0.3">
      <c r="A3797" t="s">
        <v>17</v>
      </c>
      <c r="B3797" t="str">
        <f>"603630"</f>
        <v>603630</v>
      </c>
      <c r="C3797" t="s">
        <v>7930</v>
      </c>
      <c r="D3797" t="s">
        <v>2351</v>
      </c>
      <c r="E3797">
        <v>115859514</v>
      </c>
      <c r="F3797">
        <v>128276628</v>
      </c>
      <c r="G3797">
        <v>116310038</v>
      </c>
      <c r="H3797">
        <v>153298801</v>
      </c>
      <c r="I3797">
        <v>88736162</v>
      </c>
      <c r="J3797">
        <v>78053975</v>
      </c>
      <c r="P3797">
        <v>148</v>
      </c>
      <c r="Q3797" t="s">
        <v>7931</v>
      </c>
    </row>
    <row r="3798" spans="1:17" x14ac:dyDescent="0.3">
      <c r="A3798" t="s">
        <v>73</v>
      </c>
      <c r="B3798" t="str">
        <f>"300779"</f>
        <v>300779</v>
      </c>
      <c r="C3798" t="s">
        <v>7932</v>
      </c>
      <c r="D3798" t="s">
        <v>623</v>
      </c>
      <c r="E3798">
        <v>115847661</v>
      </c>
      <c r="F3798">
        <v>78607236</v>
      </c>
      <c r="G3798">
        <v>95774931</v>
      </c>
      <c r="H3798">
        <v>0</v>
      </c>
      <c r="I3798">
        <v>0</v>
      </c>
      <c r="P3798">
        <v>62</v>
      </c>
      <c r="Q3798" t="s">
        <v>7933</v>
      </c>
    </row>
    <row r="3799" spans="1:17" x14ac:dyDescent="0.3">
      <c r="A3799" t="s">
        <v>17</v>
      </c>
      <c r="B3799" t="str">
        <f>"605567"</f>
        <v>605567</v>
      </c>
      <c r="C3799" t="s">
        <v>7934</v>
      </c>
      <c r="D3799" t="s">
        <v>4652</v>
      </c>
      <c r="E3799">
        <v>115732746</v>
      </c>
      <c r="P3799">
        <v>32</v>
      </c>
      <c r="Q3799" t="s">
        <v>7935</v>
      </c>
    </row>
    <row r="3800" spans="1:17" x14ac:dyDescent="0.3">
      <c r="A3800" t="s">
        <v>73</v>
      </c>
      <c r="B3800" t="str">
        <f>"000698"</f>
        <v>000698</v>
      </c>
      <c r="C3800" t="s">
        <v>7936</v>
      </c>
      <c r="D3800" t="s">
        <v>36</v>
      </c>
      <c r="E3800">
        <v>115689969</v>
      </c>
      <c r="F3800">
        <v>106634137</v>
      </c>
      <c r="G3800">
        <v>67689337</v>
      </c>
      <c r="H3800">
        <v>72827389</v>
      </c>
      <c r="I3800">
        <v>60563693</v>
      </c>
      <c r="J3800">
        <v>70496735</v>
      </c>
      <c r="K3800">
        <v>42814617</v>
      </c>
      <c r="L3800">
        <v>29388319</v>
      </c>
      <c r="M3800">
        <v>35205948</v>
      </c>
      <c r="N3800">
        <v>64925532</v>
      </c>
      <c r="O3800">
        <v>60569272</v>
      </c>
      <c r="P3800">
        <v>166</v>
      </c>
      <c r="Q3800" t="s">
        <v>7937</v>
      </c>
    </row>
    <row r="3801" spans="1:17" x14ac:dyDescent="0.3">
      <c r="A3801" t="s">
        <v>73</v>
      </c>
      <c r="B3801" t="str">
        <f>"301108"</f>
        <v>301108</v>
      </c>
      <c r="C3801" t="s">
        <v>7938</v>
      </c>
      <c r="D3801" t="s">
        <v>2759</v>
      </c>
      <c r="E3801">
        <v>115220703</v>
      </c>
      <c r="P3801">
        <v>24</v>
      </c>
      <c r="Q3801" t="s">
        <v>7939</v>
      </c>
    </row>
    <row r="3802" spans="1:17" x14ac:dyDescent="0.3">
      <c r="A3802" t="s">
        <v>17</v>
      </c>
      <c r="B3802" t="str">
        <f>"688622"</f>
        <v>688622</v>
      </c>
      <c r="C3802" t="s">
        <v>7940</v>
      </c>
      <c r="D3802" t="s">
        <v>2280</v>
      </c>
      <c r="E3802">
        <v>115173482</v>
      </c>
      <c r="P3802">
        <v>29</v>
      </c>
      <c r="Q3802" t="s">
        <v>7941</v>
      </c>
    </row>
    <row r="3803" spans="1:17" x14ac:dyDescent="0.3">
      <c r="A3803" t="s">
        <v>17</v>
      </c>
      <c r="B3803" t="str">
        <f>"605055"</f>
        <v>605055</v>
      </c>
      <c r="C3803" t="s">
        <v>7942</v>
      </c>
      <c r="D3803" t="s">
        <v>1099</v>
      </c>
      <c r="E3803">
        <v>114997276</v>
      </c>
      <c r="F3803">
        <v>74100592</v>
      </c>
      <c r="P3803">
        <v>38</v>
      </c>
      <c r="Q3803" t="s">
        <v>7943</v>
      </c>
    </row>
    <row r="3804" spans="1:17" x14ac:dyDescent="0.3">
      <c r="A3804" t="s">
        <v>73</v>
      </c>
      <c r="B3804" t="str">
        <f>"300238"</f>
        <v>300238</v>
      </c>
      <c r="C3804" t="s">
        <v>7944</v>
      </c>
      <c r="D3804" t="s">
        <v>1523</v>
      </c>
      <c r="E3804">
        <v>114965319</v>
      </c>
      <c r="F3804">
        <v>123276914</v>
      </c>
      <c r="G3804">
        <v>133735671</v>
      </c>
      <c r="H3804">
        <v>175203958</v>
      </c>
      <c r="I3804">
        <v>124560305</v>
      </c>
      <c r="J3804">
        <v>96182141</v>
      </c>
      <c r="K3804">
        <v>53467749</v>
      </c>
      <c r="L3804">
        <v>28608738</v>
      </c>
      <c r="M3804">
        <v>28970381</v>
      </c>
      <c r="N3804">
        <v>31570333</v>
      </c>
      <c r="O3804">
        <v>35225633</v>
      </c>
      <c r="P3804">
        <v>195</v>
      </c>
      <c r="Q3804" t="s">
        <v>7945</v>
      </c>
    </row>
    <row r="3805" spans="1:17" x14ac:dyDescent="0.3">
      <c r="A3805" t="s">
        <v>73</v>
      </c>
      <c r="B3805" t="str">
        <f>"300521"</f>
        <v>300521</v>
      </c>
      <c r="C3805" t="s">
        <v>7946</v>
      </c>
      <c r="D3805" t="s">
        <v>2099</v>
      </c>
      <c r="E3805">
        <v>114775996</v>
      </c>
      <c r="F3805">
        <v>135265093</v>
      </c>
      <c r="G3805">
        <v>139969155</v>
      </c>
      <c r="H3805">
        <v>141384821</v>
      </c>
      <c r="I3805">
        <v>147639597</v>
      </c>
      <c r="J3805">
        <v>142229004</v>
      </c>
      <c r="K3805">
        <v>132481723</v>
      </c>
      <c r="L3805">
        <v>0</v>
      </c>
      <c r="P3805">
        <v>57</v>
      </c>
      <c r="Q3805" t="s">
        <v>7947</v>
      </c>
    </row>
    <row r="3806" spans="1:17" x14ac:dyDescent="0.3">
      <c r="A3806" t="s">
        <v>73</v>
      </c>
      <c r="B3806" t="str">
        <f>"301215"</f>
        <v>301215</v>
      </c>
      <c r="C3806" t="s">
        <v>7948</v>
      </c>
      <c r="E3806">
        <v>114150885</v>
      </c>
      <c r="P3806">
        <v>7</v>
      </c>
      <c r="Q3806" t="s">
        <v>7949</v>
      </c>
    </row>
    <row r="3807" spans="1:17" x14ac:dyDescent="0.3">
      <c r="A3807" t="s">
        <v>17</v>
      </c>
      <c r="B3807" t="str">
        <f>"688068"</f>
        <v>688068</v>
      </c>
      <c r="C3807" t="s">
        <v>7950</v>
      </c>
      <c r="D3807" t="s">
        <v>773</v>
      </c>
      <c r="E3807">
        <v>114059633</v>
      </c>
      <c r="F3807">
        <v>55317361</v>
      </c>
      <c r="G3807">
        <v>40193357</v>
      </c>
      <c r="H3807">
        <v>0</v>
      </c>
      <c r="P3807">
        <v>254</v>
      </c>
      <c r="Q3807" t="s">
        <v>7951</v>
      </c>
    </row>
    <row r="3808" spans="1:17" x14ac:dyDescent="0.3">
      <c r="A3808" t="s">
        <v>73</v>
      </c>
      <c r="B3808" t="str">
        <f>"000429"</f>
        <v>000429</v>
      </c>
      <c r="C3808" t="s">
        <v>7952</v>
      </c>
      <c r="D3808" t="s">
        <v>1592</v>
      </c>
      <c r="E3808">
        <v>113756317</v>
      </c>
      <c r="F3808">
        <v>216803564</v>
      </c>
      <c r="G3808">
        <v>81940551</v>
      </c>
      <c r="H3808">
        <v>105447914</v>
      </c>
      <c r="I3808">
        <v>103251150</v>
      </c>
      <c r="J3808">
        <v>117818970</v>
      </c>
      <c r="K3808">
        <v>59694251</v>
      </c>
      <c r="L3808">
        <v>59128695</v>
      </c>
      <c r="M3808">
        <v>101822321</v>
      </c>
      <c r="N3808">
        <v>63853429</v>
      </c>
      <c r="O3808">
        <v>42918016</v>
      </c>
      <c r="P3808">
        <v>1026</v>
      </c>
      <c r="Q3808" t="s">
        <v>7953</v>
      </c>
    </row>
    <row r="3809" spans="1:17" x14ac:dyDescent="0.3">
      <c r="A3809" t="s">
        <v>73</v>
      </c>
      <c r="B3809" t="str">
        <f>"300254"</f>
        <v>300254</v>
      </c>
      <c r="C3809" t="s">
        <v>7954</v>
      </c>
      <c r="D3809" t="s">
        <v>348</v>
      </c>
      <c r="E3809">
        <v>113470950</v>
      </c>
      <c r="F3809">
        <v>176485801</v>
      </c>
      <c r="G3809">
        <v>182681521</v>
      </c>
      <c r="H3809">
        <v>254188259</v>
      </c>
      <c r="I3809">
        <v>260926067</v>
      </c>
      <c r="J3809">
        <v>175329572</v>
      </c>
      <c r="K3809">
        <v>120957196</v>
      </c>
      <c r="L3809">
        <v>83328788</v>
      </c>
      <c r="M3809">
        <v>76516417</v>
      </c>
      <c r="N3809">
        <v>81512083</v>
      </c>
      <c r="O3809">
        <v>35901329</v>
      </c>
      <c r="P3809">
        <v>82</v>
      </c>
      <c r="Q3809" t="s">
        <v>7955</v>
      </c>
    </row>
    <row r="3810" spans="1:17" x14ac:dyDescent="0.3">
      <c r="A3810" t="s">
        <v>73</v>
      </c>
      <c r="B3810" t="str">
        <f>"200596"</f>
        <v>200596</v>
      </c>
      <c r="C3810" t="s">
        <v>7956</v>
      </c>
      <c r="E3810">
        <v>113427025.48199999</v>
      </c>
      <c r="F3810">
        <v>84580816.836999997</v>
      </c>
      <c r="G3810">
        <v>44033795.647799999</v>
      </c>
      <c r="H3810">
        <v>46881278.266500004</v>
      </c>
      <c r="I3810">
        <v>32482298.9745</v>
      </c>
      <c r="J3810">
        <v>19370784.463399999</v>
      </c>
      <c r="K3810">
        <v>5988547.7728000004</v>
      </c>
      <c r="L3810">
        <v>6402498.75</v>
      </c>
      <c r="M3810">
        <v>6355425.8788000001</v>
      </c>
      <c r="N3810">
        <v>53836468.536600001</v>
      </c>
      <c r="O3810">
        <v>47862176.012999997</v>
      </c>
      <c r="P3810">
        <v>745</v>
      </c>
      <c r="Q3810" t="s">
        <v>7957</v>
      </c>
    </row>
    <row r="3811" spans="1:17" x14ac:dyDescent="0.3">
      <c r="A3811" t="s">
        <v>73</v>
      </c>
      <c r="B3811" t="str">
        <f>"000615"</f>
        <v>000615</v>
      </c>
      <c r="C3811" t="s">
        <v>7958</v>
      </c>
      <c r="D3811" t="s">
        <v>7959</v>
      </c>
      <c r="E3811">
        <v>113296408</v>
      </c>
      <c r="F3811">
        <v>214515449</v>
      </c>
      <c r="G3811">
        <v>156473009</v>
      </c>
      <c r="H3811">
        <v>165729172</v>
      </c>
      <c r="I3811">
        <v>113949701</v>
      </c>
      <c r="J3811">
        <v>104439017</v>
      </c>
      <c r="K3811">
        <v>49966381</v>
      </c>
      <c r="L3811">
        <v>40237018</v>
      </c>
      <c r="M3811">
        <v>60959605</v>
      </c>
      <c r="N3811">
        <v>61801210</v>
      </c>
      <c r="O3811">
        <v>41890933</v>
      </c>
      <c r="P3811">
        <v>188</v>
      </c>
      <c r="Q3811" t="s">
        <v>7960</v>
      </c>
    </row>
    <row r="3812" spans="1:17" x14ac:dyDescent="0.3">
      <c r="A3812" t="s">
        <v>73</v>
      </c>
      <c r="B3812" t="str">
        <f>"300848"</f>
        <v>300848</v>
      </c>
      <c r="C3812" t="s">
        <v>7961</v>
      </c>
      <c r="D3812" t="s">
        <v>267</v>
      </c>
      <c r="E3812">
        <v>113282871</v>
      </c>
      <c r="F3812">
        <v>77532744</v>
      </c>
      <c r="G3812">
        <v>38722642</v>
      </c>
      <c r="H3812">
        <v>0</v>
      </c>
      <c r="P3812">
        <v>125</v>
      </c>
      <c r="Q3812" t="s">
        <v>7962</v>
      </c>
    </row>
    <row r="3813" spans="1:17" x14ac:dyDescent="0.3">
      <c r="A3813" t="s">
        <v>73</v>
      </c>
      <c r="B3813" t="str">
        <f>"002652"</f>
        <v>002652</v>
      </c>
      <c r="C3813" t="s">
        <v>7963</v>
      </c>
      <c r="D3813" t="s">
        <v>808</v>
      </c>
      <c r="E3813">
        <v>113234318</v>
      </c>
      <c r="F3813">
        <v>193538702</v>
      </c>
      <c r="G3813">
        <v>257451410</v>
      </c>
      <c r="H3813">
        <v>208202017</v>
      </c>
      <c r="I3813">
        <v>253294169</v>
      </c>
      <c r="J3813">
        <v>158461383</v>
      </c>
      <c r="K3813">
        <v>160524337</v>
      </c>
      <c r="L3813">
        <v>106078973</v>
      </c>
      <c r="M3813">
        <v>83180361</v>
      </c>
      <c r="N3813">
        <v>35710822</v>
      </c>
      <c r="O3813">
        <v>-221552</v>
      </c>
      <c r="P3813">
        <v>58</v>
      </c>
      <c r="Q3813" t="s">
        <v>7964</v>
      </c>
    </row>
    <row r="3814" spans="1:17" x14ac:dyDescent="0.3">
      <c r="A3814" t="s">
        <v>73</v>
      </c>
      <c r="B3814" t="str">
        <f>"002548"</f>
        <v>002548</v>
      </c>
      <c r="C3814" t="s">
        <v>7965</v>
      </c>
      <c r="D3814" t="s">
        <v>2130</v>
      </c>
      <c r="E3814">
        <v>113220368</v>
      </c>
      <c r="F3814">
        <v>241421105</v>
      </c>
      <c r="G3814">
        <v>272684861</v>
      </c>
      <c r="H3814">
        <v>383095266</v>
      </c>
      <c r="I3814">
        <v>411199316</v>
      </c>
      <c r="J3814">
        <v>356602132</v>
      </c>
      <c r="K3814">
        <v>288648739</v>
      </c>
      <c r="L3814">
        <v>248689847</v>
      </c>
      <c r="M3814">
        <v>118159563</v>
      </c>
      <c r="N3814">
        <v>50798430</v>
      </c>
      <c r="O3814">
        <v>39444681</v>
      </c>
      <c r="P3814">
        <v>260</v>
      </c>
      <c r="Q3814" t="s">
        <v>7966</v>
      </c>
    </row>
    <row r="3815" spans="1:17" x14ac:dyDescent="0.3">
      <c r="A3815" t="s">
        <v>73</v>
      </c>
      <c r="B3815" t="str">
        <f>"300461"</f>
        <v>300461</v>
      </c>
      <c r="C3815" t="s">
        <v>7967</v>
      </c>
      <c r="D3815" t="s">
        <v>1967</v>
      </c>
      <c r="E3815">
        <v>112984504</v>
      </c>
      <c r="F3815">
        <v>110424714</v>
      </c>
      <c r="G3815">
        <v>61094235</v>
      </c>
      <c r="H3815">
        <v>470516558</v>
      </c>
      <c r="I3815">
        <v>344633016</v>
      </c>
      <c r="J3815">
        <v>279452658</v>
      </c>
      <c r="K3815">
        <v>32694872</v>
      </c>
      <c r="L3815">
        <v>25778360</v>
      </c>
      <c r="M3815">
        <v>0</v>
      </c>
      <c r="P3815">
        <v>153</v>
      </c>
      <c r="Q3815" t="s">
        <v>7968</v>
      </c>
    </row>
    <row r="3816" spans="1:17" x14ac:dyDescent="0.3">
      <c r="A3816" t="s">
        <v>73</v>
      </c>
      <c r="B3816" t="str">
        <f>"002980"</f>
        <v>002980</v>
      </c>
      <c r="C3816" t="s">
        <v>7969</v>
      </c>
      <c r="D3816" t="s">
        <v>1280</v>
      </c>
      <c r="E3816">
        <v>112898278</v>
      </c>
      <c r="F3816">
        <v>92321304</v>
      </c>
      <c r="G3816">
        <v>54974494</v>
      </c>
      <c r="P3816">
        <v>154</v>
      </c>
      <c r="Q3816" t="s">
        <v>7970</v>
      </c>
    </row>
    <row r="3817" spans="1:17" x14ac:dyDescent="0.3">
      <c r="A3817" t="s">
        <v>73</v>
      </c>
      <c r="B3817" t="str">
        <f>"002779"</f>
        <v>002779</v>
      </c>
      <c r="C3817" t="s">
        <v>7971</v>
      </c>
      <c r="D3817" t="s">
        <v>1451</v>
      </c>
      <c r="E3817">
        <v>112873927</v>
      </c>
      <c r="F3817">
        <v>107766290</v>
      </c>
      <c r="G3817">
        <v>77993869</v>
      </c>
      <c r="H3817">
        <v>97994378</v>
      </c>
      <c r="I3817">
        <v>104062936</v>
      </c>
      <c r="J3817">
        <v>117416073</v>
      </c>
      <c r="K3817">
        <v>112187192</v>
      </c>
      <c r="L3817">
        <v>108387088</v>
      </c>
      <c r="M3817">
        <v>0</v>
      </c>
      <c r="P3817">
        <v>54</v>
      </c>
      <c r="Q3817" t="s">
        <v>7972</v>
      </c>
    </row>
    <row r="3818" spans="1:17" x14ac:dyDescent="0.3">
      <c r="A3818" t="s">
        <v>73</v>
      </c>
      <c r="B3818" t="str">
        <f>"300936"</f>
        <v>300936</v>
      </c>
      <c r="C3818" t="s">
        <v>7973</v>
      </c>
      <c r="D3818" t="s">
        <v>418</v>
      </c>
      <c r="E3818">
        <v>112870369</v>
      </c>
      <c r="F3818">
        <v>134856590</v>
      </c>
      <c r="I3818">
        <v>80253567</v>
      </c>
      <c r="P3818">
        <v>54</v>
      </c>
      <c r="Q3818" t="s">
        <v>7974</v>
      </c>
    </row>
    <row r="3819" spans="1:17" x14ac:dyDescent="0.3">
      <c r="A3819" t="s">
        <v>17</v>
      </c>
      <c r="B3819" t="str">
        <f>"600463"</f>
        <v>600463</v>
      </c>
      <c r="C3819" t="s">
        <v>7975</v>
      </c>
      <c r="D3819" t="s">
        <v>61</v>
      </c>
      <c r="E3819">
        <v>112573208</v>
      </c>
      <c r="F3819">
        <v>93449282</v>
      </c>
      <c r="G3819">
        <v>169745582</v>
      </c>
      <c r="H3819">
        <v>57467953</v>
      </c>
      <c r="I3819">
        <v>116608616</v>
      </c>
      <c r="J3819">
        <v>104679958</v>
      </c>
      <c r="K3819">
        <v>145008619</v>
      </c>
      <c r="L3819">
        <v>170698949</v>
      </c>
      <c r="M3819">
        <v>124726361</v>
      </c>
      <c r="N3819">
        <v>205300673</v>
      </c>
      <c r="O3819">
        <v>382282707</v>
      </c>
      <c r="P3819">
        <v>66</v>
      </c>
      <c r="Q3819" t="s">
        <v>7976</v>
      </c>
    </row>
    <row r="3820" spans="1:17" x14ac:dyDescent="0.3">
      <c r="A3820" t="s">
        <v>73</v>
      </c>
      <c r="B3820" t="str">
        <f>"000595"</f>
        <v>000595</v>
      </c>
      <c r="C3820" t="s">
        <v>7977</v>
      </c>
      <c r="D3820" t="s">
        <v>146</v>
      </c>
      <c r="E3820">
        <v>112534086</v>
      </c>
      <c r="F3820">
        <v>116416199</v>
      </c>
      <c r="G3820">
        <v>252125842</v>
      </c>
      <c r="H3820">
        <v>398226443</v>
      </c>
      <c r="I3820">
        <v>611539178</v>
      </c>
      <c r="J3820">
        <v>309867703</v>
      </c>
      <c r="K3820">
        <v>312955675</v>
      </c>
      <c r="L3820">
        <v>329301943</v>
      </c>
      <c r="M3820">
        <v>346319072</v>
      </c>
      <c r="N3820">
        <v>336606729</v>
      </c>
      <c r="O3820">
        <v>338194325</v>
      </c>
      <c r="P3820">
        <v>98</v>
      </c>
      <c r="Q3820" t="s">
        <v>7978</v>
      </c>
    </row>
    <row r="3821" spans="1:17" x14ac:dyDescent="0.3">
      <c r="A3821" t="s">
        <v>73</v>
      </c>
      <c r="B3821" t="str">
        <f>"300837"</f>
        <v>300837</v>
      </c>
      <c r="C3821" t="s">
        <v>7979</v>
      </c>
      <c r="D3821" t="s">
        <v>311</v>
      </c>
      <c r="E3821">
        <v>112522391</v>
      </c>
      <c r="F3821">
        <v>109720894</v>
      </c>
      <c r="G3821">
        <v>86130250</v>
      </c>
      <c r="H3821">
        <v>0</v>
      </c>
      <c r="P3821">
        <v>154</v>
      </c>
      <c r="Q3821" t="s">
        <v>7980</v>
      </c>
    </row>
    <row r="3822" spans="1:17" x14ac:dyDescent="0.3">
      <c r="A3822" t="s">
        <v>73</v>
      </c>
      <c r="B3822" t="str">
        <f>"000593"</f>
        <v>000593</v>
      </c>
      <c r="C3822" t="s">
        <v>7981</v>
      </c>
      <c r="D3822" t="s">
        <v>469</v>
      </c>
      <c r="E3822">
        <v>112430258</v>
      </c>
      <c r="F3822">
        <v>136715093</v>
      </c>
      <c r="G3822">
        <v>163748015</v>
      </c>
      <c r="H3822">
        <v>109249015</v>
      </c>
      <c r="I3822">
        <v>89750727</v>
      </c>
      <c r="J3822">
        <v>109662683</v>
      </c>
      <c r="K3822">
        <v>5064306</v>
      </c>
      <c r="L3822">
        <v>5276204</v>
      </c>
      <c r="M3822">
        <v>4728470</v>
      </c>
      <c r="N3822">
        <v>5694055</v>
      </c>
      <c r="O3822">
        <v>4003281</v>
      </c>
      <c r="P3822">
        <v>80</v>
      </c>
      <c r="Q3822" t="s">
        <v>7982</v>
      </c>
    </row>
    <row r="3823" spans="1:17" x14ac:dyDescent="0.3">
      <c r="A3823" t="s">
        <v>73</v>
      </c>
      <c r="B3823" t="str">
        <f>"002862"</f>
        <v>002862</v>
      </c>
      <c r="C3823" t="s">
        <v>7983</v>
      </c>
      <c r="D3823" t="s">
        <v>6353</v>
      </c>
      <c r="E3823">
        <v>112310671</v>
      </c>
      <c r="F3823">
        <v>96941896</v>
      </c>
      <c r="G3823">
        <v>121953841</v>
      </c>
      <c r="H3823">
        <v>110911176</v>
      </c>
      <c r="I3823">
        <v>99420567</v>
      </c>
      <c r="J3823">
        <v>100759692</v>
      </c>
      <c r="P3823">
        <v>66</v>
      </c>
      <c r="Q3823" t="s">
        <v>7984</v>
      </c>
    </row>
    <row r="3824" spans="1:17" x14ac:dyDescent="0.3">
      <c r="A3824" t="s">
        <v>17</v>
      </c>
      <c r="B3824" t="str">
        <f>"605177"</f>
        <v>605177</v>
      </c>
      <c r="C3824" t="s">
        <v>7985</v>
      </c>
      <c r="D3824" t="s">
        <v>908</v>
      </c>
      <c r="E3824">
        <v>112125834</v>
      </c>
      <c r="F3824">
        <v>78605479</v>
      </c>
      <c r="P3824">
        <v>38</v>
      </c>
      <c r="Q3824" t="s">
        <v>7986</v>
      </c>
    </row>
    <row r="3825" spans="1:17" x14ac:dyDescent="0.3">
      <c r="A3825" t="s">
        <v>17</v>
      </c>
      <c r="B3825" t="str">
        <f>"600338"</f>
        <v>600338</v>
      </c>
      <c r="C3825" t="s">
        <v>7987</v>
      </c>
      <c r="D3825" t="s">
        <v>3053</v>
      </c>
      <c r="E3825">
        <v>112107240</v>
      </c>
      <c r="F3825">
        <v>83297627</v>
      </c>
      <c r="G3825">
        <v>170381708</v>
      </c>
      <c r="H3825">
        <v>266975652</v>
      </c>
      <c r="I3825">
        <v>142182821</v>
      </c>
      <c r="J3825">
        <v>79578114</v>
      </c>
      <c r="K3825">
        <v>192010000</v>
      </c>
      <c r="L3825">
        <v>77164983</v>
      </c>
      <c r="M3825">
        <v>3847249</v>
      </c>
      <c r="N3825">
        <v>4976860</v>
      </c>
      <c r="O3825">
        <v>3445559</v>
      </c>
      <c r="P3825">
        <v>4533</v>
      </c>
      <c r="Q3825" t="s">
        <v>7988</v>
      </c>
    </row>
    <row r="3826" spans="1:17" x14ac:dyDescent="0.3">
      <c r="A3826" t="s">
        <v>73</v>
      </c>
      <c r="B3826" t="str">
        <f>"000534"</f>
        <v>000534</v>
      </c>
      <c r="C3826" t="s">
        <v>7989</v>
      </c>
      <c r="D3826" t="s">
        <v>1505</v>
      </c>
      <c r="E3826">
        <v>111991658</v>
      </c>
      <c r="F3826">
        <v>136910071</v>
      </c>
      <c r="G3826">
        <v>130222981</v>
      </c>
      <c r="H3826">
        <v>93416651</v>
      </c>
      <c r="I3826">
        <v>13610891</v>
      </c>
      <c r="J3826">
        <v>1336107</v>
      </c>
      <c r="K3826">
        <v>9072097</v>
      </c>
      <c r="L3826">
        <v>20782127</v>
      </c>
      <c r="M3826">
        <v>97111270</v>
      </c>
      <c r="N3826">
        <v>197886033</v>
      </c>
      <c r="O3826">
        <v>33840463</v>
      </c>
      <c r="P3826">
        <v>120</v>
      </c>
      <c r="Q3826" t="s">
        <v>7990</v>
      </c>
    </row>
    <row r="3827" spans="1:17" x14ac:dyDescent="0.3">
      <c r="A3827" t="s">
        <v>17</v>
      </c>
      <c r="B3827" t="str">
        <f>"603027"</f>
        <v>603027</v>
      </c>
      <c r="C3827" t="s">
        <v>7991</v>
      </c>
      <c r="D3827" t="s">
        <v>1851</v>
      </c>
      <c r="E3827">
        <v>111881914</v>
      </c>
      <c r="F3827">
        <v>131411457</v>
      </c>
      <c r="G3827">
        <v>140151377</v>
      </c>
      <c r="H3827">
        <v>85335683</v>
      </c>
      <c r="I3827">
        <v>58391526</v>
      </c>
      <c r="J3827">
        <v>60450666</v>
      </c>
      <c r="K3827">
        <v>39560422</v>
      </c>
      <c r="L3827">
        <v>0</v>
      </c>
      <c r="P3827">
        <v>1883</v>
      </c>
      <c r="Q3827" t="s">
        <v>7992</v>
      </c>
    </row>
    <row r="3828" spans="1:17" x14ac:dyDescent="0.3">
      <c r="A3828" t="s">
        <v>73</v>
      </c>
      <c r="B3828" t="str">
        <f>"300573"</f>
        <v>300573</v>
      </c>
      <c r="C3828" t="s">
        <v>7993</v>
      </c>
      <c r="D3828" t="s">
        <v>348</v>
      </c>
      <c r="E3828">
        <v>111705036</v>
      </c>
      <c r="F3828">
        <v>99253816</v>
      </c>
      <c r="G3828">
        <v>50673091</v>
      </c>
      <c r="H3828">
        <v>72968533</v>
      </c>
      <c r="I3828">
        <v>68988132</v>
      </c>
      <c r="J3828">
        <v>66594937</v>
      </c>
      <c r="K3828">
        <v>0</v>
      </c>
      <c r="P3828">
        <v>315</v>
      </c>
      <c r="Q3828" t="s">
        <v>7994</v>
      </c>
    </row>
    <row r="3829" spans="1:17" x14ac:dyDescent="0.3">
      <c r="A3829" t="s">
        <v>73</v>
      </c>
      <c r="B3829" t="str">
        <f>"300935"</f>
        <v>300935</v>
      </c>
      <c r="C3829" t="s">
        <v>7995</v>
      </c>
      <c r="D3829" t="s">
        <v>795</v>
      </c>
      <c r="E3829">
        <v>111586407</v>
      </c>
      <c r="F3829">
        <v>46549062</v>
      </c>
      <c r="P3829">
        <v>55</v>
      </c>
      <c r="Q3829" t="s">
        <v>7996</v>
      </c>
    </row>
    <row r="3830" spans="1:17" x14ac:dyDescent="0.3">
      <c r="A3830" t="s">
        <v>17</v>
      </c>
      <c r="B3830" t="str">
        <f>"603718"</f>
        <v>603718</v>
      </c>
      <c r="C3830" t="s">
        <v>7997</v>
      </c>
      <c r="D3830" t="s">
        <v>2849</v>
      </c>
      <c r="E3830">
        <v>111571027</v>
      </c>
      <c r="F3830">
        <v>91997158</v>
      </c>
      <c r="G3830">
        <v>84190299</v>
      </c>
      <c r="H3830">
        <v>83091819</v>
      </c>
      <c r="I3830">
        <v>35990434</v>
      </c>
      <c r="J3830">
        <v>27639680</v>
      </c>
      <c r="K3830">
        <v>28785086</v>
      </c>
      <c r="L3830">
        <v>32163852</v>
      </c>
      <c r="M3830">
        <v>0</v>
      </c>
      <c r="P3830">
        <v>166</v>
      </c>
      <c r="Q3830" t="s">
        <v>7998</v>
      </c>
    </row>
    <row r="3831" spans="1:17" x14ac:dyDescent="0.3">
      <c r="A3831" t="s">
        <v>73</v>
      </c>
      <c r="B3831" t="str">
        <f>"300211"</f>
        <v>300211</v>
      </c>
      <c r="C3831" t="s">
        <v>7999</v>
      </c>
      <c r="D3831" t="s">
        <v>853</v>
      </c>
      <c r="E3831">
        <v>111538753</v>
      </c>
      <c r="F3831">
        <v>33584908</v>
      </c>
      <c r="G3831">
        <v>47911893</v>
      </c>
      <c r="H3831">
        <v>85523923</v>
      </c>
      <c r="I3831">
        <v>141572023</v>
      </c>
      <c r="J3831">
        <v>131768310</v>
      </c>
      <c r="K3831">
        <v>147993476</v>
      </c>
      <c r="L3831">
        <v>144408688</v>
      </c>
      <c r="M3831">
        <v>140582392</v>
      </c>
      <c r="N3831">
        <v>129662849</v>
      </c>
      <c r="O3831">
        <v>121449667</v>
      </c>
      <c r="P3831">
        <v>63</v>
      </c>
      <c r="Q3831" t="s">
        <v>8000</v>
      </c>
    </row>
    <row r="3832" spans="1:17" x14ac:dyDescent="0.3">
      <c r="A3832" t="s">
        <v>73</v>
      </c>
      <c r="B3832" t="str">
        <f>"300590"</f>
        <v>300590</v>
      </c>
      <c r="C3832" t="s">
        <v>8001</v>
      </c>
      <c r="D3832" t="s">
        <v>332</v>
      </c>
      <c r="E3832">
        <v>111409136</v>
      </c>
      <c r="F3832">
        <v>97414023</v>
      </c>
      <c r="G3832">
        <v>89059320</v>
      </c>
      <c r="H3832">
        <v>76617631</v>
      </c>
      <c r="I3832">
        <v>35044110</v>
      </c>
      <c r="J3832">
        <v>52169826</v>
      </c>
      <c r="K3832">
        <v>0</v>
      </c>
      <c r="P3832">
        <v>410</v>
      </c>
      <c r="Q3832" t="s">
        <v>8002</v>
      </c>
    </row>
    <row r="3833" spans="1:17" x14ac:dyDescent="0.3">
      <c r="A3833" t="s">
        <v>17</v>
      </c>
      <c r="B3833" t="str">
        <f>"688665"</f>
        <v>688665</v>
      </c>
      <c r="C3833" t="s">
        <v>8003</v>
      </c>
      <c r="D3833" t="s">
        <v>2280</v>
      </c>
      <c r="E3833">
        <v>111403153</v>
      </c>
      <c r="F3833">
        <v>79653515</v>
      </c>
      <c r="P3833">
        <v>63</v>
      </c>
      <c r="Q3833" t="s">
        <v>8004</v>
      </c>
    </row>
    <row r="3834" spans="1:17" x14ac:dyDescent="0.3">
      <c r="A3834" t="s">
        <v>17</v>
      </c>
      <c r="B3834" t="str">
        <f>"688551"</f>
        <v>688551</v>
      </c>
      <c r="C3834" t="s">
        <v>8005</v>
      </c>
      <c r="D3834" t="s">
        <v>747</v>
      </c>
      <c r="E3834">
        <v>111393864</v>
      </c>
      <c r="F3834">
        <v>82507445</v>
      </c>
      <c r="G3834">
        <v>0</v>
      </c>
      <c r="P3834">
        <v>39</v>
      </c>
      <c r="Q3834" t="s">
        <v>8006</v>
      </c>
    </row>
    <row r="3835" spans="1:17" x14ac:dyDescent="0.3">
      <c r="A3835" t="s">
        <v>73</v>
      </c>
      <c r="B3835" t="str">
        <f>"002357"</f>
        <v>002357</v>
      </c>
      <c r="C3835" t="s">
        <v>8007</v>
      </c>
      <c r="D3835" t="s">
        <v>4964</v>
      </c>
      <c r="E3835">
        <v>111391550</v>
      </c>
      <c r="F3835">
        <v>87557185</v>
      </c>
      <c r="G3835">
        <v>59050740</v>
      </c>
      <c r="H3835">
        <v>81107371</v>
      </c>
      <c r="I3835">
        <v>86226207</v>
      </c>
      <c r="J3835">
        <v>86741018</v>
      </c>
      <c r="K3835">
        <v>82982177</v>
      </c>
      <c r="L3835">
        <v>10288962</v>
      </c>
      <c r="M3835">
        <v>5653146</v>
      </c>
      <c r="N3835">
        <v>5431702</v>
      </c>
      <c r="O3835">
        <v>6995241</v>
      </c>
      <c r="P3835">
        <v>102</v>
      </c>
      <c r="Q3835" t="s">
        <v>8008</v>
      </c>
    </row>
    <row r="3836" spans="1:17" x14ac:dyDescent="0.3">
      <c r="A3836" t="s">
        <v>73</v>
      </c>
      <c r="B3836" t="str">
        <f>"001289"</f>
        <v>001289</v>
      </c>
      <c r="C3836" t="s">
        <v>8009</v>
      </c>
      <c r="E3836">
        <v>111208947</v>
      </c>
      <c r="P3836">
        <v>28</v>
      </c>
      <c r="Q3836" t="s">
        <v>8010</v>
      </c>
    </row>
    <row r="3837" spans="1:17" x14ac:dyDescent="0.3">
      <c r="A3837" t="s">
        <v>17</v>
      </c>
      <c r="B3837" t="str">
        <f>"600882"</f>
        <v>600882</v>
      </c>
      <c r="C3837" t="s">
        <v>8011</v>
      </c>
      <c r="D3837" t="s">
        <v>1027</v>
      </c>
      <c r="E3837">
        <v>111198480</v>
      </c>
      <c r="F3837">
        <v>78533612</v>
      </c>
      <c r="G3837">
        <v>169591547</v>
      </c>
      <c r="H3837">
        <v>170028913</v>
      </c>
      <c r="I3837">
        <v>98551364</v>
      </c>
      <c r="J3837">
        <v>79096243</v>
      </c>
      <c r="K3837">
        <v>82937536</v>
      </c>
      <c r="L3837">
        <v>115985036</v>
      </c>
      <c r="M3837">
        <v>162928100</v>
      </c>
      <c r="N3837">
        <v>81048529</v>
      </c>
      <c r="O3837">
        <v>67286044</v>
      </c>
      <c r="P3837">
        <v>515</v>
      </c>
      <c r="Q3837" t="s">
        <v>8012</v>
      </c>
    </row>
    <row r="3838" spans="1:17" x14ac:dyDescent="0.3">
      <c r="A3838" t="s">
        <v>73</v>
      </c>
      <c r="B3838" t="str">
        <f>"000517"</f>
        <v>000517</v>
      </c>
      <c r="C3838" t="s">
        <v>8013</v>
      </c>
      <c r="D3838" t="s">
        <v>27</v>
      </c>
      <c r="E3838">
        <v>111166496</v>
      </c>
      <c r="F3838">
        <v>128322776</v>
      </c>
      <c r="G3838">
        <v>52154670</v>
      </c>
      <c r="H3838">
        <v>73318130</v>
      </c>
      <c r="I3838">
        <v>30844390</v>
      </c>
      <c r="J3838">
        <v>46482174</v>
      </c>
      <c r="K3838">
        <v>49605767</v>
      </c>
      <c r="L3838">
        <v>33216003</v>
      </c>
      <c r="M3838">
        <v>14281993</v>
      </c>
      <c r="N3838">
        <v>16092306</v>
      </c>
      <c r="O3838">
        <v>39156469</v>
      </c>
      <c r="P3838">
        <v>312</v>
      </c>
      <c r="Q3838" t="s">
        <v>8014</v>
      </c>
    </row>
    <row r="3839" spans="1:17" x14ac:dyDescent="0.3">
      <c r="A3839" t="s">
        <v>73</v>
      </c>
      <c r="B3839" t="str">
        <f>"300821"</f>
        <v>300821</v>
      </c>
      <c r="C3839" t="s">
        <v>8015</v>
      </c>
      <c r="D3839" t="s">
        <v>1309</v>
      </c>
      <c r="E3839">
        <v>110808937</v>
      </c>
      <c r="F3839">
        <v>79378791</v>
      </c>
      <c r="G3839">
        <v>72737999</v>
      </c>
      <c r="H3839">
        <v>0</v>
      </c>
      <c r="P3839">
        <v>159</v>
      </c>
      <c r="Q3839" t="s">
        <v>8016</v>
      </c>
    </row>
    <row r="3840" spans="1:17" x14ac:dyDescent="0.3">
      <c r="A3840" t="s">
        <v>73</v>
      </c>
      <c r="B3840" t="str">
        <f>"300809"</f>
        <v>300809</v>
      </c>
      <c r="C3840" t="s">
        <v>8017</v>
      </c>
      <c r="D3840" t="s">
        <v>2332</v>
      </c>
      <c r="E3840">
        <v>110572366</v>
      </c>
      <c r="F3840">
        <v>103934882</v>
      </c>
      <c r="G3840">
        <v>64919203</v>
      </c>
      <c r="H3840">
        <v>0</v>
      </c>
      <c r="P3840">
        <v>110</v>
      </c>
      <c r="Q3840" t="s">
        <v>8018</v>
      </c>
    </row>
    <row r="3841" spans="1:17" x14ac:dyDescent="0.3">
      <c r="A3841" t="s">
        <v>73</v>
      </c>
      <c r="B3841" t="str">
        <f>"000955"</f>
        <v>000955</v>
      </c>
      <c r="C3841" t="s">
        <v>8019</v>
      </c>
      <c r="D3841" t="s">
        <v>3204</v>
      </c>
      <c r="E3841">
        <v>110473248</v>
      </c>
      <c r="F3841">
        <v>123348999</v>
      </c>
      <c r="G3841">
        <v>128023474</v>
      </c>
      <c r="H3841">
        <v>171668036</v>
      </c>
      <c r="I3841">
        <v>94602073</v>
      </c>
      <c r="J3841">
        <v>84882850</v>
      </c>
      <c r="K3841">
        <v>47946002</v>
      </c>
      <c r="L3841">
        <v>23146885</v>
      </c>
      <c r="M3841">
        <v>28258542</v>
      </c>
      <c r="N3841">
        <v>22902727</v>
      </c>
      <c r="O3841">
        <v>23285366</v>
      </c>
      <c r="P3841">
        <v>241</v>
      </c>
      <c r="Q3841" t="s">
        <v>8020</v>
      </c>
    </row>
    <row r="3842" spans="1:17" x14ac:dyDescent="0.3">
      <c r="A3842" t="s">
        <v>73</v>
      </c>
      <c r="B3842" t="str">
        <f>"300016"</f>
        <v>300016</v>
      </c>
      <c r="C3842" t="s">
        <v>8021</v>
      </c>
      <c r="D3842" t="s">
        <v>348</v>
      </c>
      <c r="E3842">
        <v>110453165</v>
      </c>
      <c r="F3842">
        <v>181564191</v>
      </c>
      <c r="G3842">
        <v>102770823</v>
      </c>
      <c r="H3842">
        <v>131853094</v>
      </c>
      <c r="I3842">
        <v>128445608</v>
      </c>
      <c r="J3842">
        <v>126326346</v>
      </c>
      <c r="K3842">
        <v>164608154</v>
      </c>
      <c r="L3842">
        <v>186770484</v>
      </c>
      <c r="M3842">
        <v>133197677</v>
      </c>
      <c r="N3842">
        <v>89537202</v>
      </c>
      <c r="O3842">
        <v>62518229</v>
      </c>
      <c r="P3842">
        <v>305</v>
      </c>
      <c r="Q3842" t="s">
        <v>8022</v>
      </c>
    </row>
    <row r="3843" spans="1:17" x14ac:dyDescent="0.3">
      <c r="A3843" t="s">
        <v>17</v>
      </c>
      <c r="B3843" t="str">
        <f>"605599"</f>
        <v>605599</v>
      </c>
      <c r="C3843" t="s">
        <v>8023</v>
      </c>
      <c r="D3843" t="s">
        <v>1260</v>
      </c>
      <c r="E3843">
        <v>110365395</v>
      </c>
      <c r="P3843">
        <v>21</v>
      </c>
      <c r="Q3843" t="s">
        <v>8024</v>
      </c>
    </row>
    <row r="3844" spans="1:17" x14ac:dyDescent="0.3">
      <c r="A3844" t="s">
        <v>17</v>
      </c>
      <c r="B3844" t="str">
        <f>"600381"</f>
        <v>600381</v>
      </c>
      <c r="C3844" t="s">
        <v>8025</v>
      </c>
      <c r="D3844" t="s">
        <v>4140</v>
      </c>
      <c r="E3844">
        <v>109883181</v>
      </c>
      <c r="F3844">
        <v>165912116</v>
      </c>
      <c r="G3844">
        <v>209425220</v>
      </c>
      <c r="H3844">
        <v>194404110</v>
      </c>
      <c r="I3844">
        <v>128835691</v>
      </c>
      <c r="J3844">
        <v>73800910</v>
      </c>
      <c r="K3844">
        <v>63389205</v>
      </c>
      <c r="L3844">
        <v>40666467</v>
      </c>
      <c r="M3844">
        <v>1119889</v>
      </c>
      <c r="N3844">
        <v>46355860</v>
      </c>
      <c r="O3844">
        <v>73914644</v>
      </c>
      <c r="P3844">
        <v>131</v>
      </c>
      <c r="Q3844" t="s">
        <v>8026</v>
      </c>
    </row>
    <row r="3845" spans="1:17" x14ac:dyDescent="0.3">
      <c r="A3845" t="s">
        <v>73</v>
      </c>
      <c r="B3845" t="str">
        <f>"301067"</f>
        <v>301067</v>
      </c>
      <c r="C3845" t="s">
        <v>8027</v>
      </c>
      <c r="D3845" t="s">
        <v>42</v>
      </c>
      <c r="E3845">
        <v>109870362</v>
      </c>
      <c r="P3845">
        <v>18</v>
      </c>
      <c r="Q3845" t="s">
        <v>8028</v>
      </c>
    </row>
    <row r="3846" spans="1:17" x14ac:dyDescent="0.3">
      <c r="A3846" t="s">
        <v>17</v>
      </c>
      <c r="B3846" t="str">
        <f>"600109"</f>
        <v>600109</v>
      </c>
      <c r="C3846" t="s">
        <v>8029</v>
      </c>
      <c r="D3846" t="s">
        <v>53</v>
      </c>
      <c r="E3846">
        <v>109627551</v>
      </c>
      <c r="F3846">
        <v>92925293</v>
      </c>
      <c r="G3846">
        <v>0</v>
      </c>
      <c r="H3846">
        <v>53648308</v>
      </c>
      <c r="I3846">
        <v>55350421</v>
      </c>
      <c r="J3846">
        <v>43799107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1128</v>
      </c>
      <c r="Q3846" t="s">
        <v>8030</v>
      </c>
    </row>
    <row r="3847" spans="1:17" x14ac:dyDescent="0.3">
      <c r="A3847" t="s">
        <v>17</v>
      </c>
      <c r="B3847" t="str">
        <f>"688662"</f>
        <v>688662</v>
      </c>
      <c r="C3847" t="s">
        <v>8031</v>
      </c>
      <c r="D3847" t="s">
        <v>651</v>
      </c>
      <c r="E3847">
        <v>109393469</v>
      </c>
      <c r="F3847">
        <v>120318848</v>
      </c>
      <c r="P3847">
        <v>23</v>
      </c>
      <c r="Q3847" t="s">
        <v>8032</v>
      </c>
    </row>
    <row r="3848" spans="1:17" x14ac:dyDescent="0.3">
      <c r="A3848" t="s">
        <v>73</v>
      </c>
      <c r="B3848" t="str">
        <f>"300899"</f>
        <v>300899</v>
      </c>
      <c r="C3848" t="s">
        <v>8033</v>
      </c>
      <c r="D3848" t="s">
        <v>308</v>
      </c>
      <c r="E3848">
        <v>109285502</v>
      </c>
      <c r="F3848">
        <v>109064202</v>
      </c>
      <c r="P3848">
        <v>58</v>
      </c>
      <c r="Q3848" t="s">
        <v>8034</v>
      </c>
    </row>
    <row r="3849" spans="1:17" x14ac:dyDescent="0.3">
      <c r="A3849" t="s">
        <v>73</v>
      </c>
      <c r="B3849" t="str">
        <f>"300264"</f>
        <v>300264</v>
      </c>
      <c r="C3849" t="s">
        <v>8035</v>
      </c>
      <c r="D3849" t="s">
        <v>302</v>
      </c>
      <c r="E3849">
        <v>109112189</v>
      </c>
      <c r="F3849">
        <v>129868026</v>
      </c>
      <c r="G3849">
        <v>221439110</v>
      </c>
      <c r="H3849">
        <v>356282165</v>
      </c>
      <c r="I3849">
        <v>364683942</v>
      </c>
      <c r="J3849">
        <v>223655029</v>
      </c>
      <c r="K3849">
        <v>138726001</v>
      </c>
      <c r="L3849">
        <v>128412956</v>
      </c>
      <c r="M3849">
        <v>111670850</v>
      </c>
      <c r="N3849">
        <v>169675333</v>
      </c>
      <c r="O3849">
        <v>136323904</v>
      </c>
      <c r="P3849">
        <v>132</v>
      </c>
      <c r="Q3849" t="s">
        <v>8036</v>
      </c>
    </row>
    <row r="3850" spans="1:17" x14ac:dyDescent="0.3">
      <c r="A3850" t="s">
        <v>73</v>
      </c>
      <c r="B3850" t="str">
        <f>"002577"</f>
        <v>002577</v>
      </c>
      <c r="C3850" t="s">
        <v>8037</v>
      </c>
      <c r="D3850" t="s">
        <v>158</v>
      </c>
      <c r="E3850">
        <v>108379459</v>
      </c>
      <c r="F3850">
        <v>115351496</v>
      </c>
      <c r="G3850">
        <v>110889843</v>
      </c>
      <c r="H3850">
        <v>126809032</v>
      </c>
      <c r="I3850">
        <v>99903313</v>
      </c>
      <c r="J3850">
        <v>132090977</v>
      </c>
      <c r="K3850">
        <v>63874918</v>
      </c>
      <c r="L3850">
        <v>84114012</v>
      </c>
      <c r="M3850">
        <v>94775938</v>
      </c>
      <c r="N3850">
        <v>58370641</v>
      </c>
      <c r="O3850">
        <v>31747452</v>
      </c>
      <c r="P3850">
        <v>83</v>
      </c>
      <c r="Q3850" t="s">
        <v>8038</v>
      </c>
    </row>
    <row r="3851" spans="1:17" x14ac:dyDescent="0.3">
      <c r="A3851" t="s">
        <v>73</v>
      </c>
      <c r="B3851" t="str">
        <f>"300629"</f>
        <v>300629</v>
      </c>
      <c r="C3851" t="s">
        <v>8039</v>
      </c>
      <c r="D3851" t="s">
        <v>3119</v>
      </c>
      <c r="E3851">
        <v>108029559</v>
      </c>
      <c r="F3851">
        <v>52051291</v>
      </c>
      <c r="G3851">
        <v>213276304</v>
      </c>
      <c r="H3851">
        <v>171498094</v>
      </c>
      <c r="I3851">
        <v>147145385</v>
      </c>
      <c r="J3851">
        <v>142009994</v>
      </c>
      <c r="K3851">
        <v>0</v>
      </c>
      <c r="P3851">
        <v>65</v>
      </c>
      <c r="Q3851" t="s">
        <v>8040</v>
      </c>
    </row>
    <row r="3852" spans="1:17" x14ac:dyDescent="0.3">
      <c r="A3852" t="s">
        <v>73</v>
      </c>
      <c r="B3852" t="str">
        <f>"002926"</f>
        <v>002926</v>
      </c>
      <c r="C3852" t="s">
        <v>8041</v>
      </c>
      <c r="D3852" t="s">
        <v>53</v>
      </c>
      <c r="E3852">
        <v>107964282</v>
      </c>
      <c r="F3852">
        <v>62436451</v>
      </c>
      <c r="G3852">
        <v>44778442</v>
      </c>
      <c r="H3852">
        <v>10876564</v>
      </c>
      <c r="I3852">
        <v>23380485</v>
      </c>
      <c r="J3852">
        <v>0</v>
      </c>
      <c r="P3852">
        <v>921</v>
      </c>
      <c r="Q3852" t="s">
        <v>8042</v>
      </c>
    </row>
    <row r="3853" spans="1:17" x14ac:dyDescent="0.3">
      <c r="A3853" t="s">
        <v>73</v>
      </c>
      <c r="B3853" t="str">
        <f>"300215"</f>
        <v>300215</v>
      </c>
      <c r="C3853" t="s">
        <v>8043</v>
      </c>
      <c r="D3853" t="s">
        <v>2608</v>
      </c>
      <c r="E3853">
        <v>107862850</v>
      </c>
      <c r="F3853">
        <v>93696998</v>
      </c>
      <c r="G3853">
        <v>90782784</v>
      </c>
      <c r="H3853">
        <v>45940723</v>
      </c>
      <c r="I3853">
        <v>31744733</v>
      </c>
      <c r="J3853">
        <v>18224841</v>
      </c>
      <c r="K3853">
        <v>12328332</v>
      </c>
      <c r="L3853">
        <v>11037608</v>
      </c>
      <c r="M3853">
        <v>13882596</v>
      </c>
      <c r="N3853">
        <v>6563424</v>
      </c>
      <c r="O3853">
        <v>1203521</v>
      </c>
      <c r="P3853">
        <v>178</v>
      </c>
      <c r="Q3853" t="s">
        <v>8044</v>
      </c>
    </row>
    <row r="3854" spans="1:17" x14ac:dyDescent="0.3">
      <c r="A3854" t="s">
        <v>73</v>
      </c>
      <c r="B3854" t="str">
        <f>"300920"</f>
        <v>300920</v>
      </c>
      <c r="C3854" t="s">
        <v>8045</v>
      </c>
      <c r="D3854" t="s">
        <v>3079</v>
      </c>
      <c r="E3854">
        <v>107162532</v>
      </c>
      <c r="F3854">
        <v>88738411</v>
      </c>
      <c r="P3854">
        <v>46</v>
      </c>
      <c r="Q3854" t="s">
        <v>8046</v>
      </c>
    </row>
    <row r="3855" spans="1:17" x14ac:dyDescent="0.3">
      <c r="A3855" t="s">
        <v>73</v>
      </c>
      <c r="B3855" t="str">
        <f>"002181"</f>
        <v>002181</v>
      </c>
      <c r="C3855" t="s">
        <v>8047</v>
      </c>
      <c r="D3855" t="s">
        <v>1921</v>
      </c>
      <c r="E3855">
        <v>107142509</v>
      </c>
      <c r="F3855">
        <v>109235289</v>
      </c>
      <c r="G3855">
        <v>165760811</v>
      </c>
      <c r="H3855">
        <v>197176305</v>
      </c>
      <c r="I3855">
        <v>244320166</v>
      </c>
      <c r="J3855">
        <v>275720516</v>
      </c>
      <c r="K3855">
        <v>500070403</v>
      </c>
      <c r="L3855">
        <v>780776364</v>
      </c>
      <c r="M3855">
        <v>340876304</v>
      </c>
      <c r="N3855">
        <v>304609065</v>
      </c>
      <c r="O3855">
        <v>137370890</v>
      </c>
      <c r="P3855">
        <v>107</v>
      </c>
      <c r="Q3855" t="s">
        <v>8048</v>
      </c>
    </row>
    <row r="3856" spans="1:17" x14ac:dyDescent="0.3">
      <c r="A3856" t="s">
        <v>73</v>
      </c>
      <c r="B3856" t="str">
        <f>"300452"</f>
        <v>300452</v>
      </c>
      <c r="C3856" t="s">
        <v>8049</v>
      </c>
      <c r="D3856" t="s">
        <v>908</v>
      </c>
      <c r="E3856">
        <v>107044971</v>
      </c>
      <c r="F3856">
        <v>89777820</v>
      </c>
      <c r="G3856">
        <v>78739080</v>
      </c>
      <c r="H3856">
        <v>68732636</v>
      </c>
      <c r="I3856">
        <v>64469143</v>
      </c>
      <c r="J3856">
        <v>42102819</v>
      </c>
      <c r="K3856">
        <v>39724026</v>
      </c>
      <c r="L3856">
        <v>0</v>
      </c>
      <c r="M3856">
        <v>0</v>
      </c>
      <c r="P3856">
        <v>300</v>
      </c>
      <c r="Q3856" t="s">
        <v>8050</v>
      </c>
    </row>
    <row r="3857" spans="1:17" x14ac:dyDescent="0.3">
      <c r="A3857" t="s">
        <v>73</v>
      </c>
      <c r="B3857" t="str">
        <f>"300453"</f>
        <v>300453</v>
      </c>
      <c r="C3857" t="s">
        <v>8051</v>
      </c>
      <c r="D3857" t="s">
        <v>1523</v>
      </c>
      <c r="E3857">
        <v>106982561</v>
      </c>
      <c r="F3857">
        <v>100497224</v>
      </c>
      <c r="G3857">
        <v>120285036</v>
      </c>
      <c r="H3857">
        <v>91831850</v>
      </c>
      <c r="I3857">
        <v>83640980</v>
      </c>
      <c r="J3857">
        <v>74155265</v>
      </c>
      <c r="K3857">
        <v>84554243</v>
      </c>
      <c r="L3857">
        <v>0</v>
      </c>
      <c r="M3857">
        <v>0</v>
      </c>
      <c r="P3857">
        <v>226</v>
      </c>
      <c r="Q3857" t="s">
        <v>8052</v>
      </c>
    </row>
    <row r="3858" spans="1:17" x14ac:dyDescent="0.3">
      <c r="A3858" t="s">
        <v>17</v>
      </c>
      <c r="B3858" t="str">
        <f>"603960"</f>
        <v>603960</v>
      </c>
      <c r="C3858" t="s">
        <v>8053</v>
      </c>
      <c r="D3858" t="s">
        <v>1967</v>
      </c>
      <c r="E3858">
        <v>106883555</v>
      </c>
      <c r="F3858">
        <v>117256803</v>
      </c>
      <c r="G3858">
        <v>123264957</v>
      </c>
      <c r="H3858">
        <v>188122350</v>
      </c>
      <c r="I3858">
        <v>91123926</v>
      </c>
      <c r="J3858">
        <v>40350706</v>
      </c>
      <c r="P3858">
        <v>383</v>
      </c>
      <c r="Q3858" t="s">
        <v>8054</v>
      </c>
    </row>
    <row r="3859" spans="1:17" x14ac:dyDescent="0.3">
      <c r="A3859" t="s">
        <v>17</v>
      </c>
      <c r="B3859" t="str">
        <f>"688395"</f>
        <v>688395</v>
      </c>
      <c r="C3859" t="s">
        <v>8055</v>
      </c>
      <c r="D3859" t="s">
        <v>626</v>
      </c>
      <c r="E3859">
        <v>106805064</v>
      </c>
      <c r="F3859">
        <v>95126047</v>
      </c>
      <c r="P3859">
        <v>36</v>
      </c>
      <c r="Q3859" t="s">
        <v>8056</v>
      </c>
    </row>
    <row r="3860" spans="1:17" x14ac:dyDescent="0.3">
      <c r="A3860" t="s">
        <v>17</v>
      </c>
      <c r="B3860" t="str">
        <f>"603213"</f>
        <v>603213</v>
      </c>
      <c r="C3860" t="s">
        <v>8057</v>
      </c>
      <c r="D3860" t="s">
        <v>641</v>
      </c>
      <c r="E3860">
        <v>106774636</v>
      </c>
      <c r="G3860">
        <v>56238378</v>
      </c>
      <c r="P3860">
        <v>32</v>
      </c>
      <c r="Q3860" t="s">
        <v>8058</v>
      </c>
    </row>
    <row r="3861" spans="1:17" x14ac:dyDescent="0.3">
      <c r="A3861" t="s">
        <v>17</v>
      </c>
      <c r="B3861" t="str">
        <f>"603949"</f>
        <v>603949</v>
      </c>
      <c r="C3861" t="s">
        <v>8059</v>
      </c>
      <c r="D3861" t="s">
        <v>122</v>
      </c>
      <c r="E3861">
        <v>106648207</v>
      </c>
      <c r="F3861">
        <v>149185003</v>
      </c>
      <c r="G3861">
        <v>136630119</v>
      </c>
      <c r="P3861">
        <v>158</v>
      </c>
      <c r="Q3861" t="s">
        <v>8060</v>
      </c>
    </row>
    <row r="3862" spans="1:17" x14ac:dyDescent="0.3">
      <c r="A3862" t="s">
        <v>17</v>
      </c>
      <c r="B3862" t="str">
        <f>"603477"</f>
        <v>603477</v>
      </c>
      <c r="C3862" t="s">
        <v>8061</v>
      </c>
      <c r="D3862" t="s">
        <v>4907</v>
      </c>
      <c r="E3862">
        <v>106517503</v>
      </c>
      <c r="F3862">
        <v>183310186</v>
      </c>
      <c r="G3862">
        <v>128358903</v>
      </c>
      <c r="H3862">
        <v>147699275</v>
      </c>
      <c r="I3862">
        <v>132875957</v>
      </c>
      <c r="P3862">
        <v>134</v>
      </c>
      <c r="Q3862" t="s">
        <v>8062</v>
      </c>
    </row>
    <row r="3863" spans="1:17" x14ac:dyDescent="0.3">
      <c r="A3863" t="s">
        <v>73</v>
      </c>
      <c r="B3863" t="str">
        <f>"300042"</f>
        <v>300042</v>
      </c>
      <c r="C3863" t="s">
        <v>8063</v>
      </c>
      <c r="D3863" t="s">
        <v>158</v>
      </c>
      <c r="E3863">
        <v>106425413</v>
      </c>
      <c r="F3863">
        <v>135815830</v>
      </c>
      <c r="G3863">
        <v>103164469</v>
      </c>
      <c r="H3863">
        <v>71684110</v>
      </c>
      <c r="I3863">
        <v>67321699</v>
      </c>
      <c r="J3863">
        <v>43534060</v>
      </c>
      <c r="K3863">
        <v>36696743</v>
      </c>
      <c r="L3863">
        <v>36901398</v>
      </c>
      <c r="M3863">
        <v>23296078</v>
      </c>
      <c r="N3863">
        <v>29069806</v>
      </c>
      <c r="O3863">
        <v>30386420</v>
      </c>
      <c r="P3863">
        <v>116</v>
      </c>
      <c r="Q3863" t="s">
        <v>8064</v>
      </c>
    </row>
    <row r="3864" spans="1:17" x14ac:dyDescent="0.3">
      <c r="A3864" t="s">
        <v>73</v>
      </c>
      <c r="B3864" t="str">
        <f>"002173"</f>
        <v>002173</v>
      </c>
      <c r="C3864" t="s">
        <v>8065</v>
      </c>
      <c r="D3864" t="s">
        <v>1255</v>
      </c>
      <c r="E3864">
        <v>106424432</v>
      </c>
      <c r="F3864">
        <v>90106592</v>
      </c>
      <c r="G3864">
        <v>100506066</v>
      </c>
      <c r="H3864">
        <v>0</v>
      </c>
      <c r="I3864">
        <v>253667435</v>
      </c>
      <c r="J3864">
        <v>155462988</v>
      </c>
      <c r="K3864">
        <v>221131042</v>
      </c>
      <c r="L3864">
        <v>85828396</v>
      </c>
      <c r="M3864">
        <v>120608969</v>
      </c>
      <c r="N3864">
        <v>133991824</v>
      </c>
      <c r="O3864">
        <v>123223350</v>
      </c>
      <c r="P3864">
        <v>125</v>
      </c>
      <c r="Q3864" t="s">
        <v>8066</v>
      </c>
    </row>
    <row r="3865" spans="1:17" x14ac:dyDescent="0.3">
      <c r="A3865" t="s">
        <v>17</v>
      </c>
      <c r="B3865" t="str">
        <f>"603665"</f>
        <v>603665</v>
      </c>
      <c r="C3865" t="s">
        <v>8067</v>
      </c>
      <c r="D3865" t="s">
        <v>2601</v>
      </c>
      <c r="E3865">
        <v>106363406</v>
      </c>
      <c r="F3865">
        <v>106402567</v>
      </c>
      <c r="G3865">
        <v>74624628</v>
      </c>
      <c r="H3865">
        <v>119906613</v>
      </c>
      <c r="I3865">
        <v>71114682</v>
      </c>
      <c r="J3865">
        <v>89371209</v>
      </c>
      <c r="P3865">
        <v>89</v>
      </c>
      <c r="Q3865" t="s">
        <v>8068</v>
      </c>
    </row>
    <row r="3866" spans="1:17" x14ac:dyDescent="0.3">
      <c r="A3866" t="s">
        <v>73</v>
      </c>
      <c r="B3866" t="str">
        <f>"002198"</f>
        <v>002198</v>
      </c>
      <c r="C3866" t="s">
        <v>8069</v>
      </c>
      <c r="D3866" t="s">
        <v>215</v>
      </c>
      <c r="E3866">
        <v>106304699</v>
      </c>
      <c r="F3866">
        <v>106724521</v>
      </c>
      <c r="G3866">
        <v>123044189</v>
      </c>
      <c r="H3866">
        <v>123291389</v>
      </c>
      <c r="I3866">
        <v>115222682</v>
      </c>
      <c r="J3866">
        <v>120589136</v>
      </c>
      <c r="K3866">
        <v>111017449</v>
      </c>
      <c r="L3866">
        <v>135119854</v>
      </c>
      <c r="M3866">
        <v>110273790</v>
      </c>
      <c r="N3866">
        <v>10435562</v>
      </c>
      <c r="O3866">
        <v>11343978</v>
      </c>
      <c r="P3866">
        <v>120</v>
      </c>
      <c r="Q3866" t="s">
        <v>8070</v>
      </c>
    </row>
    <row r="3867" spans="1:17" x14ac:dyDescent="0.3">
      <c r="A3867" t="s">
        <v>73</v>
      </c>
      <c r="B3867" t="str">
        <f>"003026"</f>
        <v>003026</v>
      </c>
      <c r="C3867" t="s">
        <v>8071</v>
      </c>
      <c r="D3867" t="s">
        <v>354</v>
      </c>
      <c r="E3867">
        <v>106137526</v>
      </c>
      <c r="F3867">
        <v>104327597</v>
      </c>
      <c r="P3867">
        <v>106</v>
      </c>
      <c r="Q3867" t="s">
        <v>8072</v>
      </c>
    </row>
    <row r="3868" spans="1:17" x14ac:dyDescent="0.3">
      <c r="A3868" t="s">
        <v>73</v>
      </c>
      <c r="B3868" t="str">
        <f>"002817"</f>
        <v>002817</v>
      </c>
      <c r="C3868" t="s">
        <v>8073</v>
      </c>
      <c r="D3868" t="s">
        <v>1523</v>
      </c>
      <c r="E3868">
        <v>106032973</v>
      </c>
      <c r="F3868">
        <v>104710851</v>
      </c>
      <c r="G3868">
        <v>88026028</v>
      </c>
      <c r="H3868">
        <v>85853671</v>
      </c>
      <c r="I3868">
        <v>75768446</v>
      </c>
      <c r="J3868">
        <v>78413472</v>
      </c>
      <c r="P3868">
        <v>126</v>
      </c>
      <c r="Q3868" t="s">
        <v>8074</v>
      </c>
    </row>
    <row r="3869" spans="1:17" x14ac:dyDescent="0.3">
      <c r="A3869" t="s">
        <v>73</v>
      </c>
      <c r="B3869" t="str">
        <f>"300206"</f>
        <v>300206</v>
      </c>
      <c r="C3869" t="s">
        <v>8075</v>
      </c>
      <c r="D3869" t="s">
        <v>692</v>
      </c>
      <c r="E3869">
        <v>106023651</v>
      </c>
      <c r="F3869">
        <v>151259792</v>
      </c>
      <c r="G3869">
        <v>127243772</v>
      </c>
      <c r="H3869">
        <v>94766315</v>
      </c>
      <c r="I3869">
        <v>68262163</v>
      </c>
      <c r="J3869">
        <v>58749080</v>
      </c>
      <c r="K3869">
        <v>41944488</v>
      </c>
      <c r="L3869">
        <v>28888329</v>
      </c>
      <c r="M3869">
        <v>27817388</v>
      </c>
      <c r="N3869">
        <v>17400744</v>
      </c>
      <c r="O3869">
        <v>12589628</v>
      </c>
      <c r="P3869">
        <v>426</v>
      </c>
      <c r="Q3869" t="s">
        <v>8076</v>
      </c>
    </row>
    <row r="3870" spans="1:17" x14ac:dyDescent="0.3">
      <c r="A3870" t="s">
        <v>73</v>
      </c>
      <c r="B3870" t="str">
        <f>"301019"</f>
        <v>301019</v>
      </c>
      <c r="C3870" t="s">
        <v>8077</v>
      </c>
      <c r="D3870" t="s">
        <v>3079</v>
      </c>
      <c r="E3870">
        <v>105846844</v>
      </c>
      <c r="F3870">
        <v>100276574</v>
      </c>
      <c r="P3870">
        <v>39</v>
      </c>
      <c r="Q3870" t="s">
        <v>8078</v>
      </c>
    </row>
    <row r="3871" spans="1:17" x14ac:dyDescent="0.3">
      <c r="A3871" t="s">
        <v>17</v>
      </c>
      <c r="B3871" t="str">
        <f>"603505"</f>
        <v>603505</v>
      </c>
      <c r="C3871" t="s">
        <v>8079</v>
      </c>
      <c r="D3871" t="s">
        <v>1726</v>
      </c>
      <c r="E3871">
        <v>105834893</v>
      </c>
      <c r="F3871">
        <v>79808286</v>
      </c>
      <c r="G3871">
        <v>77690138</v>
      </c>
      <c r="H3871">
        <v>63295933</v>
      </c>
      <c r="I3871">
        <v>53148371</v>
      </c>
      <c r="J3871">
        <v>11674122</v>
      </c>
      <c r="P3871">
        <v>325</v>
      </c>
      <c r="Q3871" t="s">
        <v>8080</v>
      </c>
    </row>
    <row r="3872" spans="1:17" x14ac:dyDescent="0.3">
      <c r="A3872" t="s">
        <v>17</v>
      </c>
      <c r="B3872" t="str">
        <f>"601021"</f>
        <v>601021</v>
      </c>
      <c r="C3872" t="s">
        <v>8081</v>
      </c>
      <c r="D3872" t="s">
        <v>948</v>
      </c>
      <c r="E3872">
        <v>105396222</v>
      </c>
      <c r="F3872">
        <v>78943262</v>
      </c>
      <c r="G3872">
        <v>66271095</v>
      </c>
      <c r="H3872">
        <v>141849975</v>
      </c>
      <c r="I3872">
        <v>105017590</v>
      </c>
      <c r="J3872">
        <v>102319458</v>
      </c>
      <c r="K3872">
        <v>114390084</v>
      </c>
      <c r="L3872">
        <v>49934700</v>
      </c>
      <c r="M3872">
        <v>0</v>
      </c>
      <c r="P3872">
        <v>1019</v>
      </c>
      <c r="Q3872" t="s">
        <v>8082</v>
      </c>
    </row>
    <row r="3873" spans="1:17" x14ac:dyDescent="0.3">
      <c r="A3873" t="s">
        <v>17</v>
      </c>
      <c r="B3873" t="str">
        <f>"688305"</f>
        <v>688305</v>
      </c>
      <c r="C3873" t="s">
        <v>8083</v>
      </c>
      <c r="D3873" t="s">
        <v>2332</v>
      </c>
      <c r="E3873">
        <v>105298614</v>
      </c>
      <c r="F3873">
        <v>63709059</v>
      </c>
      <c r="P3873">
        <v>79</v>
      </c>
      <c r="Q3873" t="s">
        <v>8084</v>
      </c>
    </row>
    <row r="3874" spans="1:17" x14ac:dyDescent="0.3">
      <c r="A3874" t="s">
        <v>17</v>
      </c>
      <c r="B3874" t="str">
        <f>"600824"</f>
        <v>600824</v>
      </c>
      <c r="C3874" t="s">
        <v>8085</v>
      </c>
      <c r="D3874" t="s">
        <v>3897</v>
      </c>
      <c r="E3874">
        <v>105159903</v>
      </c>
      <c r="F3874">
        <v>124584648</v>
      </c>
      <c r="G3874">
        <v>98250950</v>
      </c>
      <c r="H3874">
        <v>127797841</v>
      </c>
      <c r="I3874">
        <v>107433486</v>
      </c>
      <c r="J3874">
        <v>83593796</v>
      </c>
      <c r="K3874">
        <v>96896695</v>
      </c>
      <c r="L3874">
        <v>89451386</v>
      </c>
      <c r="M3874">
        <v>124176062</v>
      </c>
      <c r="N3874">
        <v>129625729</v>
      </c>
      <c r="O3874">
        <v>83792263</v>
      </c>
      <c r="P3874">
        <v>81</v>
      </c>
      <c r="Q3874" t="s">
        <v>8086</v>
      </c>
    </row>
    <row r="3875" spans="1:17" x14ac:dyDescent="0.3">
      <c r="A3875" t="s">
        <v>17</v>
      </c>
      <c r="B3875" t="str">
        <f>"600354"</f>
        <v>600354</v>
      </c>
      <c r="C3875" t="s">
        <v>8087</v>
      </c>
      <c r="D3875" t="s">
        <v>3172</v>
      </c>
      <c r="E3875">
        <v>105015966</v>
      </c>
      <c r="F3875">
        <v>117224953</v>
      </c>
      <c r="G3875">
        <v>262219627</v>
      </c>
      <c r="H3875">
        <v>208957021</v>
      </c>
      <c r="I3875">
        <v>212063682</v>
      </c>
      <c r="J3875">
        <v>192932083</v>
      </c>
      <c r="K3875">
        <v>269155554</v>
      </c>
      <c r="L3875">
        <v>257711146</v>
      </c>
      <c r="M3875">
        <v>387901932</v>
      </c>
      <c r="N3875">
        <v>246722628</v>
      </c>
      <c r="O3875">
        <v>322453683</v>
      </c>
      <c r="P3875">
        <v>121</v>
      </c>
      <c r="Q3875" t="s">
        <v>8088</v>
      </c>
    </row>
    <row r="3876" spans="1:17" x14ac:dyDescent="0.3">
      <c r="A3876" t="s">
        <v>73</v>
      </c>
      <c r="B3876" t="str">
        <f>"300991"</f>
        <v>300991</v>
      </c>
      <c r="C3876" t="s">
        <v>8089</v>
      </c>
      <c r="D3876" t="s">
        <v>651</v>
      </c>
      <c r="E3876">
        <v>104940292</v>
      </c>
      <c r="F3876">
        <v>108114099</v>
      </c>
      <c r="P3876">
        <v>58</v>
      </c>
      <c r="Q3876" t="s">
        <v>8090</v>
      </c>
    </row>
    <row r="3877" spans="1:17" x14ac:dyDescent="0.3">
      <c r="A3877" t="s">
        <v>17</v>
      </c>
      <c r="B3877" t="str">
        <f>"688195"</f>
        <v>688195</v>
      </c>
      <c r="C3877" t="s">
        <v>8091</v>
      </c>
      <c r="D3877" t="s">
        <v>477</v>
      </c>
      <c r="E3877">
        <v>104841336</v>
      </c>
      <c r="F3877">
        <v>83321045</v>
      </c>
      <c r="P3877">
        <v>41</v>
      </c>
      <c r="Q3877" t="s">
        <v>8092</v>
      </c>
    </row>
    <row r="3878" spans="1:17" x14ac:dyDescent="0.3">
      <c r="A3878" t="s">
        <v>73</v>
      </c>
      <c r="B3878" t="str">
        <f>"300992"</f>
        <v>300992</v>
      </c>
      <c r="C3878" t="s">
        <v>8093</v>
      </c>
      <c r="D3878" t="s">
        <v>873</v>
      </c>
      <c r="E3878">
        <v>104788188</v>
      </c>
      <c r="F3878">
        <v>76333505</v>
      </c>
      <c r="G3878">
        <v>62775373</v>
      </c>
      <c r="P3878">
        <v>26</v>
      </c>
      <c r="Q3878" t="s">
        <v>8094</v>
      </c>
    </row>
    <row r="3879" spans="1:17" x14ac:dyDescent="0.3">
      <c r="A3879" t="s">
        <v>73</v>
      </c>
      <c r="B3879" t="str">
        <f>"300392"</f>
        <v>300392</v>
      </c>
      <c r="C3879" t="s">
        <v>8095</v>
      </c>
      <c r="D3879" t="s">
        <v>425</v>
      </c>
      <c r="E3879">
        <v>104758296</v>
      </c>
      <c r="F3879">
        <v>182526746</v>
      </c>
      <c r="G3879">
        <v>439004479</v>
      </c>
      <c r="H3879">
        <v>548448734</v>
      </c>
      <c r="I3879">
        <v>678728398</v>
      </c>
      <c r="J3879">
        <v>444207684</v>
      </c>
      <c r="K3879">
        <v>585254301</v>
      </c>
      <c r="L3879">
        <v>388106803</v>
      </c>
      <c r="M3879">
        <v>323861871</v>
      </c>
      <c r="P3879">
        <v>66</v>
      </c>
      <c r="Q3879" t="s">
        <v>8096</v>
      </c>
    </row>
    <row r="3880" spans="1:17" x14ac:dyDescent="0.3">
      <c r="A3880" t="s">
        <v>73</v>
      </c>
      <c r="B3880" t="str">
        <f>"301005"</f>
        <v>301005</v>
      </c>
      <c r="C3880" t="s">
        <v>8097</v>
      </c>
      <c r="D3880" t="s">
        <v>722</v>
      </c>
      <c r="E3880">
        <v>104695303</v>
      </c>
      <c r="F3880">
        <v>89965022</v>
      </c>
      <c r="P3880">
        <v>23</v>
      </c>
      <c r="Q3880" t="s">
        <v>8098</v>
      </c>
    </row>
    <row r="3881" spans="1:17" x14ac:dyDescent="0.3">
      <c r="A3881" t="s">
        <v>73</v>
      </c>
      <c r="B3881" t="str">
        <f>"000755"</f>
        <v>000755</v>
      </c>
      <c r="C3881" t="s">
        <v>8099</v>
      </c>
      <c r="D3881" t="s">
        <v>1592</v>
      </c>
      <c r="E3881">
        <v>104470788</v>
      </c>
      <c r="F3881">
        <v>106876451</v>
      </c>
      <c r="G3881">
        <v>54797471</v>
      </c>
      <c r="H3881">
        <v>60380356</v>
      </c>
      <c r="I3881">
        <v>41011943</v>
      </c>
      <c r="J3881">
        <v>91142408</v>
      </c>
      <c r="K3881">
        <v>126696483</v>
      </c>
      <c r="L3881">
        <v>139187760</v>
      </c>
      <c r="M3881">
        <v>156855696</v>
      </c>
      <c r="N3881">
        <v>177211691</v>
      </c>
      <c r="O3881">
        <v>143310213</v>
      </c>
      <c r="P3881">
        <v>96</v>
      </c>
      <c r="Q3881" t="s">
        <v>8100</v>
      </c>
    </row>
    <row r="3882" spans="1:17" x14ac:dyDescent="0.3">
      <c r="A3882" t="s">
        <v>17</v>
      </c>
      <c r="B3882" t="str">
        <f>"603268"</f>
        <v>603268</v>
      </c>
      <c r="C3882" t="s">
        <v>8101</v>
      </c>
      <c r="D3882" t="s">
        <v>3902</v>
      </c>
      <c r="E3882">
        <v>104354244</v>
      </c>
      <c r="F3882">
        <v>168677527</v>
      </c>
      <c r="G3882">
        <v>118218225</v>
      </c>
      <c r="H3882">
        <v>128464199</v>
      </c>
      <c r="I3882">
        <v>134390215</v>
      </c>
      <c r="J3882">
        <v>91537050</v>
      </c>
      <c r="K3882">
        <v>103129526</v>
      </c>
      <c r="L3882">
        <v>99748291</v>
      </c>
      <c r="M3882">
        <v>0</v>
      </c>
      <c r="P3882">
        <v>70</v>
      </c>
      <c r="Q3882" t="s">
        <v>8102</v>
      </c>
    </row>
    <row r="3883" spans="1:17" x14ac:dyDescent="0.3">
      <c r="A3883" t="s">
        <v>73</v>
      </c>
      <c r="B3883" t="str">
        <f>"300492"</f>
        <v>300492</v>
      </c>
      <c r="C3883" t="s">
        <v>8103</v>
      </c>
      <c r="D3883" t="s">
        <v>661</v>
      </c>
      <c r="E3883">
        <v>104215762</v>
      </c>
      <c r="F3883">
        <v>110363926</v>
      </c>
      <c r="G3883">
        <v>123672955</v>
      </c>
      <c r="H3883">
        <v>147451284</v>
      </c>
      <c r="I3883">
        <v>159977985</v>
      </c>
      <c r="J3883">
        <v>163388649</v>
      </c>
      <c r="K3883">
        <v>146695384</v>
      </c>
      <c r="L3883">
        <v>143598847</v>
      </c>
      <c r="M3883">
        <v>0</v>
      </c>
      <c r="P3883">
        <v>94</v>
      </c>
      <c r="Q3883" t="s">
        <v>8104</v>
      </c>
    </row>
    <row r="3884" spans="1:17" x14ac:dyDescent="0.3">
      <c r="A3884" t="s">
        <v>73</v>
      </c>
      <c r="B3884" t="str">
        <f>"300554"</f>
        <v>300554</v>
      </c>
      <c r="C3884" t="s">
        <v>8105</v>
      </c>
      <c r="D3884" t="s">
        <v>3119</v>
      </c>
      <c r="E3884">
        <v>104169987</v>
      </c>
      <c r="F3884">
        <v>88671183</v>
      </c>
      <c r="G3884">
        <v>100103792</v>
      </c>
      <c r="H3884">
        <v>107849469</v>
      </c>
      <c r="I3884">
        <v>145845437</v>
      </c>
      <c r="J3884">
        <v>66983086</v>
      </c>
      <c r="K3884">
        <v>0</v>
      </c>
      <c r="P3884">
        <v>123</v>
      </c>
      <c r="Q3884" t="s">
        <v>8106</v>
      </c>
    </row>
    <row r="3885" spans="1:17" x14ac:dyDescent="0.3">
      <c r="A3885" t="s">
        <v>17</v>
      </c>
      <c r="B3885" t="str">
        <f>"600228"</f>
        <v>600228</v>
      </c>
      <c r="C3885" t="s">
        <v>8107</v>
      </c>
      <c r="D3885" t="s">
        <v>4641</v>
      </c>
      <c r="E3885">
        <v>104021596</v>
      </c>
      <c r="F3885">
        <v>87742284</v>
      </c>
      <c r="G3885">
        <v>13361121</v>
      </c>
      <c r="H3885">
        <v>15915870</v>
      </c>
      <c r="I3885">
        <v>34582626</v>
      </c>
      <c r="J3885">
        <v>19361781</v>
      </c>
      <c r="K3885">
        <v>20366609</v>
      </c>
      <c r="L3885">
        <v>26843486</v>
      </c>
      <c r="M3885">
        <v>40889677</v>
      </c>
      <c r="N3885">
        <v>42882224</v>
      </c>
      <c r="O3885">
        <v>33330323</v>
      </c>
      <c r="P3885">
        <v>68</v>
      </c>
      <c r="Q3885" t="s">
        <v>8108</v>
      </c>
    </row>
    <row r="3886" spans="1:17" x14ac:dyDescent="0.3">
      <c r="A3886" t="s">
        <v>73</v>
      </c>
      <c r="B3886" t="str">
        <f>"301211"</f>
        <v>301211</v>
      </c>
      <c r="C3886" t="s">
        <v>8109</v>
      </c>
      <c r="D3886" t="s">
        <v>908</v>
      </c>
      <c r="E3886">
        <v>103978212</v>
      </c>
      <c r="P3886">
        <v>14</v>
      </c>
      <c r="Q3886" t="s">
        <v>8110</v>
      </c>
    </row>
    <row r="3887" spans="1:17" x14ac:dyDescent="0.3">
      <c r="A3887" t="s">
        <v>17</v>
      </c>
      <c r="B3887" t="str">
        <f>"600080"</f>
        <v>600080</v>
      </c>
      <c r="C3887" t="s">
        <v>8111</v>
      </c>
      <c r="D3887" t="s">
        <v>215</v>
      </c>
      <c r="E3887">
        <v>103638437</v>
      </c>
      <c r="F3887">
        <v>128833645</v>
      </c>
      <c r="G3887">
        <v>135251969</v>
      </c>
      <c r="H3887">
        <v>155103322</v>
      </c>
      <c r="I3887">
        <v>140037585</v>
      </c>
      <c r="J3887">
        <v>149957989</v>
      </c>
      <c r="K3887">
        <v>170092569</v>
      </c>
      <c r="L3887">
        <v>175289751</v>
      </c>
      <c r="M3887">
        <v>86027486</v>
      </c>
      <c r="N3887">
        <v>64904333</v>
      </c>
      <c r="O3887">
        <v>41171831</v>
      </c>
      <c r="P3887">
        <v>97</v>
      </c>
      <c r="Q3887" t="s">
        <v>8112</v>
      </c>
    </row>
    <row r="3888" spans="1:17" x14ac:dyDescent="0.3">
      <c r="A3888" t="s">
        <v>17</v>
      </c>
      <c r="B3888" t="str">
        <f>"688386"</f>
        <v>688386</v>
      </c>
      <c r="C3888" t="s">
        <v>8113</v>
      </c>
      <c r="D3888" t="s">
        <v>2271</v>
      </c>
      <c r="E3888">
        <v>103450123</v>
      </c>
      <c r="F3888">
        <v>89406460</v>
      </c>
      <c r="G3888">
        <v>65652482</v>
      </c>
      <c r="P3888">
        <v>43</v>
      </c>
      <c r="Q3888" t="s">
        <v>8114</v>
      </c>
    </row>
    <row r="3889" spans="1:17" x14ac:dyDescent="0.3">
      <c r="A3889" t="s">
        <v>73</v>
      </c>
      <c r="B3889" t="str">
        <f>"300771"</f>
        <v>300771</v>
      </c>
      <c r="C3889" t="s">
        <v>8115</v>
      </c>
      <c r="D3889" t="s">
        <v>158</v>
      </c>
      <c r="E3889">
        <v>103216690</v>
      </c>
      <c r="F3889">
        <v>121779605</v>
      </c>
      <c r="G3889">
        <v>102158908</v>
      </c>
      <c r="H3889">
        <v>130982730</v>
      </c>
      <c r="I3889">
        <v>0</v>
      </c>
      <c r="P3889">
        <v>229</v>
      </c>
      <c r="Q3889" t="s">
        <v>8116</v>
      </c>
    </row>
    <row r="3890" spans="1:17" x14ac:dyDescent="0.3">
      <c r="A3890" t="s">
        <v>73</v>
      </c>
      <c r="B3890" t="str">
        <f>"300116"</f>
        <v>300116</v>
      </c>
      <c r="C3890" t="s">
        <v>8117</v>
      </c>
      <c r="D3890" t="s">
        <v>125</v>
      </c>
      <c r="E3890">
        <v>102951451</v>
      </c>
      <c r="F3890">
        <v>154590419</v>
      </c>
      <c r="G3890">
        <v>84039789</v>
      </c>
      <c r="H3890">
        <v>7922319468</v>
      </c>
      <c r="I3890">
        <v>8833474007</v>
      </c>
      <c r="J3890">
        <v>7134257152</v>
      </c>
      <c r="K3890">
        <v>285545296</v>
      </c>
      <c r="L3890">
        <v>247212233</v>
      </c>
      <c r="M3890">
        <v>203188498</v>
      </c>
      <c r="N3890">
        <v>140290785</v>
      </c>
      <c r="O3890">
        <v>98930935</v>
      </c>
      <c r="P3890">
        <v>173</v>
      </c>
      <c r="Q3890" t="s">
        <v>8118</v>
      </c>
    </row>
    <row r="3891" spans="1:17" x14ac:dyDescent="0.3">
      <c r="A3891" t="s">
        <v>73</v>
      </c>
      <c r="B3891" t="str">
        <f>"300175"</f>
        <v>300175</v>
      </c>
      <c r="C3891" t="s">
        <v>8119</v>
      </c>
      <c r="D3891" t="s">
        <v>5070</v>
      </c>
      <c r="E3891">
        <v>102667454</v>
      </c>
      <c r="F3891">
        <v>119462320</v>
      </c>
      <c r="G3891">
        <v>179002781</v>
      </c>
      <c r="H3891">
        <v>155224073</v>
      </c>
      <c r="I3891">
        <v>80397831</v>
      </c>
      <c r="J3891">
        <v>69496531</v>
      </c>
      <c r="K3891">
        <v>124916604</v>
      </c>
      <c r="L3891">
        <v>135187030</v>
      </c>
      <c r="M3891">
        <v>75473546</v>
      </c>
      <c r="N3891">
        <v>100355453</v>
      </c>
      <c r="O3891">
        <v>48236103</v>
      </c>
      <c r="P3891">
        <v>84</v>
      </c>
      <c r="Q3891" t="s">
        <v>8120</v>
      </c>
    </row>
    <row r="3892" spans="1:17" x14ac:dyDescent="0.3">
      <c r="A3892" t="s">
        <v>73</v>
      </c>
      <c r="B3892" t="str">
        <f>"002260"</f>
        <v>002260</v>
      </c>
      <c r="C3892" t="s">
        <v>8121</v>
      </c>
      <c r="D3892" t="s">
        <v>1186</v>
      </c>
      <c r="E3892">
        <v>102384813</v>
      </c>
      <c r="F3892">
        <v>90909232</v>
      </c>
      <c r="G3892">
        <v>59366472</v>
      </c>
      <c r="H3892">
        <v>49967320</v>
      </c>
      <c r="I3892">
        <v>82249237</v>
      </c>
      <c r="J3892">
        <v>69112604</v>
      </c>
      <c r="K3892">
        <v>50656253</v>
      </c>
      <c r="L3892">
        <v>103696017</v>
      </c>
      <c r="M3892">
        <v>63423605</v>
      </c>
      <c r="N3892">
        <v>64191585</v>
      </c>
      <c r="O3892">
        <v>70256568</v>
      </c>
      <c r="P3892">
        <v>57</v>
      </c>
      <c r="Q3892" t="s">
        <v>8122</v>
      </c>
    </row>
    <row r="3893" spans="1:17" x14ac:dyDescent="0.3">
      <c r="A3893" t="s">
        <v>73</v>
      </c>
      <c r="B3893" t="str">
        <f>"002826"</f>
        <v>002826</v>
      </c>
      <c r="C3893" t="s">
        <v>8123</v>
      </c>
      <c r="D3893" t="s">
        <v>348</v>
      </c>
      <c r="E3893">
        <v>102254279</v>
      </c>
      <c r="F3893">
        <v>68001204</v>
      </c>
      <c r="G3893">
        <v>71097309</v>
      </c>
      <c r="H3893">
        <v>66455559</v>
      </c>
      <c r="I3893">
        <v>75837103</v>
      </c>
      <c r="J3893">
        <v>74474483</v>
      </c>
      <c r="P3893">
        <v>127</v>
      </c>
      <c r="Q3893" t="s">
        <v>8124</v>
      </c>
    </row>
    <row r="3894" spans="1:17" x14ac:dyDescent="0.3">
      <c r="A3894" t="s">
        <v>73</v>
      </c>
      <c r="B3894" t="str">
        <f>"300796"</f>
        <v>300796</v>
      </c>
      <c r="C3894" t="s">
        <v>8125</v>
      </c>
      <c r="D3894" t="s">
        <v>272</v>
      </c>
      <c r="E3894">
        <v>101565024</v>
      </c>
      <c r="F3894">
        <v>61262775</v>
      </c>
      <c r="G3894">
        <v>47459354</v>
      </c>
      <c r="H3894">
        <v>0</v>
      </c>
      <c r="P3894">
        <v>45</v>
      </c>
      <c r="Q3894" t="s">
        <v>8126</v>
      </c>
    </row>
    <row r="3895" spans="1:17" x14ac:dyDescent="0.3">
      <c r="A3895" t="s">
        <v>17</v>
      </c>
      <c r="B3895" t="str">
        <f>"688508"</f>
        <v>688508</v>
      </c>
      <c r="C3895" t="s">
        <v>8127</v>
      </c>
      <c r="D3895" t="s">
        <v>3360</v>
      </c>
      <c r="E3895">
        <v>101263016</v>
      </c>
      <c r="F3895">
        <v>100741236</v>
      </c>
      <c r="G3895">
        <v>69749285</v>
      </c>
      <c r="H3895">
        <v>0</v>
      </c>
      <c r="P3895">
        <v>165</v>
      </c>
      <c r="Q3895" t="s">
        <v>8128</v>
      </c>
    </row>
    <row r="3896" spans="1:17" x14ac:dyDescent="0.3">
      <c r="A3896" t="s">
        <v>17</v>
      </c>
      <c r="B3896" t="str">
        <f>"603123"</f>
        <v>603123</v>
      </c>
      <c r="C3896" t="s">
        <v>8129</v>
      </c>
      <c r="D3896" t="s">
        <v>638</v>
      </c>
      <c r="E3896">
        <v>101227647</v>
      </c>
      <c r="F3896">
        <v>80722036</v>
      </c>
      <c r="G3896">
        <v>29220285</v>
      </c>
      <c r="H3896">
        <v>40916980</v>
      </c>
      <c r="I3896">
        <v>48683611</v>
      </c>
      <c r="J3896">
        <v>49427693</v>
      </c>
      <c r="K3896">
        <v>39562208</v>
      </c>
      <c r="L3896">
        <v>38197947</v>
      </c>
      <c r="M3896">
        <v>15876475</v>
      </c>
      <c r="N3896">
        <v>24347001</v>
      </c>
      <c r="O3896">
        <v>37231070</v>
      </c>
      <c r="P3896">
        <v>100</v>
      </c>
      <c r="Q3896" t="s">
        <v>8130</v>
      </c>
    </row>
    <row r="3897" spans="1:17" x14ac:dyDescent="0.3">
      <c r="A3897" t="s">
        <v>73</v>
      </c>
      <c r="B3897" t="str">
        <f>"300192"</f>
        <v>300192</v>
      </c>
      <c r="C3897" t="s">
        <v>8131</v>
      </c>
      <c r="D3897" t="s">
        <v>4778</v>
      </c>
      <c r="E3897">
        <v>101146265</v>
      </c>
      <c r="F3897">
        <v>124672125</v>
      </c>
      <c r="G3897">
        <v>83311510</v>
      </c>
      <c r="H3897">
        <v>114730255</v>
      </c>
      <c r="I3897">
        <v>129237904</v>
      </c>
      <c r="J3897">
        <v>95582170</v>
      </c>
      <c r="K3897">
        <v>115891183</v>
      </c>
      <c r="L3897">
        <v>115261954</v>
      </c>
      <c r="M3897">
        <v>106308734</v>
      </c>
      <c r="N3897">
        <v>95513719</v>
      </c>
      <c r="O3897">
        <v>64950476</v>
      </c>
      <c r="P3897">
        <v>182</v>
      </c>
      <c r="Q3897" t="s">
        <v>8132</v>
      </c>
    </row>
    <row r="3898" spans="1:17" x14ac:dyDescent="0.3">
      <c r="A3898" t="s">
        <v>73</v>
      </c>
      <c r="B3898" t="str">
        <f>"002040"</f>
        <v>002040</v>
      </c>
      <c r="C3898" t="s">
        <v>8133</v>
      </c>
      <c r="D3898" t="s">
        <v>706</v>
      </c>
      <c r="E3898">
        <v>101101510</v>
      </c>
      <c r="F3898">
        <v>84362846</v>
      </c>
      <c r="G3898">
        <v>96098075</v>
      </c>
      <c r="H3898">
        <v>115816129</v>
      </c>
      <c r="I3898">
        <v>105654322</v>
      </c>
      <c r="J3898">
        <v>84453379</v>
      </c>
      <c r="K3898">
        <v>16332886</v>
      </c>
      <c r="L3898">
        <v>13951563</v>
      </c>
      <c r="M3898">
        <v>16704856</v>
      </c>
      <c r="N3898">
        <v>16690462</v>
      </c>
      <c r="O3898">
        <v>14909477</v>
      </c>
      <c r="P3898">
        <v>100</v>
      </c>
      <c r="Q3898" t="s">
        <v>8134</v>
      </c>
    </row>
    <row r="3899" spans="1:17" x14ac:dyDescent="0.3">
      <c r="A3899" t="s">
        <v>17</v>
      </c>
      <c r="B3899" t="str">
        <f>"600186"</f>
        <v>600186</v>
      </c>
      <c r="C3899" t="s">
        <v>8135</v>
      </c>
      <c r="D3899" t="s">
        <v>1851</v>
      </c>
      <c r="E3899">
        <v>101052966</v>
      </c>
      <c r="F3899">
        <v>100603185</v>
      </c>
      <c r="G3899">
        <v>137056655</v>
      </c>
      <c r="H3899">
        <v>0</v>
      </c>
      <c r="I3899">
        <v>182741939</v>
      </c>
      <c r="J3899">
        <v>212790409</v>
      </c>
      <c r="K3899">
        <v>235355778</v>
      </c>
      <c r="L3899">
        <v>576711883</v>
      </c>
      <c r="M3899">
        <v>501238631</v>
      </c>
      <c r="N3899">
        <v>555977044</v>
      </c>
      <c r="O3899">
        <v>541318827</v>
      </c>
      <c r="P3899">
        <v>182</v>
      </c>
      <c r="Q3899" t="s">
        <v>8136</v>
      </c>
    </row>
    <row r="3900" spans="1:17" x14ac:dyDescent="0.3">
      <c r="A3900" t="s">
        <v>17</v>
      </c>
      <c r="B3900" t="str">
        <f>"600097"</f>
        <v>600097</v>
      </c>
      <c r="C3900" t="s">
        <v>8137</v>
      </c>
      <c r="D3900" t="s">
        <v>8138</v>
      </c>
      <c r="E3900">
        <v>100736708</v>
      </c>
      <c r="F3900">
        <v>109855405</v>
      </c>
      <c r="G3900">
        <v>173682580</v>
      </c>
      <c r="H3900">
        <v>143284326</v>
      </c>
      <c r="I3900">
        <v>95490586</v>
      </c>
      <c r="J3900">
        <v>84137399</v>
      </c>
      <c r="K3900">
        <v>20901330</v>
      </c>
      <c r="L3900">
        <v>7037164</v>
      </c>
      <c r="M3900">
        <v>14505807</v>
      </c>
      <c r="N3900">
        <v>16821415</v>
      </c>
      <c r="O3900">
        <v>14355489</v>
      </c>
      <c r="P3900">
        <v>116</v>
      </c>
      <c r="Q3900" t="s">
        <v>8139</v>
      </c>
    </row>
    <row r="3901" spans="1:17" x14ac:dyDescent="0.3">
      <c r="A3901" t="s">
        <v>73</v>
      </c>
      <c r="B3901" t="str">
        <f>"300858"</f>
        <v>300858</v>
      </c>
      <c r="C3901" t="s">
        <v>8140</v>
      </c>
      <c r="D3901" t="s">
        <v>1430</v>
      </c>
      <c r="E3901">
        <v>100564442</v>
      </c>
      <c r="F3901">
        <v>97616288</v>
      </c>
      <c r="G3901">
        <v>76381802</v>
      </c>
      <c r="P3901">
        <v>75</v>
      </c>
      <c r="Q3901" t="s">
        <v>8141</v>
      </c>
    </row>
    <row r="3902" spans="1:17" x14ac:dyDescent="0.3">
      <c r="A3902" t="s">
        <v>73</v>
      </c>
      <c r="B3902" t="str">
        <f>"002552"</f>
        <v>002552</v>
      </c>
      <c r="C3902" t="s">
        <v>8142</v>
      </c>
      <c r="D3902" t="s">
        <v>146</v>
      </c>
      <c r="E3902">
        <v>100388127</v>
      </c>
      <c r="F3902">
        <v>91578692</v>
      </c>
      <c r="G3902">
        <v>84505385</v>
      </c>
      <c r="H3902">
        <v>0</v>
      </c>
      <c r="I3902">
        <v>88969166</v>
      </c>
      <c r="J3902">
        <v>103921017</v>
      </c>
      <c r="K3902">
        <v>119629874</v>
      </c>
      <c r="L3902">
        <v>140275595</v>
      </c>
      <c r="M3902">
        <v>125253976</v>
      </c>
      <c r="N3902">
        <v>120748790</v>
      </c>
      <c r="O3902">
        <v>115731177</v>
      </c>
      <c r="P3902">
        <v>83</v>
      </c>
      <c r="Q3902" t="s">
        <v>8143</v>
      </c>
    </row>
    <row r="3903" spans="1:17" x14ac:dyDescent="0.3">
      <c r="A3903" t="s">
        <v>17</v>
      </c>
      <c r="B3903" t="str">
        <f>"688566"</f>
        <v>688566</v>
      </c>
      <c r="C3903" t="s">
        <v>8144</v>
      </c>
      <c r="D3903" t="s">
        <v>348</v>
      </c>
      <c r="E3903">
        <v>100341205</v>
      </c>
      <c r="F3903">
        <v>100084940</v>
      </c>
      <c r="G3903">
        <v>83627103</v>
      </c>
      <c r="P3903">
        <v>69</v>
      </c>
      <c r="Q3903" t="s">
        <v>8145</v>
      </c>
    </row>
    <row r="3904" spans="1:17" x14ac:dyDescent="0.3">
      <c r="A3904" t="s">
        <v>17</v>
      </c>
      <c r="B3904" t="str">
        <f>"601375"</f>
        <v>601375</v>
      </c>
      <c r="C3904" t="s">
        <v>8146</v>
      </c>
      <c r="D3904" t="s">
        <v>53</v>
      </c>
      <c r="E3904">
        <v>100308977</v>
      </c>
      <c r="F3904">
        <v>112543349</v>
      </c>
      <c r="G3904">
        <v>136063165</v>
      </c>
      <c r="H3904">
        <v>220474134</v>
      </c>
      <c r="I3904">
        <v>150324808</v>
      </c>
      <c r="J3904">
        <v>52621165</v>
      </c>
      <c r="K3904">
        <v>0</v>
      </c>
      <c r="P3904">
        <v>690</v>
      </c>
      <c r="Q3904" t="s">
        <v>8147</v>
      </c>
    </row>
    <row r="3905" spans="1:17" x14ac:dyDescent="0.3">
      <c r="A3905" t="s">
        <v>73</v>
      </c>
      <c r="B3905" t="str">
        <f>"002707"</f>
        <v>002707</v>
      </c>
      <c r="C3905" t="s">
        <v>8148</v>
      </c>
      <c r="D3905" t="s">
        <v>5692</v>
      </c>
      <c r="E3905">
        <v>100249309</v>
      </c>
      <c r="F3905">
        <v>124063856</v>
      </c>
      <c r="G3905">
        <v>524458759</v>
      </c>
      <c r="H3905">
        <v>539892613</v>
      </c>
      <c r="I3905">
        <v>473865832</v>
      </c>
      <c r="J3905">
        <v>457642134</v>
      </c>
      <c r="K3905">
        <v>360887967</v>
      </c>
      <c r="L3905">
        <v>289038886</v>
      </c>
      <c r="M3905">
        <v>126417009</v>
      </c>
      <c r="N3905">
        <v>0</v>
      </c>
      <c r="P3905">
        <v>295</v>
      </c>
      <c r="Q3905" t="s">
        <v>8149</v>
      </c>
    </row>
    <row r="3906" spans="1:17" x14ac:dyDescent="0.3">
      <c r="A3906" t="s">
        <v>73</v>
      </c>
      <c r="B3906" t="str">
        <f>"001216"</f>
        <v>001216</v>
      </c>
      <c r="C3906" t="s">
        <v>8150</v>
      </c>
      <c r="D3906" t="s">
        <v>3902</v>
      </c>
      <c r="E3906">
        <v>100231004</v>
      </c>
      <c r="P3906">
        <v>19</v>
      </c>
      <c r="Q3906" t="s">
        <v>8151</v>
      </c>
    </row>
    <row r="3907" spans="1:17" x14ac:dyDescent="0.3">
      <c r="A3907" t="s">
        <v>73</v>
      </c>
      <c r="B3907" t="str">
        <f>"301119"</f>
        <v>301119</v>
      </c>
      <c r="C3907" t="s">
        <v>8152</v>
      </c>
      <c r="D3907" t="s">
        <v>122</v>
      </c>
      <c r="E3907">
        <v>100086150</v>
      </c>
      <c r="P3907">
        <v>12</v>
      </c>
      <c r="Q3907" t="s">
        <v>8153</v>
      </c>
    </row>
    <row r="3908" spans="1:17" x14ac:dyDescent="0.3">
      <c r="A3908" t="s">
        <v>73</v>
      </c>
      <c r="B3908" t="str">
        <f>"301122"</f>
        <v>301122</v>
      </c>
      <c r="C3908" t="s">
        <v>8154</v>
      </c>
      <c r="E3908">
        <v>100070381</v>
      </c>
      <c r="P3908">
        <v>14</v>
      </c>
      <c r="Q3908" t="s">
        <v>8155</v>
      </c>
    </row>
    <row r="3909" spans="1:17" x14ac:dyDescent="0.3">
      <c r="A3909" t="s">
        <v>17</v>
      </c>
      <c r="B3909" t="str">
        <f>"600621"</f>
        <v>600621</v>
      </c>
      <c r="C3909" t="s">
        <v>8156</v>
      </c>
      <c r="D3909" t="s">
        <v>53</v>
      </c>
      <c r="E3909">
        <v>100044625</v>
      </c>
      <c r="F3909">
        <v>30056081</v>
      </c>
      <c r="G3909">
        <v>52516327</v>
      </c>
      <c r="H3909">
        <v>56332820</v>
      </c>
      <c r="I3909">
        <v>62585839</v>
      </c>
      <c r="J3909">
        <v>34935918</v>
      </c>
      <c r="K3909">
        <v>181358753</v>
      </c>
      <c r="L3909">
        <v>9769833</v>
      </c>
      <c r="M3909">
        <v>257997539</v>
      </c>
      <c r="N3909">
        <v>251771756</v>
      </c>
      <c r="O3909">
        <v>124541664</v>
      </c>
      <c r="P3909">
        <v>594</v>
      </c>
      <c r="Q3909" t="s">
        <v>8157</v>
      </c>
    </row>
    <row r="3910" spans="1:17" x14ac:dyDescent="0.3">
      <c r="A3910" t="s">
        <v>73</v>
      </c>
      <c r="B3910" t="str">
        <f>"301096"</f>
        <v>301096</v>
      </c>
      <c r="C3910" t="s">
        <v>8158</v>
      </c>
      <c r="D3910" t="s">
        <v>459</v>
      </c>
      <c r="E3910">
        <v>99707532</v>
      </c>
      <c r="P3910">
        <v>26</v>
      </c>
      <c r="Q3910" t="s">
        <v>8159</v>
      </c>
    </row>
    <row r="3911" spans="1:17" x14ac:dyDescent="0.3">
      <c r="A3911" t="s">
        <v>17</v>
      </c>
      <c r="B3911" t="str">
        <f>"603335"</f>
        <v>603335</v>
      </c>
      <c r="C3911" t="s">
        <v>8160</v>
      </c>
      <c r="D3911" t="s">
        <v>781</v>
      </c>
      <c r="E3911">
        <v>99113995</v>
      </c>
      <c r="F3911">
        <v>72794380</v>
      </c>
      <c r="G3911">
        <v>66427592</v>
      </c>
      <c r="H3911">
        <v>72592266</v>
      </c>
      <c r="I3911">
        <v>76093967</v>
      </c>
      <c r="J3911">
        <v>80024339</v>
      </c>
      <c r="P3911">
        <v>66</v>
      </c>
      <c r="Q3911" t="s">
        <v>8161</v>
      </c>
    </row>
    <row r="3912" spans="1:17" x14ac:dyDescent="0.3">
      <c r="A3912" t="s">
        <v>17</v>
      </c>
      <c r="B3912" t="str">
        <f>"600281"</f>
        <v>600281</v>
      </c>
      <c r="C3912" t="s">
        <v>8162</v>
      </c>
      <c r="D3912" t="s">
        <v>1240</v>
      </c>
      <c r="E3912">
        <v>98957451</v>
      </c>
      <c r="F3912">
        <v>73577773</v>
      </c>
      <c r="G3912">
        <v>84005777</v>
      </c>
      <c r="H3912">
        <v>41588638</v>
      </c>
      <c r="I3912">
        <v>193579130</v>
      </c>
      <c r="J3912">
        <v>223511374</v>
      </c>
      <c r="K3912">
        <v>197282566</v>
      </c>
      <c r="L3912">
        <v>249106993</v>
      </c>
      <c r="M3912">
        <v>348463342</v>
      </c>
      <c r="N3912">
        <v>644454637</v>
      </c>
      <c r="O3912">
        <v>559208655</v>
      </c>
      <c r="P3912">
        <v>68</v>
      </c>
      <c r="Q3912" t="s">
        <v>8163</v>
      </c>
    </row>
    <row r="3913" spans="1:17" x14ac:dyDescent="0.3">
      <c r="A3913" t="s">
        <v>73</v>
      </c>
      <c r="B3913" t="str">
        <f>"301077"</f>
        <v>301077</v>
      </c>
      <c r="C3913" t="s">
        <v>8164</v>
      </c>
      <c r="D3913" t="s">
        <v>588</v>
      </c>
      <c r="E3913">
        <v>98946937</v>
      </c>
      <c r="P3913">
        <v>30</v>
      </c>
      <c r="Q3913" t="s">
        <v>8165</v>
      </c>
    </row>
    <row r="3914" spans="1:17" x14ac:dyDescent="0.3">
      <c r="A3914" t="s">
        <v>73</v>
      </c>
      <c r="B3914" t="str">
        <f>"002647"</f>
        <v>002647</v>
      </c>
      <c r="C3914" t="s">
        <v>8166</v>
      </c>
      <c r="D3914" t="s">
        <v>2872</v>
      </c>
      <c r="E3914">
        <v>98823251</v>
      </c>
      <c r="F3914">
        <v>217510559</v>
      </c>
      <c r="G3914">
        <v>423599985</v>
      </c>
      <c r="H3914">
        <v>324271498</v>
      </c>
      <c r="I3914">
        <v>533409670</v>
      </c>
      <c r="J3914">
        <v>10811666</v>
      </c>
      <c r="K3914">
        <v>963626138</v>
      </c>
      <c r="L3914">
        <v>743698719</v>
      </c>
      <c r="M3914">
        <v>537030944</v>
      </c>
      <c r="N3914">
        <v>353634277</v>
      </c>
      <c r="O3914">
        <v>324846321</v>
      </c>
      <c r="P3914">
        <v>180</v>
      </c>
      <c r="Q3914" t="s">
        <v>8167</v>
      </c>
    </row>
    <row r="3915" spans="1:17" x14ac:dyDescent="0.3">
      <c r="A3915" t="s">
        <v>73</v>
      </c>
      <c r="B3915" t="str">
        <f>"301025"</f>
        <v>301025</v>
      </c>
      <c r="C3915" t="s">
        <v>8168</v>
      </c>
      <c r="D3915" t="s">
        <v>1921</v>
      </c>
      <c r="E3915">
        <v>98606198</v>
      </c>
      <c r="F3915">
        <v>84850177</v>
      </c>
      <c r="P3915">
        <v>24</v>
      </c>
      <c r="Q3915" t="s">
        <v>8169</v>
      </c>
    </row>
    <row r="3916" spans="1:17" x14ac:dyDescent="0.3">
      <c r="A3916" t="s">
        <v>73</v>
      </c>
      <c r="B3916" t="str">
        <f>"300081"</f>
        <v>300081</v>
      </c>
      <c r="C3916" t="s">
        <v>8170</v>
      </c>
      <c r="D3916" t="s">
        <v>1004</v>
      </c>
      <c r="E3916">
        <v>98582184</v>
      </c>
      <c r="F3916">
        <v>213903315</v>
      </c>
      <c r="G3916">
        <v>301581081</v>
      </c>
      <c r="H3916">
        <v>298035497</v>
      </c>
      <c r="I3916">
        <v>230111208</v>
      </c>
      <c r="J3916">
        <v>61101841</v>
      </c>
      <c r="K3916">
        <v>34819837</v>
      </c>
      <c r="L3916">
        <v>46028454</v>
      </c>
      <c r="M3916">
        <v>46852533</v>
      </c>
      <c r="N3916">
        <v>82150554</v>
      </c>
      <c r="O3916">
        <v>143018634</v>
      </c>
      <c r="P3916">
        <v>160</v>
      </c>
      <c r="Q3916" t="s">
        <v>8171</v>
      </c>
    </row>
    <row r="3917" spans="1:17" x14ac:dyDescent="0.3">
      <c r="A3917" t="s">
        <v>17</v>
      </c>
      <c r="B3917" t="str">
        <f>"600530"</f>
        <v>600530</v>
      </c>
      <c r="C3917" t="s">
        <v>8172</v>
      </c>
      <c r="D3917" t="s">
        <v>4140</v>
      </c>
      <c r="E3917">
        <v>98573920</v>
      </c>
      <c r="F3917">
        <v>96162480</v>
      </c>
      <c r="G3917">
        <v>100803500</v>
      </c>
      <c r="H3917">
        <v>66189400</v>
      </c>
      <c r="I3917">
        <v>77501469</v>
      </c>
      <c r="J3917">
        <v>69535740</v>
      </c>
      <c r="K3917">
        <v>73632921</v>
      </c>
      <c r="L3917">
        <v>91352916</v>
      </c>
      <c r="M3917">
        <v>84632486</v>
      </c>
      <c r="N3917">
        <v>94595967</v>
      </c>
      <c r="O3917">
        <v>76161841</v>
      </c>
      <c r="P3917">
        <v>86</v>
      </c>
      <c r="Q3917" t="s">
        <v>8173</v>
      </c>
    </row>
    <row r="3918" spans="1:17" x14ac:dyDescent="0.3">
      <c r="A3918" t="s">
        <v>17</v>
      </c>
      <c r="B3918" t="str">
        <f>"600847"</f>
        <v>600847</v>
      </c>
      <c r="C3918" t="s">
        <v>8174</v>
      </c>
      <c r="D3918" t="s">
        <v>1711</v>
      </c>
      <c r="E3918">
        <v>98409851</v>
      </c>
      <c r="F3918">
        <v>116943064</v>
      </c>
      <c r="G3918">
        <v>87966196</v>
      </c>
      <c r="H3918">
        <v>104574809</v>
      </c>
      <c r="I3918">
        <v>96694604</v>
      </c>
      <c r="J3918">
        <v>81083112</v>
      </c>
      <c r="K3918">
        <v>50022755</v>
      </c>
      <c r="L3918">
        <v>64194048</v>
      </c>
      <c r="M3918">
        <v>46863031</v>
      </c>
      <c r="N3918">
        <v>55367280</v>
      </c>
      <c r="O3918">
        <v>42343838</v>
      </c>
      <c r="P3918">
        <v>54</v>
      </c>
      <c r="Q3918" t="s">
        <v>8175</v>
      </c>
    </row>
    <row r="3919" spans="1:17" x14ac:dyDescent="0.3">
      <c r="A3919" t="s">
        <v>17</v>
      </c>
      <c r="B3919" t="str">
        <f>"688588"</f>
        <v>688588</v>
      </c>
      <c r="C3919" t="s">
        <v>8176</v>
      </c>
      <c r="D3919" t="s">
        <v>795</v>
      </c>
      <c r="E3919">
        <v>98345510</v>
      </c>
      <c r="F3919">
        <v>103522514</v>
      </c>
      <c r="G3919">
        <v>91672249</v>
      </c>
      <c r="H3919">
        <v>0</v>
      </c>
      <c r="I3919">
        <v>61231280</v>
      </c>
      <c r="P3919">
        <v>79</v>
      </c>
      <c r="Q3919" t="s">
        <v>8177</v>
      </c>
    </row>
    <row r="3920" spans="1:17" x14ac:dyDescent="0.3">
      <c r="A3920" t="s">
        <v>17</v>
      </c>
      <c r="B3920" t="str">
        <f>"688123"</f>
        <v>688123</v>
      </c>
      <c r="C3920" t="s">
        <v>8178</v>
      </c>
      <c r="D3920" t="s">
        <v>890</v>
      </c>
      <c r="E3920">
        <v>98281640</v>
      </c>
      <c r="F3920">
        <v>62393937</v>
      </c>
      <c r="G3920">
        <v>58024099</v>
      </c>
      <c r="P3920">
        <v>163</v>
      </c>
      <c r="Q3920" t="s">
        <v>8179</v>
      </c>
    </row>
    <row r="3921" spans="1:17" x14ac:dyDescent="0.3">
      <c r="A3921" t="s">
        <v>73</v>
      </c>
      <c r="B3921" t="str">
        <f>"300869"</f>
        <v>300869</v>
      </c>
      <c r="C3921" t="s">
        <v>8180</v>
      </c>
      <c r="D3921" t="s">
        <v>692</v>
      </c>
      <c r="E3921">
        <v>97964620</v>
      </c>
      <c r="F3921">
        <v>117168960</v>
      </c>
      <c r="P3921">
        <v>174</v>
      </c>
      <c r="Q3921" t="s">
        <v>8181</v>
      </c>
    </row>
    <row r="3922" spans="1:17" x14ac:dyDescent="0.3">
      <c r="A3922" t="s">
        <v>17</v>
      </c>
      <c r="B3922" t="str">
        <f>"603813"</f>
        <v>603813</v>
      </c>
      <c r="C3922" t="s">
        <v>8182</v>
      </c>
      <c r="D3922" t="s">
        <v>1341</v>
      </c>
      <c r="E3922">
        <v>97740187</v>
      </c>
      <c r="F3922">
        <v>103661844</v>
      </c>
      <c r="G3922">
        <v>290740077</v>
      </c>
      <c r="H3922">
        <v>281040095</v>
      </c>
      <c r="I3922">
        <v>118092155</v>
      </c>
      <c r="P3922">
        <v>59</v>
      </c>
      <c r="Q3922" t="s">
        <v>8183</v>
      </c>
    </row>
    <row r="3923" spans="1:17" x14ac:dyDescent="0.3">
      <c r="A3923" t="s">
        <v>73</v>
      </c>
      <c r="B3923" t="str">
        <f>"000518"</f>
        <v>000518</v>
      </c>
      <c r="C3923" t="s">
        <v>8184</v>
      </c>
      <c r="D3923" t="s">
        <v>1505</v>
      </c>
      <c r="E3923">
        <v>97676069</v>
      </c>
      <c r="F3923">
        <v>127798419</v>
      </c>
      <c r="G3923">
        <v>159750699</v>
      </c>
      <c r="H3923">
        <v>116256416</v>
      </c>
      <c r="I3923">
        <v>126087358</v>
      </c>
      <c r="J3923">
        <v>145159772</v>
      </c>
      <c r="K3923">
        <v>94317813</v>
      </c>
      <c r="L3923">
        <v>88607173</v>
      </c>
      <c r="M3923">
        <v>91527129</v>
      </c>
      <c r="N3923">
        <v>95146606</v>
      </c>
      <c r="O3923">
        <v>97739060</v>
      </c>
      <c r="P3923">
        <v>171</v>
      </c>
      <c r="Q3923" t="s">
        <v>8185</v>
      </c>
    </row>
    <row r="3924" spans="1:17" x14ac:dyDescent="0.3">
      <c r="A3924" t="s">
        <v>17</v>
      </c>
      <c r="B3924" t="str">
        <f>"600127"</f>
        <v>600127</v>
      </c>
      <c r="C3924" t="s">
        <v>8186</v>
      </c>
      <c r="D3924" t="s">
        <v>373</v>
      </c>
      <c r="E3924">
        <v>97311778</v>
      </c>
      <c r="F3924">
        <v>162169688</v>
      </c>
      <c r="G3924">
        <v>157945567</v>
      </c>
      <c r="H3924">
        <v>115971531</v>
      </c>
      <c r="I3924">
        <v>205706793</v>
      </c>
      <c r="J3924">
        <v>129535688</v>
      </c>
      <c r="K3924">
        <v>101347522</v>
      </c>
      <c r="L3924">
        <v>102878436</v>
      </c>
      <c r="M3924">
        <v>114556016</v>
      </c>
      <c r="N3924">
        <v>99509014</v>
      </c>
      <c r="O3924">
        <v>102054021</v>
      </c>
      <c r="P3924">
        <v>231</v>
      </c>
      <c r="Q3924" t="s">
        <v>8187</v>
      </c>
    </row>
    <row r="3925" spans="1:17" x14ac:dyDescent="0.3">
      <c r="A3925" t="s">
        <v>73</v>
      </c>
      <c r="B3925" t="str">
        <f>"300672"</f>
        <v>300672</v>
      </c>
      <c r="C3925" t="s">
        <v>8188</v>
      </c>
      <c r="D3925" t="s">
        <v>890</v>
      </c>
      <c r="E3925">
        <v>97252786</v>
      </c>
      <c r="F3925">
        <v>142298996</v>
      </c>
      <c r="G3925">
        <v>204655823</v>
      </c>
      <c r="H3925">
        <v>215213461</v>
      </c>
      <c r="I3925">
        <v>161276660</v>
      </c>
      <c r="J3925">
        <v>112061341</v>
      </c>
      <c r="P3925">
        <v>305</v>
      </c>
      <c r="Q3925" t="s">
        <v>8189</v>
      </c>
    </row>
    <row r="3926" spans="1:17" x14ac:dyDescent="0.3">
      <c r="A3926" t="s">
        <v>17</v>
      </c>
      <c r="B3926" t="str">
        <f>"603127"</f>
        <v>603127</v>
      </c>
      <c r="C3926" t="s">
        <v>8190</v>
      </c>
      <c r="D3926" t="s">
        <v>459</v>
      </c>
      <c r="E3926">
        <v>97186221</v>
      </c>
      <c r="F3926">
        <v>75154346</v>
      </c>
      <c r="G3926">
        <v>97675142</v>
      </c>
      <c r="H3926">
        <v>39033646</v>
      </c>
      <c r="I3926">
        <v>25936793</v>
      </c>
      <c r="P3926">
        <v>1812</v>
      </c>
      <c r="Q3926" t="s">
        <v>8191</v>
      </c>
    </row>
    <row r="3927" spans="1:17" x14ac:dyDescent="0.3">
      <c r="A3927" t="s">
        <v>73</v>
      </c>
      <c r="B3927" t="str">
        <f>"300585"</f>
        <v>300585</v>
      </c>
      <c r="C3927" t="s">
        <v>8192</v>
      </c>
      <c r="D3927" t="s">
        <v>122</v>
      </c>
      <c r="E3927">
        <v>97165656</v>
      </c>
      <c r="F3927">
        <v>116783122</v>
      </c>
      <c r="G3927">
        <v>121391579</v>
      </c>
      <c r="H3927">
        <v>121536941</v>
      </c>
      <c r="I3927">
        <v>130336027</v>
      </c>
      <c r="J3927">
        <v>111908519</v>
      </c>
      <c r="K3927">
        <v>0</v>
      </c>
      <c r="P3927">
        <v>92</v>
      </c>
      <c r="Q3927" t="s">
        <v>8193</v>
      </c>
    </row>
    <row r="3928" spans="1:17" x14ac:dyDescent="0.3">
      <c r="A3928" t="s">
        <v>73</v>
      </c>
      <c r="B3928" t="str">
        <f>"301138"</f>
        <v>301138</v>
      </c>
      <c r="C3928" t="s">
        <v>8194</v>
      </c>
      <c r="D3928" t="s">
        <v>1451</v>
      </c>
      <c r="E3928">
        <v>96986488</v>
      </c>
      <c r="P3928">
        <v>16</v>
      </c>
      <c r="Q3928" t="s">
        <v>8195</v>
      </c>
    </row>
    <row r="3929" spans="1:17" x14ac:dyDescent="0.3">
      <c r="A3929" t="s">
        <v>73</v>
      </c>
      <c r="B3929" t="str">
        <f>"301258"</f>
        <v>301258</v>
      </c>
      <c r="C3929" t="s">
        <v>8196</v>
      </c>
      <c r="E3929">
        <v>96707655</v>
      </c>
      <c r="P3929">
        <v>4</v>
      </c>
      <c r="Q3929" t="s">
        <v>8197</v>
      </c>
    </row>
    <row r="3930" spans="1:17" x14ac:dyDescent="0.3">
      <c r="A3930" t="s">
        <v>73</v>
      </c>
      <c r="B3930" t="str">
        <f>"300661"</f>
        <v>300661</v>
      </c>
      <c r="C3930" t="s">
        <v>8198</v>
      </c>
      <c r="D3930" t="s">
        <v>3360</v>
      </c>
      <c r="E3930">
        <v>96663772</v>
      </c>
      <c r="F3930">
        <v>67488767</v>
      </c>
      <c r="G3930">
        <v>48344116</v>
      </c>
      <c r="H3930">
        <v>28206718</v>
      </c>
      <c r="I3930">
        <v>24492413</v>
      </c>
      <c r="J3930">
        <v>0</v>
      </c>
      <c r="P3930">
        <v>1054</v>
      </c>
      <c r="Q3930" t="s">
        <v>8199</v>
      </c>
    </row>
    <row r="3931" spans="1:17" x14ac:dyDescent="0.3">
      <c r="A3931" t="s">
        <v>17</v>
      </c>
      <c r="B3931" t="str">
        <f>"688080"</f>
        <v>688080</v>
      </c>
      <c r="C3931" t="s">
        <v>8200</v>
      </c>
      <c r="D3931" t="s">
        <v>2542</v>
      </c>
      <c r="E3931">
        <v>96535326</v>
      </c>
      <c r="F3931">
        <v>92198045</v>
      </c>
      <c r="G3931">
        <v>109396950</v>
      </c>
      <c r="H3931">
        <v>0</v>
      </c>
      <c r="P3931">
        <v>87</v>
      </c>
      <c r="Q3931" t="s">
        <v>8201</v>
      </c>
    </row>
    <row r="3932" spans="1:17" x14ac:dyDescent="0.3">
      <c r="A3932" t="s">
        <v>17</v>
      </c>
      <c r="B3932" t="str">
        <f>"603863"</f>
        <v>603863</v>
      </c>
      <c r="C3932" t="s">
        <v>8202</v>
      </c>
      <c r="D3932" t="s">
        <v>644</v>
      </c>
      <c r="E3932">
        <v>96399613</v>
      </c>
      <c r="F3932">
        <v>78368139</v>
      </c>
      <c r="G3932">
        <v>63617366</v>
      </c>
      <c r="H3932">
        <v>0</v>
      </c>
      <c r="I3932">
        <v>0</v>
      </c>
      <c r="P3932">
        <v>51</v>
      </c>
      <c r="Q3932" t="s">
        <v>8203</v>
      </c>
    </row>
    <row r="3933" spans="1:17" x14ac:dyDescent="0.3">
      <c r="A3933" t="s">
        <v>73</v>
      </c>
      <c r="B3933" t="str">
        <f>"300731"</f>
        <v>300731</v>
      </c>
      <c r="C3933" t="s">
        <v>8204</v>
      </c>
      <c r="D3933" t="s">
        <v>2295</v>
      </c>
      <c r="E3933">
        <v>96285654</v>
      </c>
      <c r="F3933">
        <v>130245838</v>
      </c>
      <c r="G3933">
        <v>66522101</v>
      </c>
      <c r="H3933">
        <v>56006123</v>
      </c>
      <c r="I3933">
        <v>44144793</v>
      </c>
      <c r="J3933">
        <v>0</v>
      </c>
      <c r="P3933">
        <v>186</v>
      </c>
      <c r="Q3933" t="s">
        <v>8205</v>
      </c>
    </row>
    <row r="3934" spans="1:17" x14ac:dyDescent="0.3">
      <c r="A3934" t="s">
        <v>73</v>
      </c>
      <c r="B3934" t="str">
        <f>"301201"</f>
        <v>301201</v>
      </c>
      <c r="C3934" t="s">
        <v>8206</v>
      </c>
      <c r="D3934" t="s">
        <v>459</v>
      </c>
      <c r="E3934">
        <v>96229798</v>
      </c>
      <c r="P3934">
        <v>18</v>
      </c>
      <c r="Q3934" t="s">
        <v>8207</v>
      </c>
    </row>
    <row r="3935" spans="1:17" x14ac:dyDescent="0.3">
      <c r="A3935" t="s">
        <v>73</v>
      </c>
      <c r="B3935" t="str">
        <f>"300831"</f>
        <v>300831</v>
      </c>
      <c r="C3935" t="s">
        <v>8208</v>
      </c>
      <c r="D3935" t="s">
        <v>1479</v>
      </c>
      <c r="E3935">
        <v>96043358</v>
      </c>
      <c r="F3935">
        <v>98082824</v>
      </c>
      <c r="G3935">
        <v>185363530</v>
      </c>
      <c r="H3935">
        <v>0</v>
      </c>
      <c r="P3935">
        <v>129</v>
      </c>
      <c r="Q3935" t="s">
        <v>8209</v>
      </c>
    </row>
    <row r="3936" spans="1:17" x14ac:dyDescent="0.3">
      <c r="A3936" t="s">
        <v>17</v>
      </c>
      <c r="B3936" t="str">
        <f>"688699"</f>
        <v>688699</v>
      </c>
      <c r="C3936" t="s">
        <v>8210</v>
      </c>
      <c r="D3936" t="s">
        <v>3360</v>
      </c>
      <c r="E3936">
        <v>96035161</v>
      </c>
      <c r="F3936">
        <v>88004692</v>
      </c>
      <c r="P3936">
        <v>140</v>
      </c>
      <c r="Q3936" t="s">
        <v>8211</v>
      </c>
    </row>
    <row r="3937" spans="1:17" x14ac:dyDescent="0.3">
      <c r="A3937" t="s">
        <v>17</v>
      </c>
      <c r="B3937" t="str">
        <f>"688611"</f>
        <v>688611</v>
      </c>
      <c r="C3937" t="s">
        <v>8212</v>
      </c>
      <c r="D3937" t="s">
        <v>161</v>
      </c>
      <c r="E3937">
        <v>96007664</v>
      </c>
      <c r="F3937">
        <v>44518272</v>
      </c>
      <c r="P3937">
        <v>38</v>
      </c>
      <c r="Q3937" t="s">
        <v>8213</v>
      </c>
    </row>
    <row r="3938" spans="1:17" x14ac:dyDescent="0.3">
      <c r="A3938" t="s">
        <v>17</v>
      </c>
      <c r="B3938" t="str">
        <f>"600368"</f>
        <v>600368</v>
      </c>
      <c r="C3938" t="s">
        <v>8214</v>
      </c>
      <c r="D3938" t="s">
        <v>1592</v>
      </c>
      <c r="E3938">
        <v>96000403</v>
      </c>
      <c r="F3938">
        <v>184509844</v>
      </c>
      <c r="G3938">
        <v>77063277</v>
      </c>
      <c r="H3938">
        <v>219761381</v>
      </c>
      <c r="I3938">
        <v>134231379</v>
      </c>
      <c r="J3938">
        <v>144285449</v>
      </c>
      <c r="K3938">
        <v>141854226</v>
      </c>
      <c r="L3938">
        <v>388767147</v>
      </c>
      <c r="M3938">
        <v>493669780</v>
      </c>
      <c r="N3938">
        <v>310662846</v>
      </c>
      <c r="O3938">
        <v>327502011</v>
      </c>
      <c r="P3938">
        <v>302</v>
      </c>
      <c r="Q3938" t="s">
        <v>8215</v>
      </c>
    </row>
    <row r="3939" spans="1:17" x14ac:dyDescent="0.3">
      <c r="A3939" t="s">
        <v>73</v>
      </c>
      <c r="B3939" t="str">
        <f>"002732"</f>
        <v>002732</v>
      </c>
      <c r="C3939" t="s">
        <v>8216</v>
      </c>
      <c r="D3939" t="s">
        <v>1027</v>
      </c>
      <c r="E3939">
        <v>95809148</v>
      </c>
      <c r="F3939">
        <v>92172166</v>
      </c>
      <c r="G3939">
        <v>86698540</v>
      </c>
      <c r="H3939">
        <v>64517660</v>
      </c>
      <c r="I3939">
        <v>69398661</v>
      </c>
      <c r="J3939">
        <v>46876416</v>
      </c>
      <c r="K3939">
        <v>39787465</v>
      </c>
      <c r="L3939">
        <v>15826847</v>
      </c>
      <c r="M3939">
        <v>0</v>
      </c>
      <c r="P3939">
        <v>349</v>
      </c>
      <c r="Q3939" t="s">
        <v>8217</v>
      </c>
    </row>
    <row r="3940" spans="1:17" x14ac:dyDescent="0.3">
      <c r="A3940" t="s">
        <v>17</v>
      </c>
      <c r="B3940" t="str">
        <f>"603416"</f>
        <v>603416</v>
      </c>
      <c r="C3940" t="s">
        <v>8218</v>
      </c>
      <c r="D3940" t="s">
        <v>2121</v>
      </c>
      <c r="E3940">
        <v>95204853</v>
      </c>
      <c r="F3940">
        <v>62658902</v>
      </c>
      <c r="G3940">
        <v>66024815</v>
      </c>
      <c r="H3940">
        <v>55209434</v>
      </c>
      <c r="I3940">
        <v>72595750</v>
      </c>
      <c r="J3940">
        <v>72389822</v>
      </c>
      <c r="P3940">
        <v>325</v>
      </c>
      <c r="Q3940" t="s">
        <v>8219</v>
      </c>
    </row>
    <row r="3941" spans="1:17" x14ac:dyDescent="0.3">
      <c r="A3941" t="s">
        <v>73</v>
      </c>
      <c r="B3941" t="str">
        <f>"000565"</f>
        <v>000565</v>
      </c>
      <c r="C3941" t="s">
        <v>8220</v>
      </c>
      <c r="D3941" t="s">
        <v>3072</v>
      </c>
      <c r="E3941">
        <v>95035146</v>
      </c>
      <c r="F3941">
        <v>100424340</v>
      </c>
      <c r="G3941">
        <v>126910004</v>
      </c>
      <c r="H3941">
        <v>139262084</v>
      </c>
      <c r="I3941">
        <v>140963605</v>
      </c>
      <c r="J3941">
        <v>242450675</v>
      </c>
      <c r="K3941">
        <v>131402953</v>
      </c>
      <c r="L3941">
        <v>154051480</v>
      </c>
      <c r="M3941">
        <v>121560477</v>
      </c>
      <c r="N3941">
        <v>65528893</v>
      </c>
      <c r="O3941">
        <v>77041679</v>
      </c>
      <c r="P3941">
        <v>79</v>
      </c>
      <c r="Q3941" t="s">
        <v>8221</v>
      </c>
    </row>
    <row r="3942" spans="1:17" x14ac:dyDescent="0.3">
      <c r="A3942" t="s">
        <v>17</v>
      </c>
      <c r="B3942" t="str">
        <f>"600624"</f>
        <v>600624</v>
      </c>
      <c r="C3942" t="s">
        <v>8222</v>
      </c>
      <c r="D3942" t="s">
        <v>348</v>
      </c>
      <c r="E3942">
        <v>95016823</v>
      </c>
      <c r="F3942">
        <v>97415390</v>
      </c>
      <c r="G3942">
        <v>112942367</v>
      </c>
      <c r="H3942">
        <v>113820516</v>
      </c>
      <c r="I3942">
        <v>116861294</v>
      </c>
      <c r="J3942">
        <v>99926282</v>
      </c>
      <c r="K3942">
        <v>68977543</v>
      </c>
      <c r="L3942">
        <v>60590545</v>
      </c>
      <c r="M3942">
        <v>52397659</v>
      </c>
      <c r="N3942">
        <v>73756292</v>
      </c>
      <c r="O3942">
        <v>111832392</v>
      </c>
      <c r="P3942">
        <v>122</v>
      </c>
      <c r="Q3942" t="s">
        <v>8223</v>
      </c>
    </row>
    <row r="3943" spans="1:17" x14ac:dyDescent="0.3">
      <c r="A3943" t="s">
        <v>17</v>
      </c>
      <c r="B3943" t="str">
        <f>"605162"</f>
        <v>605162</v>
      </c>
      <c r="C3943" t="s">
        <v>8224</v>
      </c>
      <c r="D3943" t="s">
        <v>1106</v>
      </c>
      <c r="E3943">
        <v>94620054</v>
      </c>
      <c r="F3943">
        <v>64153475</v>
      </c>
      <c r="P3943">
        <v>27</v>
      </c>
      <c r="Q3943" t="s">
        <v>8225</v>
      </c>
    </row>
    <row r="3944" spans="1:17" x14ac:dyDescent="0.3">
      <c r="A3944" t="s">
        <v>73</v>
      </c>
      <c r="B3944" t="str">
        <f>"300722"</f>
        <v>300722</v>
      </c>
      <c r="C3944" t="s">
        <v>8226</v>
      </c>
      <c r="D3944" t="s">
        <v>433</v>
      </c>
      <c r="E3944">
        <v>94491674</v>
      </c>
      <c r="F3944">
        <v>89493769</v>
      </c>
      <c r="G3944">
        <v>61649450</v>
      </c>
      <c r="H3944">
        <v>72678096</v>
      </c>
      <c r="I3944">
        <v>57518007</v>
      </c>
      <c r="J3944">
        <v>0</v>
      </c>
      <c r="P3944">
        <v>113</v>
      </c>
      <c r="Q3944" t="s">
        <v>8227</v>
      </c>
    </row>
    <row r="3945" spans="1:17" x14ac:dyDescent="0.3">
      <c r="A3945" t="s">
        <v>17</v>
      </c>
      <c r="B3945" t="str">
        <f>"688513"</f>
        <v>688513</v>
      </c>
      <c r="C3945" t="s">
        <v>8228</v>
      </c>
      <c r="D3945" t="s">
        <v>348</v>
      </c>
      <c r="E3945">
        <v>94449255</v>
      </c>
      <c r="F3945">
        <v>87085426</v>
      </c>
      <c r="G3945">
        <v>0</v>
      </c>
      <c r="P3945">
        <v>58</v>
      </c>
      <c r="Q3945" t="s">
        <v>8229</v>
      </c>
    </row>
    <row r="3946" spans="1:17" x14ac:dyDescent="0.3">
      <c r="A3946" t="s">
        <v>17</v>
      </c>
      <c r="B3946" t="str">
        <f>"688083"</f>
        <v>688083</v>
      </c>
      <c r="C3946" t="s">
        <v>8230</v>
      </c>
      <c r="D3946" t="s">
        <v>795</v>
      </c>
      <c r="E3946">
        <v>94366019</v>
      </c>
      <c r="F3946">
        <v>39921312</v>
      </c>
      <c r="P3946">
        <v>130</v>
      </c>
      <c r="Q3946" t="s">
        <v>8231</v>
      </c>
    </row>
    <row r="3947" spans="1:17" x14ac:dyDescent="0.3">
      <c r="A3947" t="s">
        <v>17</v>
      </c>
      <c r="B3947" t="str">
        <f>"605003"</f>
        <v>605003</v>
      </c>
      <c r="C3947" t="s">
        <v>8232</v>
      </c>
      <c r="D3947" t="s">
        <v>4320</v>
      </c>
      <c r="E3947">
        <v>94114346</v>
      </c>
      <c r="F3947">
        <v>74218948</v>
      </c>
      <c r="G3947">
        <v>44639972</v>
      </c>
      <c r="P3947">
        <v>75</v>
      </c>
      <c r="Q3947" t="s">
        <v>8233</v>
      </c>
    </row>
    <row r="3948" spans="1:17" x14ac:dyDescent="0.3">
      <c r="A3948" t="s">
        <v>17</v>
      </c>
      <c r="B3948" t="str">
        <f>"603860"</f>
        <v>603860</v>
      </c>
      <c r="C3948" t="s">
        <v>8234</v>
      </c>
      <c r="D3948" t="s">
        <v>661</v>
      </c>
      <c r="E3948">
        <v>93910073</v>
      </c>
      <c r="F3948">
        <v>98944996</v>
      </c>
      <c r="G3948">
        <v>94056253</v>
      </c>
      <c r="H3948">
        <v>116861027</v>
      </c>
      <c r="I3948">
        <v>110144676</v>
      </c>
      <c r="J3948">
        <v>67056302</v>
      </c>
      <c r="K3948">
        <v>0</v>
      </c>
      <c r="P3948">
        <v>58</v>
      </c>
      <c r="Q3948" t="s">
        <v>8235</v>
      </c>
    </row>
    <row r="3949" spans="1:17" x14ac:dyDescent="0.3">
      <c r="A3949" t="s">
        <v>73</v>
      </c>
      <c r="B3949" t="str">
        <f>"002538"</f>
        <v>002538</v>
      </c>
      <c r="C3949" t="s">
        <v>8236</v>
      </c>
      <c r="D3949" t="s">
        <v>4079</v>
      </c>
      <c r="E3949">
        <v>93902243</v>
      </c>
      <c r="F3949">
        <v>123307351</v>
      </c>
      <c r="G3949">
        <v>128300690</v>
      </c>
      <c r="H3949">
        <v>0</v>
      </c>
      <c r="I3949">
        <v>185987904</v>
      </c>
      <c r="J3949">
        <v>117437261</v>
      </c>
      <c r="K3949">
        <v>147416434</v>
      </c>
      <c r="L3949">
        <v>114315696</v>
      </c>
      <c r="M3949">
        <v>86713798</v>
      </c>
      <c r="N3949">
        <v>106964154</v>
      </c>
      <c r="O3949">
        <v>88015851</v>
      </c>
      <c r="P3949">
        <v>174</v>
      </c>
      <c r="Q3949" t="s">
        <v>8237</v>
      </c>
    </row>
    <row r="3950" spans="1:17" x14ac:dyDescent="0.3">
      <c r="A3950" t="s">
        <v>73</v>
      </c>
      <c r="B3950" t="str">
        <f>"003023"</f>
        <v>003023</v>
      </c>
      <c r="C3950" t="s">
        <v>8238</v>
      </c>
      <c r="D3950" t="s">
        <v>1186</v>
      </c>
      <c r="E3950">
        <v>93628066</v>
      </c>
      <c r="F3950">
        <v>101424429</v>
      </c>
      <c r="P3950">
        <v>49</v>
      </c>
      <c r="Q3950" t="s">
        <v>8239</v>
      </c>
    </row>
    <row r="3951" spans="1:17" x14ac:dyDescent="0.3">
      <c r="A3951" t="s">
        <v>73</v>
      </c>
      <c r="B3951" t="str">
        <f>"002401"</f>
        <v>002401</v>
      </c>
      <c r="C3951" t="s">
        <v>8240</v>
      </c>
      <c r="D3951" t="s">
        <v>302</v>
      </c>
      <c r="E3951">
        <v>93038433</v>
      </c>
      <c r="F3951">
        <v>91679396</v>
      </c>
      <c r="G3951">
        <v>98974670</v>
      </c>
      <c r="H3951">
        <v>151800885</v>
      </c>
      <c r="I3951">
        <v>141349010</v>
      </c>
      <c r="J3951">
        <v>125204909</v>
      </c>
      <c r="K3951">
        <v>119056704</v>
      </c>
      <c r="L3951">
        <v>122048645</v>
      </c>
      <c r="M3951">
        <v>102744823</v>
      </c>
      <c r="N3951">
        <v>136270538</v>
      </c>
      <c r="O3951">
        <v>50643967</v>
      </c>
      <c r="P3951">
        <v>152</v>
      </c>
      <c r="Q3951" t="s">
        <v>8241</v>
      </c>
    </row>
    <row r="3952" spans="1:17" x14ac:dyDescent="0.3">
      <c r="A3952" t="s">
        <v>17</v>
      </c>
      <c r="B3952" t="str">
        <f>"688261"</f>
        <v>688261</v>
      </c>
      <c r="C3952" t="s">
        <v>8242</v>
      </c>
      <c r="E3952">
        <v>92937000</v>
      </c>
      <c r="P3952">
        <v>11</v>
      </c>
      <c r="Q3952" t="s">
        <v>8243</v>
      </c>
    </row>
    <row r="3953" spans="1:17" x14ac:dyDescent="0.3">
      <c r="A3953" t="s">
        <v>73</v>
      </c>
      <c r="B3953" t="str">
        <f>"300126"</f>
        <v>300126</v>
      </c>
      <c r="C3953" t="s">
        <v>8244</v>
      </c>
      <c r="D3953" t="s">
        <v>873</v>
      </c>
      <c r="E3953">
        <v>92901310</v>
      </c>
      <c r="F3953">
        <v>127543668</v>
      </c>
      <c r="G3953">
        <v>69980303</v>
      </c>
      <c r="H3953">
        <v>104088360</v>
      </c>
      <c r="I3953">
        <v>164835271</v>
      </c>
      <c r="J3953">
        <v>204752939</v>
      </c>
      <c r="K3953">
        <v>276027302</v>
      </c>
      <c r="L3953">
        <v>258022389</v>
      </c>
      <c r="M3953">
        <v>144051543</v>
      </c>
      <c r="N3953">
        <v>131789759</v>
      </c>
      <c r="O3953">
        <v>132144503</v>
      </c>
      <c r="P3953">
        <v>50</v>
      </c>
      <c r="Q3953" t="s">
        <v>8245</v>
      </c>
    </row>
    <row r="3954" spans="1:17" x14ac:dyDescent="0.3">
      <c r="A3954" t="s">
        <v>73</v>
      </c>
      <c r="B3954" t="str">
        <f>"300282"</f>
        <v>300282</v>
      </c>
      <c r="C3954" t="s">
        <v>8246</v>
      </c>
      <c r="D3954" t="s">
        <v>4229</v>
      </c>
      <c r="E3954">
        <v>92873592</v>
      </c>
      <c r="F3954">
        <v>150355907</v>
      </c>
      <c r="G3954">
        <v>274414897</v>
      </c>
      <c r="H3954">
        <v>284863128</v>
      </c>
      <c r="I3954">
        <v>210197766</v>
      </c>
      <c r="J3954">
        <v>538584266</v>
      </c>
      <c r="K3954">
        <v>454200810</v>
      </c>
      <c r="L3954">
        <v>543588328</v>
      </c>
      <c r="M3954">
        <v>33900204</v>
      </c>
      <c r="N3954">
        <v>18660435</v>
      </c>
      <c r="O3954">
        <v>26555608</v>
      </c>
      <c r="P3954">
        <v>100</v>
      </c>
      <c r="Q3954" t="s">
        <v>8247</v>
      </c>
    </row>
    <row r="3955" spans="1:17" x14ac:dyDescent="0.3">
      <c r="A3955" t="s">
        <v>73</v>
      </c>
      <c r="B3955" t="str">
        <f>"300561"</f>
        <v>300561</v>
      </c>
      <c r="C3955" t="s">
        <v>8248</v>
      </c>
      <c r="D3955" t="s">
        <v>795</v>
      </c>
      <c r="E3955">
        <v>92751957</v>
      </c>
      <c r="F3955">
        <v>81106439</v>
      </c>
      <c r="G3955">
        <v>131786708</v>
      </c>
      <c r="H3955">
        <v>170141863</v>
      </c>
      <c r="I3955">
        <v>129104304</v>
      </c>
      <c r="J3955">
        <v>48287984</v>
      </c>
      <c r="K3955">
        <v>0</v>
      </c>
      <c r="P3955">
        <v>114</v>
      </c>
      <c r="Q3955" t="s">
        <v>8249</v>
      </c>
    </row>
    <row r="3956" spans="1:17" x14ac:dyDescent="0.3">
      <c r="A3956" t="s">
        <v>73</v>
      </c>
      <c r="B3956" t="str">
        <f>"000830"</f>
        <v>000830</v>
      </c>
      <c r="C3956" t="s">
        <v>8250</v>
      </c>
      <c r="D3956" t="s">
        <v>1145</v>
      </c>
      <c r="E3956">
        <v>92748974</v>
      </c>
      <c r="F3956">
        <v>130847022</v>
      </c>
      <c r="G3956">
        <v>101018458</v>
      </c>
      <c r="H3956">
        <v>174956745</v>
      </c>
      <c r="I3956">
        <v>103952051</v>
      </c>
      <c r="J3956">
        <v>104881413</v>
      </c>
      <c r="K3956">
        <v>29213453</v>
      </c>
      <c r="L3956">
        <v>5754433</v>
      </c>
      <c r="M3956">
        <v>38963791</v>
      </c>
      <c r="N3956">
        <v>9109470</v>
      </c>
      <c r="O3956">
        <v>5152474</v>
      </c>
      <c r="P3956">
        <v>891</v>
      </c>
      <c r="Q3956" t="s">
        <v>8251</v>
      </c>
    </row>
    <row r="3957" spans="1:17" x14ac:dyDescent="0.3">
      <c r="A3957" t="s">
        <v>73</v>
      </c>
      <c r="B3957" t="str">
        <f>"300980"</f>
        <v>300980</v>
      </c>
      <c r="C3957" t="s">
        <v>8252</v>
      </c>
      <c r="D3957" t="s">
        <v>3079</v>
      </c>
      <c r="E3957">
        <v>92648145</v>
      </c>
      <c r="F3957">
        <v>84699906</v>
      </c>
      <c r="P3957">
        <v>77</v>
      </c>
      <c r="Q3957" t="s">
        <v>8253</v>
      </c>
    </row>
    <row r="3958" spans="1:17" x14ac:dyDescent="0.3">
      <c r="A3958" t="s">
        <v>73</v>
      </c>
      <c r="B3958" t="str">
        <f>"002634"</f>
        <v>002634</v>
      </c>
      <c r="C3958" t="s">
        <v>8254</v>
      </c>
      <c r="D3958" t="s">
        <v>2601</v>
      </c>
      <c r="E3958">
        <v>92361919</v>
      </c>
      <c r="F3958">
        <v>59407133</v>
      </c>
      <c r="G3958">
        <v>51784700</v>
      </c>
      <c r="H3958">
        <v>57266123</v>
      </c>
      <c r="I3958">
        <v>59777214</v>
      </c>
      <c r="J3958">
        <v>47641570</v>
      </c>
      <c r="K3958">
        <v>65531162</v>
      </c>
      <c r="L3958">
        <v>44208073</v>
      </c>
      <c r="M3958">
        <v>66944190</v>
      </c>
      <c r="N3958">
        <v>61755816</v>
      </c>
      <c r="O3958">
        <v>57123990</v>
      </c>
      <c r="P3958">
        <v>88</v>
      </c>
      <c r="Q3958" t="s">
        <v>8255</v>
      </c>
    </row>
    <row r="3959" spans="1:17" x14ac:dyDescent="0.3">
      <c r="A3959" t="s">
        <v>73</v>
      </c>
      <c r="B3959" t="str">
        <f>"300911"</f>
        <v>300911</v>
      </c>
      <c r="C3959" t="s">
        <v>8256</v>
      </c>
      <c r="D3959" t="s">
        <v>1693</v>
      </c>
      <c r="E3959">
        <v>92312248</v>
      </c>
      <c r="F3959">
        <v>8019189</v>
      </c>
      <c r="P3959">
        <v>151</v>
      </c>
      <c r="Q3959" t="s">
        <v>8257</v>
      </c>
    </row>
    <row r="3960" spans="1:17" x14ac:dyDescent="0.3">
      <c r="A3960" t="s">
        <v>73</v>
      </c>
      <c r="B3960" t="str">
        <f>"002496"</f>
        <v>002496</v>
      </c>
      <c r="C3960" t="s">
        <v>8258</v>
      </c>
      <c r="D3960" t="s">
        <v>272</v>
      </c>
      <c r="E3960">
        <v>92216233</v>
      </c>
      <c r="F3960">
        <v>318677824</v>
      </c>
      <c r="G3960">
        <v>311015570</v>
      </c>
      <c r="H3960">
        <v>516211728</v>
      </c>
      <c r="I3960">
        <v>662894825</v>
      </c>
      <c r="J3960">
        <v>901561970</v>
      </c>
      <c r="K3960">
        <v>547277831</v>
      </c>
      <c r="L3960">
        <v>422233126</v>
      </c>
      <c r="M3960">
        <v>354381407</v>
      </c>
      <c r="N3960">
        <v>327948200</v>
      </c>
      <c r="O3960">
        <v>230415035</v>
      </c>
      <c r="P3960">
        <v>158</v>
      </c>
      <c r="Q3960" t="s">
        <v>8259</v>
      </c>
    </row>
    <row r="3961" spans="1:17" x14ac:dyDescent="0.3">
      <c r="A3961" t="s">
        <v>73</v>
      </c>
      <c r="B3961" t="str">
        <f>"300885"</f>
        <v>300885</v>
      </c>
      <c r="C3961" t="s">
        <v>8260</v>
      </c>
      <c r="D3961" t="s">
        <v>146</v>
      </c>
      <c r="E3961">
        <v>92214657</v>
      </c>
      <c r="F3961">
        <v>81808992</v>
      </c>
      <c r="G3961">
        <v>0</v>
      </c>
      <c r="P3961">
        <v>45</v>
      </c>
      <c r="Q3961" t="s">
        <v>8261</v>
      </c>
    </row>
    <row r="3962" spans="1:17" x14ac:dyDescent="0.3">
      <c r="A3962" t="s">
        <v>73</v>
      </c>
      <c r="B3962" t="str">
        <f>"300478"</f>
        <v>300478</v>
      </c>
      <c r="C3962" t="s">
        <v>8262</v>
      </c>
      <c r="D3962" t="s">
        <v>570</v>
      </c>
      <c r="E3962">
        <v>92137259</v>
      </c>
      <c r="F3962">
        <v>90282487</v>
      </c>
      <c r="G3962">
        <v>117607036</v>
      </c>
      <c r="H3962">
        <v>129427912</v>
      </c>
      <c r="I3962">
        <v>258845224</v>
      </c>
      <c r="J3962">
        <v>138512098</v>
      </c>
      <c r="K3962">
        <v>160208111</v>
      </c>
      <c r="L3962">
        <v>0</v>
      </c>
      <c r="M3962">
        <v>0</v>
      </c>
      <c r="P3962">
        <v>58</v>
      </c>
      <c r="Q3962" t="s">
        <v>8263</v>
      </c>
    </row>
    <row r="3963" spans="1:17" x14ac:dyDescent="0.3">
      <c r="A3963" t="s">
        <v>73</v>
      </c>
      <c r="B3963" t="str">
        <f>"000596"</f>
        <v>000596</v>
      </c>
      <c r="C3963" t="s">
        <v>8264</v>
      </c>
      <c r="D3963" t="s">
        <v>7050</v>
      </c>
      <c r="E3963">
        <v>91918173</v>
      </c>
      <c r="F3963">
        <v>71406346</v>
      </c>
      <c r="G3963">
        <v>40290782</v>
      </c>
      <c r="H3963">
        <v>40100315</v>
      </c>
      <c r="I3963">
        <v>25975449</v>
      </c>
      <c r="J3963">
        <v>17169637</v>
      </c>
      <c r="K3963">
        <v>4985056</v>
      </c>
      <c r="L3963">
        <v>5121999</v>
      </c>
      <c r="M3963">
        <v>5090857</v>
      </c>
      <c r="N3963">
        <v>43076067</v>
      </c>
      <c r="O3963">
        <v>38817661</v>
      </c>
      <c r="P3963">
        <v>53678</v>
      </c>
      <c r="Q3963" t="s">
        <v>8265</v>
      </c>
    </row>
    <row r="3964" spans="1:17" x14ac:dyDescent="0.3">
      <c r="A3964" t="s">
        <v>73</v>
      </c>
      <c r="B3964" t="str">
        <f>"300637"</f>
        <v>300637</v>
      </c>
      <c r="C3964" t="s">
        <v>8266</v>
      </c>
      <c r="D3964" t="s">
        <v>2178</v>
      </c>
      <c r="E3964">
        <v>91780437</v>
      </c>
      <c r="F3964">
        <v>52107387</v>
      </c>
      <c r="G3964">
        <v>57131541</v>
      </c>
      <c r="H3964">
        <v>35436290</v>
      </c>
      <c r="I3964">
        <v>48393736</v>
      </c>
      <c r="J3964">
        <v>60524446</v>
      </c>
      <c r="K3964">
        <v>0</v>
      </c>
      <c r="P3964">
        <v>117</v>
      </c>
      <c r="Q3964" t="s">
        <v>8267</v>
      </c>
    </row>
    <row r="3965" spans="1:17" x14ac:dyDescent="0.3">
      <c r="A3965" t="s">
        <v>17</v>
      </c>
      <c r="B3965" t="str">
        <f>"603722"</f>
        <v>603722</v>
      </c>
      <c r="C3965" t="s">
        <v>8268</v>
      </c>
      <c r="D3965" t="s">
        <v>3079</v>
      </c>
      <c r="E3965">
        <v>91688995</v>
      </c>
      <c r="F3965">
        <v>71450399</v>
      </c>
      <c r="G3965">
        <v>50379230</v>
      </c>
      <c r="H3965">
        <v>61409877</v>
      </c>
      <c r="I3965">
        <v>40874988</v>
      </c>
      <c r="J3965">
        <v>0</v>
      </c>
      <c r="P3965">
        <v>83</v>
      </c>
      <c r="Q3965" t="s">
        <v>8269</v>
      </c>
    </row>
    <row r="3966" spans="1:17" x14ac:dyDescent="0.3">
      <c r="A3966" t="s">
        <v>73</v>
      </c>
      <c r="B3966" t="str">
        <f>"301128"</f>
        <v>301128</v>
      </c>
      <c r="C3966" t="s">
        <v>8270</v>
      </c>
      <c r="D3966" t="s">
        <v>1451</v>
      </c>
      <c r="E3966">
        <v>91557295</v>
      </c>
      <c r="P3966">
        <v>12</v>
      </c>
      <c r="Q3966" t="s">
        <v>8271</v>
      </c>
    </row>
    <row r="3967" spans="1:17" x14ac:dyDescent="0.3">
      <c r="A3967" t="s">
        <v>73</v>
      </c>
      <c r="B3967" t="str">
        <f>"002086"</f>
        <v>002086</v>
      </c>
      <c r="C3967" t="s">
        <v>8272</v>
      </c>
      <c r="D3967" t="s">
        <v>3754</v>
      </c>
      <c r="E3967">
        <v>91506696</v>
      </c>
      <c r="F3967">
        <v>51348221</v>
      </c>
      <c r="G3967">
        <v>96443118</v>
      </c>
      <c r="H3967">
        <v>0</v>
      </c>
      <c r="I3967">
        <v>331920104</v>
      </c>
      <c r="J3967">
        <v>242847443</v>
      </c>
      <c r="K3967">
        <v>251649373</v>
      </c>
      <c r="L3967">
        <v>161013565</v>
      </c>
      <c r="M3967">
        <v>103107875</v>
      </c>
      <c r="N3967">
        <v>92391374</v>
      </c>
      <c r="O3967">
        <v>97656758</v>
      </c>
      <c r="P3967">
        <v>70</v>
      </c>
      <c r="Q3967" t="s">
        <v>8273</v>
      </c>
    </row>
    <row r="3968" spans="1:17" x14ac:dyDescent="0.3">
      <c r="A3968" t="s">
        <v>17</v>
      </c>
      <c r="B3968" t="str">
        <f>"605028"</f>
        <v>605028</v>
      </c>
      <c r="C3968" t="s">
        <v>8274</v>
      </c>
      <c r="D3968" t="s">
        <v>1106</v>
      </c>
      <c r="E3968">
        <v>91482148</v>
      </c>
      <c r="F3968">
        <v>69405571</v>
      </c>
      <c r="P3968">
        <v>46</v>
      </c>
      <c r="Q3968" t="s">
        <v>8275</v>
      </c>
    </row>
    <row r="3969" spans="1:17" x14ac:dyDescent="0.3">
      <c r="A3969" t="s">
        <v>73</v>
      </c>
      <c r="B3969" t="str">
        <f>"002168"</f>
        <v>002168</v>
      </c>
      <c r="C3969" t="s">
        <v>8276</v>
      </c>
      <c r="D3969" t="s">
        <v>899</v>
      </c>
      <c r="E3969">
        <v>91395059</v>
      </c>
      <c r="F3969">
        <v>91518102</v>
      </c>
      <c r="G3969">
        <v>242506295</v>
      </c>
      <c r="H3969">
        <v>377153772</v>
      </c>
      <c r="I3969">
        <v>276507997</v>
      </c>
      <c r="J3969">
        <v>100101201</v>
      </c>
      <c r="K3969">
        <v>100153299</v>
      </c>
      <c r="L3969">
        <v>100219282</v>
      </c>
      <c r="M3969">
        <v>202253681</v>
      </c>
      <c r="N3969">
        <v>179989946</v>
      </c>
      <c r="O3969">
        <v>170879520</v>
      </c>
      <c r="P3969">
        <v>158</v>
      </c>
      <c r="Q3969" t="s">
        <v>8277</v>
      </c>
    </row>
    <row r="3970" spans="1:17" x14ac:dyDescent="0.3">
      <c r="A3970" t="s">
        <v>17</v>
      </c>
      <c r="B3970" t="str">
        <f>"688696"</f>
        <v>688696</v>
      </c>
      <c r="C3970" t="s">
        <v>8278</v>
      </c>
      <c r="D3970" t="s">
        <v>251</v>
      </c>
      <c r="E3970">
        <v>91393893</v>
      </c>
      <c r="F3970">
        <v>58094927</v>
      </c>
      <c r="P3970">
        <v>150</v>
      </c>
      <c r="Q3970" t="s">
        <v>8279</v>
      </c>
    </row>
    <row r="3971" spans="1:17" x14ac:dyDescent="0.3">
      <c r="A3971" t="s">
        <v>73</v>
      </c>
      <c r="B3971" t="str">
        <f>"002107"</f>
        <v>002107</v>
      </c>
      <c r="C3971" t="s">
        <v>8280</v>
      </c>
      <c r="D3971" t="s">
        <v>215</v>
      </c>
      <c r="E3971">
        <v>91355073</v>
      </c>
      <c r="F3971">
        <v>112244280</v>
      </c>
      <c r="G3971">
        <v>106359858</v>
      </c>
      <c r="H3971">
        <v>89278244</v>
      </c>
      <c r="I3971">
        <v>108253505</v>
      </c>
      <c r="J3971">
        <v>69197037</v>
      </c>
      <c r="K3971">
        <v>50394326</v>
      </c>
      <c r="L3971">
        <v>34176555</v>
      </c>
      <c r="M3971">
        <v>21239741</v>
      </c>
      <c r="N3971">
        <v>20731363</v>
      </c>
      <c r="O3971">
        <v>20659101</v>
      </c>
      <c r="P3971">
        <v>350</v>
      </c>
      <c r="Q3971" t="s">
        <v>8281</v>
      </c>
    </row>
    <row r="3972" spans="1:17" x14ac:dyDescent="0.3">
      <c r="A3972" t="s">
        <v>17</v>
      </c>
      <c r="B3972" t="str">
        <f>"688786"</f>
        <v>688786</v>
      </c>
      <c r="C3972" t="s">
        <v>8282</v>
      </c>
      <c r="D3972" t="s">
        <v>1949</v>
      </c>
      <c r="E3972">
        <v>91099773</v>
      </c>
      <c r="P3972">
        <v>31</v>
      </c>
      <c r="Q3972" t="s">
        <v>8283</v>
      </c>
    </row>
    <row r="3973" spans="1:17" x14ac:dyDescent="0.3">
      <c r="A3973" t="s">
        <v>73</v>
      </c>
      <c r="B3973" t="str">
        <f>"002549"</f>
        <v>002549</v>
      </c>
      <c r="C3973" t="s">
        <v>8284</v>
      </c>
      <c r="D3973" t="s">
        <v>588</v>
      </c>
      <c r="E3973">
        <v>91060548</v>
      </c>
      <c r="F3973">
        <v>47392730</v>
      </c>
      <c r="G3973">
        <v>52087430</v>
      </c>
      <c r="H3973">
        <v>64463593</v>
      </c>
      <c r="I3973">
        <v>46777574</v>
      </c>
      <c r="J3973">
        <v>36136885</v>
      </c>
      <c r="K3973">
        <v>32831537</v>
      </c>
      <c r="L3973">
        <v>88859194</v>
      </c>
      <c r="M3973">
        <v>108466788</v>
      </c>
      <c r="N3973">
        <v>37570069</v>
      </c>
      <c r="O3973">
        <v>20129012</v>
      </c>
      <c r="P3973">
        <v>172</v>
      </c>
      <c r="Q3973" t="s">
        <v>8285</v>
      </c>
    </row>
    <row r="3974" spans="1:17" x14ac:dyDescent="0.3">
      <c r="A3974" t="s">
        <v>17</v>
      </c>
      <c r="B3974" t="str">
        <f>"603088"</f>
        <v>603088</v>
      </c>
      <c r="C3974" t="s">
        <v>8286</v>
      </c>
      <c r="D3974" t="s">
        <v>2332</v>
      </c>
      <c r="E3974">
        <v>90711826</v>
      </c>
      <c r="F3974">
        <v>51591175</v>
      </c>
      <c r="G3974">
        <v>72653137</v>
      </c>
      <c r="H3974">
        <v>67925432</v>
      </c>
      <c r="I3974">
        <v>89436157</v>
      </c>
      <c r="J3974">
        <v>58931252</v>
      </c>
      <c r="K3974">
        <v>70244569</v>
      </c>
      <c r="L3974">
        <v>74978858</v>
      </c>
      <c r="M3974">
        <v>0</v>
      </c>
      <c r="P3974">
        <v>106</v>
      </c>
      <c r="Q3974" t="s">
        <v>8287</v>
      </c>
    </row>
    <row r="3975" spans="1:17" x14ac:dyDescent="0.3">
      <c r="A3975" t="s">
        <v>17</v>
      </c>
      <c r="B3975" t="str">
        <f>"603069"</f>
        <v>603069</v>
      </c>
      <c r="C3975" t="s">
        <v>8288</v>
      </c>
      <c r="D3975" t="s">
        <v>4964</v>
      </c>
      <c r="E3975">
        <v>90129928</v>
      </c>
      <c r="F3975">
        <v>77639547</v>
      </c>
      <c r="G3975">
        <v>61158068</v>
      </c>
      <c r="H3975">
        <v>54482231</v>
      </c>
      <c r="I3975">
        <v>46426053</v>
      </c>
      <c r="J3975">
        <v>47047463</v>
      </c>
      <c r="K3975">
        <v>0</v>
      </c>
      <c r="L3975">
        <v>0</v>
      </c>
      <c r="P3975">
        <v>98</v>
      </c>
      <c r="Q3975" t="s">
        <v>8289</v>
      </c>
    </row>
    <row r="3976" spans="1:17" x14ac:dyDescent="0.3">
      <c r="A3976" t="s">
        <v>73</v>
      </c>
      <c r="B3976" t="str">
        <f>"300076"</f>
        <v>300076</v>
      </c>
      <c r="C3976" t="s">
        <v>8290</v>
      </c>
      <c r="D3976" t="s">
        <v>97</v>
      </c>
      <c r="E3976">
        <v>90070813</v>
      </c>
      <c r="F3976">
        <v>114118116</v>
      </c>
      <c r="G3976">
        <v>66911619</v>
      </c>
      <c r="H3976">
        <v>94661220</v>
      </c>
      <c r="I3976">
        <v>116904842</v>
      </c>
      <c r="J3976">
        <v>125014003</v>
      </c>
      <c r="K3976">
        <v>153522887</v>
      </c>
      <c r="L3976">
        <v>134876035</v>
      </c>
      <c r="M3976">
        <v>159019287</v>
      </c>
      <c r="N3976">
        <v>163749352</v>
      </c>
      <c r="O3976">
        <v>139972833</v>
      </c>
      <c r="P3976">
        <v>93</v>
      </c>
      <c r="Q3976" t="s">
        <v>8291</v>
      </c>
    </row>
    <row r="3977" spans="1:17" x14ac:dyDescent="0.3">
      <c r="A3977" t="s">
        <v>73</v>
      </c>
      <c r="B3977" t="str">
        <f>"002170"</f>
        <v>002170</v>
      </c>
      <c r="C3977" t="s">
        <v>8292</v>
      </c>
      <c r="D3977" t="s">
        <v>4079</v>
      </c>
      <c r="E3977">
        <v>89972342</v>
      </c>
      <c r="F3977">
        <v>88330672</v>
      </c>
      <c r="G3977">
        <v>313459947</v>
      </c>
      <c r="H3977">
        <v>262496207</v>
      </c>
      <c r="I3977">
        <v>73858786</v>
      </c>
      <c r="J3977">
        <v>61434476</v>
      </c>
      <c r="K3977">
        <v>60356870</v>
      </c>
      <c r="L3977">
        <v>32319009</v>
      </c>
      <c r="M3977">
        <v>78908504</v>
      </c>
      <c r="N3977">
        <v>69440009</v>
      </c>
      <c r="O3977">
        <v>81439501</v>
      </c>
      <c r="P3977">
        <v>103</v>
      </c>
      <c r="Q3977" t="s">
        <v>8293</v>
      </c>
    </row>
    <row r="3978" spans="1:17" x14ac:dyDescent="0.3">
      <c r="A3978" t="s">
        <v>17</v>
      </c>
      <c r="B3978" t="str">
        <f>"600616"</f>
        <v>600616</v>
      </c>
      <c r="C3978" t="s">
        <v>8294</v>
      </c>
      <c r="D3978" t="s">
        <v>7055</v>
      </c>
      <c r="E3978">
        <v>89759888</v>
      </c>
      <c r="F3978">
        <v>97985048</v>
      </c>
      <c r="G3978">
        <v>114356982</v>
      </c>
      <c r="H3978">
        <v>130792359</v>
      </c>
      <c r="I3978">
        <v>97775906</v>
      </c>
      <c r="J3978">
        <v>110078330</v>
      </c>
      <c r="K3978">
        <v>102242062</v>
      </c>
      <c r="L3978">
        <v>89803058</v>
      </c>
      <c r="M3978">
        <v>84300278</v>
      </c>
      <c r="N3978">
        <v>73867422</v>
      </c>
      <c r="O3978">
        <v>79079705</v>
      </c>
      <c r="P3978">
        <v>180</v>
      </c>
      <c r="Q3978" t="s">
        <v>8295</v>
      </c>
    </row>
    <row r="3979" spans="1:17" x14ac:dyDescent="0.3">
      <c r="A3979" t="s">
        <v>17</v>
      </c>
      <c r="B3979" t="str">
        <f>"688050"</f>
        <v>688050</v>
      </c>
      <c r="C3979" t="s">
        <v>8296</v>
      </c>
      <c r="D3979" t="s">
        <v>1523</v>
      </c>
      <c r="E3979">
        <v>89751163</v>
      </c>
      <c r="F3979">
        <v>81159837</v>
      </c>
      <c r="G3979">
        <v>58962302</v>
      </c>
      <c r="P3979">
        <v>411</v>
      </c>
      <c r="Q3979" t="s">
        <v>8297</v>
      </c>
    </row>
    <row r="3980" spans="1:17" x14ac:dyDescent="0.3">
      <c r="A3980" t="s">
        <v>73</v>
      </c>
      <c r="B3980" t="str">
        <f>"300683"</f>
        <v>300683</v>
      </c>
      <c r="C3980" t="s">
        <v>8298</v>
      </c>
      <c r="D3980" t="s">
        <v>1505</v>
      </c>
      <c r="E3980">
        <v>89732239</v>
      </c>
      <c r="F3980">
        <v>77352205</v>
      </c>
      <c r="G3980">
        <v>166625358</v>
      </c>
      <c r="H3980">
        <v>225101193</v>
      </c>
      <c r="I3980">
        <v>225057523</v>
      </c>
      <c r="J3980">
        <v>0</v>
      </c>
      <c r="P3980">
        <v>123</v>
      </c>
      <c r="Q3980" t="s">
        <v>8299</v>
      </c>
    </row>
    <row r="3981" spans="1:17" x14ac:dyDescent="0.3">
      <c r="A3981" t="s">
        <v>17</v>
      </c>
      <c r="B3981" t="str">
        <f>"688155"</f>
        <v>688155</v>
      </c>
      <c r="C3981" t="s">
        <v>8300</v>
      </c>
      <c r="D3981" t="s">
        <v>672</v>
      </c>
      <c r="E3981">
        <v>88888792</v>
      </c>
      <c r="F3981">
        <v>87290484</v>
      </c>
      <c r="G3981">
        <v>0</v>
      </c>
      <c r="P3981">
        <v>101</v>
      </c>
      <c r="Q3981" t="s">
        <v>8301</v>
      </c>
    </row>
    <row r="3982" spans="1:17" x14ac:dyDescent="0.3">
      <c r="A3982" t="s">
        <v>17</v>
      </c>
      <c r="B3982" t="str">
        <f>"601888"</f>
        <v>601888</v>
      </c>
      <c r="C3982" t="s">
        <v>8302</v>
      </c>
      <c r="D3982" t="s">
        <v>8303</v>
      </c>
      <c r="E3982">
        <v>88778107</v>
      </c>
      <c r="F3982">
        <v>71879125</v>
      </c>
      <c r="G3982">
        <v>516304671</v>
      </c>
      <c r="H3982">
        <v>599036228</v>
      </c>
      <c r="I3982">
        <v>915904195</v>
      </c>
      <c r="J3982">
        <v>960132827</v>
      </c>
      <c r="K3982">
        <v>1034664279</v>
      </c>
      <c r="L3982">
        <v>952447358</v>
      </c>
      <c r="M3982">
        <v>841216467</v>
      </c>
      <c r="N3982">
        <v>800050996</v>
      </c>
      <c r="O3982">
        <v>737310201</v>
      </c>
      <c r="P3982">
        <v>6129</v>
      </c>
      <c r="Q3982" t="s">
        <v>8304</v>
      </c>
    </row>
    <row r="3983" spans="1:17" x14ac:dyDescent="0.3">
      <c r="A3983" t="s">
        <v>73</v>
      </c>
      <c r="B3983" t="str">
        <f>"300148"</f>
        <v>300148</v>
      </c>
      <c r="C3983" t="s">
        <v>8305</v>
      </c>
      <c r="D3983" t="s">
        <v>899</v>
      </c>
      <c r="E3983">
        <v>88745880</v>
      </c>
      <c r="F3983">
        <v>144530572</v>
      </c>
      <c r="G3983">
        <v>316357983</v>
      </c>
      <c r="H3983">
        <v>318628881</v>
      </c>
      <c r="I3983">
        <v>304862174</v>
      </c>
      <c r="J3983">
        <v>220328680</v>
      </c>
      <c r="K3983">
        <v>51084336</v>
      </c>
      <c r="L3983">
        <v>71570361</v>
      </c>
      <c r="M3983">
        <v>64537733</v>
      </c>
      <c r="N3983">
        <v>80790125</v>
      </c>
      <c r="O3983">
        <v>68108396</v>
      </c>
      <c r="P3983">
        <v>99</v>
      </c>
      <c r="Q3983" t="s">
        <v>8306</v>
      </c>
    </row>
    <row r="3984" spans="1:17" x14ac:dyDescent="0.3">
      <c r="A3984" t="s">
        <v>73</v>
      </c>
      <c r="B3984" t="str">
        <f>"301069"</f>
        <v>301069</v>
      </c>
      <c r="C3984" t="s">
        <v>8307</v>
      </c>
      <c r="D3984" t="s">
        <v>4692</v>
      </c>
      <c r="E3984">
        <v>88679752</v>
      </c>
      <c r="G3984">
        <v>72780670</v>
      </c>
      <c r="P3984">
        <v>29</v>
      </c>
      <c r="Q3984" t="s">
        <v>8308</v>
      </c>
    </row>
    <row r="3985" spans="1:17" x14ac:dyDescent="0.3">
      <c r="A3985" t="s">
        <v>17</v>
      </c>
      <c r="B3985" t="str">
        <f>"603896"</f>
        <v>603896</v>
      </c>
      <c r="C3985" t="s">
        <v>8309</v>
      </c>
      <c r="D3985" t="s">
        <v>215</v>
      </c>
      <c r="E3985">
        <v>88608797</v>
      </c>
      <c r="F3985">
        <v>66844328</v>
      </c>
      <c r="G3985">
        <v>76385628</v>
      </c>
      <c r="H3985">
        <v>73756345</v>
      </c>
      <c r="I3985">
        <v>48176277</v>
      </c>
      <c r="J3985">
        <v>40128066</v>
      </c>
      <c r="K3985">
        <v>0</v>
      </c>
      <c r="P3985">
        <v>230</v>
      </c>
      <c r="Q3985" t="s">
        <v>8310</v>
      </c>
    </row>
    <row r="3986" spans="1:17" x14ac:dyDescent="0.3">
      <c r="A3986" t="s">
        <v>17</v>
      </c>
      <c r="B3986" t="str">
        <f>"688117"</f>
        <v>688117</v>
      </c>
      <c r="C3986" t="s">
        <v>8311</v>
      </c>
      <c r="D3986" t="s">
        <v>348</v>
      </c>
      <c r="E3986">
        <v>88520135</v>
      </c>
      <c r="F3986">
        <v>83128469</v>
      </c>
      <c r="P3986">
        <v>29</v>
      </c>
      <c r="Q3986" t="s">
        <v>8312</v>
      </c>
    </row>
    <row r="3987" spans="1:17" x14ac:dyDescent="0.3">
      <c r="A3987" t="s">
        <v>17</v>
      </c>
      <c r="B3987" t="str">
        <f>"603721"</f>
        <v>603721</v>
      </c>
      <c r="C3987" t="s">
        <v>8313</v>
      </c>
      <c r="D3987" t="s">
        <v>1306</v>
      </c>
      <c r="E3987">
        <v>88493392</v>
      </c>
      <c r="F3987">
        <v>104511453</v>
      </c>
      <c r="G3987">
        <v>152611292</v>
      </c>
      <c r="H3987">
        <v>170653727</v>
      </c>
      <c r="I3987">
        <v>134946873</v>
      </c>
      <c r="P3987">
        <v>89</v>
      </c>
      <c r="Q3987" t="s">
        <v>8314</v>
      </c>
    </row>
    <row r="3988" spans="1:17" x14ac:dyDescent="0.3">
      <c r="A3988" t="s">
        <v>17</v>
      </c>
      <c r="B3988" t="str">
        <f>"603655"</f>
        <v>603655</v>
      </c>
      <c r="C3988" t="s">
        <v>8315</v>
      </c>
      <c r="D3988" t="s">
        <v>722</v>
      </c>
      <c r="E3988">
        <v>88437159</v>
      </c>
      <c r="F3988">
        <v>86752421</v>
      </c>
      <c r="G3988">
        <v>68576880</v>
      </c>
      <c r="H3988">
        <v>70353195</v>
      </c>
      <c r="I3988">
        <v>82254158</v>
      </c>
      <c r="P3988">
        <v>88</v>
      </c>
      <c r="Q3988" t="s">
        <v>8316</v>
      </c>
    </row>
    <row r="3989" spans="1:17" x14ac:dyDescent="0.3">
      <c r="A3989" t="s">
        <v>17</v>
      </c>
      <c r="B3989" t="str">
        <f>"600975"</f>
        <v>600975</v>
      </c>
      <c r="C3989" t="s">
        <v>8317</v>
      </c>
      <c r="D3989" t="s">
        <v>1626</v>
      </c>
      <c r="E3989">
        <v>88413495</v>
      </c>
      <c r="F3989">
        <v>27491223</v>
      </c>
      <c r="G3989">
        <v>33463242</v>
      </c>
      <c r="H3989">
        <v>25329893</v>
      </c>
      <c r="I3989">
        <v>50287133</v>
      </c>
      <c r="J3989">
        <v>24582479</v>
      </c>
      <c r="K3989">
        <v>42013688</v>
      </c>
      <c r="L3989">
        <v>95293495</v>
      </c>
      <c r="M3989">
        <v>22659278</v>
      </c>
      <c r="N3989">
        <v>24026012</v>
      </c>
      <c r="O3989">
        <v>26524315</v>
      </c>
      <c r="P3989">
        <v>305</v>
      </c>
      <c r="Q3989" t="s">
        <v>8318</v>
      </c>
    </row>
    <row r="3990" spans="1:17" x14ac:dyDescent="0.3">
      <c r="A3990" t="s">
        <v>73</v>
      </c>
      <c r="B3990" t="str">
        <f>"300318"</f>
        <v>300318</v>
      </c>
      <c r="C3990" t="s">
        <v>8319</v>
      </c>
      <c r="D3990" t="s">
        <v>773</v>
      </c>
      <c r="E3990">
        <v>88325335</v>
      </c>
      <c r="F3990">
        <v>133450036</v>
      </c>
      <c r="G3990">
        <v>88724581</v>
      </c>
      <c r="H3990">
        <v>114100502</v>
      </c>
      <c r="I3990">
        <v>95222585</v>
      </c>
      <c r="J3990">
        <v>66590701</v>
      </c>
      <c r="K3990">
        <v>53778052</v>
      </c>
      <c r="L3990">
        <v>29712800</v>
      </c>
      <c r="M3990">
        <v>27370069</v>
      </c>
      <c r="N3990">
        <v>29012828</v>
      </c>
      <c r="O3990">
        <v>0</v>
      </c>
      <c r="P3990">
        <v>144</v>
      </c>
      <c r="Q3990" t="s">
        <v>8320</v>
      </c>
    </row>
    <row r="3991" spans="1:17" x14ac:dyDescent="0.3">
      <c r="A3991" t="s">
        <v>17</v>
      </c>
      <c r="B3991" t="str">
        <f>"605136"</f>
        <v>605136</v>
      </c>
      <c r="C3991" t="s">
        <v>8321</v>
      </c>
      <c r="D3991" t="s">
        <v>1960</v>
      </c>
      <c r="E3991">
        <v>88000568</v>
      </c>
      <c r="F3991">
        <v>81484736</v>
      </c>
      <c r="P3991">
        <v>99</v>
      </c>
      <c r="Q3991" t="s">
        <v>8322</v>
      </c>
    </row>
    <row r="3992" spans="1:17" x14ac:dyDescent="0.3">
      <c r="A3992" t="s">
        <v>17</v>
      </c>
      <c r="B3992" t="str">
        <f>"688129"</f>
        <v>688129</v>
      </c>
      <c r="C3992" t="s">
        <v>8323</v>
      </c>
      <c r="D3992" t="s">
        <v>3072</v>
      </c>
      <c r="E3992">
        <v>87908124</v>
      </c>
      <c r="F3992">
        <v>66934125</v>
      </c>
      <c r="P3992">
        <v>38</v>
      </c>
      <c r="Q3992" t="s">
        <v>8324</v>
      </c>
    </row>
    <row r="3993" spans="1:17" x14ac:dyDescent="0.3">
      <c r="A3993" t="s">
        <v>73</v>
      </c>
      <c r="B3993" t="str">
        <f>"301052"</f>
        <v>301052</v>
      </c>
      <c r="C3993" t="s">
        <v>8325</v>
      </c>
      <c r="D3993" t="s">
        <v>1921</v>
      </c>
      <c r="E3993">
        <v>87670471</v>
      </c>
      <c r="P3993">
        <v>16</v>
      </c>
      <c r="Q3993" t="s">
        <v>8326</v>
      </c>
    </row>
    <row r="3994" spans="1:17" x14ac:dyDescent="0.3">
      <c r="A3994" t="s">
        <v>73</v>
      </c>
      <c r="B3994" t="str">
        <f>"300995"</f>
        <v>300995</v>
      </c>
      <c r="C3994" t="s">
        <v>8327</v>
      </c>
      <c r="D3994" t="s">
        <v>570</v>
      </c>
      <c r="E3994">
        <v>87576905</v>
      </c>
      <c r="F3994">
        <v>69304931</v>
      </c>
      <c r="G3994">
        <v>57746797</v>
      </c>
      <c r="P3994">
        <v>26</v>
      </c>
      <c r="Q3994" t="s">
        <v>8328</v>
      </c>
    </row>
    <row r="3995" spans="1:17" x14ac:dyDescent="0.3">
      <c r="A3995" t="s">
        <v>17</v>
      </c>
      <c r="B3995" t="str">
        <f>"688577"</f>
        <v>688577</v>
      </c>
      <c r="C3995" t="s">
        <v>8329</v>
      </c>
      <c r="D3995" t="s">
        <v>2332</v>
      </c>
      <c r="E3995">
        <v>87499244</v>
      </c>
      <c r="F3995">
        <v>71465796</v>
      </c>
      <c r="G3995">
        <v>0</v>
      </c>
      <c r="P3995">
        <v>56</v>
      </c>
      <c r="Q3995" t="s">
        <v>8330</v>
      </c>
    </row>
    <row r="3996" spans="1:17" x14ac:dyDescent="0.3">
      <c r="A3996" t="s">
        <v>17</v>
      </c>
      <c r="B3996" t="str">
        <f>"603038"</f>
        <v>603038</v>
      </c>
      <c r="C3996" t="s">
        <v>8331</v>
      </c>
      <c r="D3996" t="s">
        <v>808</v>
      </c>
      <c r="E3996">
        <v>87440861</v>
      </c>
      <c r="F3996">
        <v>61789340</v>
      </c>
      <c r="G3996">
        <v>72934913</v>
      </c>
      <c r="H3996">
        <v>97059097</v>
      </c>
      <c r="I3996">
        <v>76021551</v>
      </c>
      <c r="J3996">
        <v>81751589</v>
      </c>
      <c r="P3996">
        <v>70</v>
      </c>
      <c r="Q3996" t="s">
        <v>8332</v>
      </c>
    </row>
    <row r="3997" spans="1:17" x14ac:dyDescent="0.3">
      <c r="A3997" t="s">
        <v>73</v>
      </c>
      <c r="B3997" t="str">
        <f>"300711"</f>
        <v>300711</v>
      </c>
      <c r="C3997" t="s">
        <v>8333</v>
      </c>
      <c r="D3997" t="s">
        <v>2542</v>
      </c>
      <c r="E3997">
        <v>87343985</v>
      </c>
      <c r="F3997">
        <v>120460249</v>
      </c>
      <c r="G3997">
        <v>168106667</v>
      </c>
      <c r="H3997">
        <v>148532194</v>
      </c>
      <c r="I3997">
        <v>132223665</v>
      </c>
      <c r="J3997">
        <v>0</v>
      </c>
      <c r="P3997">
        <v>130</v>
      </c>
      <c r="Q3997" t="s">
        <v>8334</v>
      </c>
    </row>
    <row r="3998" spans="1:17" x14ac:dyDescent="0.3">
      <c r="A3998" t="s">
        <v>17</v>
      </c>
      <c r="B3998" t="str">
        <f>"603848"</f>
        <v>603848</v>
      </c>
      <c r="C3998" t="s">
        <v>8335</v>
      </c>
      <c r="D3998" t="s">
        <v>1111</v>
      </c>
      <c r="E3998">
        <v>87327076</v>
      </c>
      <c r="F3998">
        <v>81086629</v>
      </c>
      <c r="G3998">
        <v>79701737</v>
      </c>
      <c r="H3998">
        <v>70372695</v>
      </c>
      <c r="I3998">
        <v>9189123</v>
      </c>
      <c r="P3998">
        <v>415</v>
      </c>
      <c r="Q3998" t="s">
        <v>8336</v>
      </c>
    </row>
    <row r="3999" spans="1:17" x14ac:dyDescent="0.3">
      <c r="A3999" t="s">
        <v>73</v>
      </c>
      <c r="B3999" t="str">
        <f>"002529"</f>
        <v>002529</v>
      </c>
      <c r="C3999" t="s">
        <v>8337</v>
      </c>
      <c r="D3999" t="s">
        <v>1451</v>
      </c>
      <c r="E3999">
        <v>87286533</v>
      </c>
      <c r="F3999">
        <v>112219786</v>
      </c>
      <c r="G3999">
        <v>104491750</v>
      </c>
      <c r="H3999">
        <v>202588318</v>
      </c>
      <c r="I3999">
        <v>218712855</v>
      </c>
      <c r="J3999">
        <v>160533109</v>
      </c>
      <c r="K3999">
        <v>134280461</v>
      </c>
      <c r="L3999">
        <v>108651118</v>
      </c>
      <c r="M3999">
        <v>97430252</v>
      </c>
      <c r="N3999">
        <v>85026426</v>
      </c>
      <c r="O3999">
        <v>81997477</v>
      </c>
      <c r="P3999">
        <v>68</v>
      </c>
      <c r="Q3999" t="s">
        <v>8338</v>
      </c>
    </row>
    <row r="4000" spans="1:17" x14ac:dyDescent="0.3">
      <c r="A4000" t="s">
        <v>73</v>
      </c>
      <c r="B4000" t="str">
        <f>"002802"</f>
        <v>002802</v>
      </c>
      <c r="C4000" t="s">
        <v>8339</v>
      </c>
      <c r="D4000" t="s">
        <v>588</v>
      </c>
      <c r="E4000">
        <v>87239037</v>
      </c>
      <c r="F4000">
        <v>131452792</v>
      </c>
      <c r="G4000">
        <v>61937364</v>
      </c>
      <c r="H4000">
        <v>90872367</v>
      </c>
      <c r="I4000">
        <v>81035786</v>
      </c>
      <c r="J4000">
        <v>50313702</v>
      </c>
      <c r="K4000">
        <v>39710862</v>
      </c>
      <c r="L4000">
        <v>0</v>
      </c>
      <c r="P4000">
        <v>102</v>
      </c>
      <c r="Q4000" t="s">
        <v>8340</v>
      </c>
    </row>
    <row r="4001" spans="1:17" x14ac:dyDescent="0.3">
      <c r="A4001" t="s">
        <v>73</v>
      </c>
      <c r="B4001" t="str">
        <f>"200505"</f>
        <v>200505</v>
      </c>
      <c r="C4001" t="s">
        <v>8341</v>
      </c>
      <c r="E4001">
        <v>87232814.931999996</v>
      </c>
      <c r="F4001">
        <v>94469822.374500006</v>
      </c>
      <c r="G4001">
        <v>75197398.709099993</v>
      </c>
      <c r="H4001">
        <v>112825612.3653</v>
      </c>
      <c r="I4001">
        <v>105106712.12450001</v>
      </c>
      <c r="J4001">
        <v>15550869.6216</v>
      </c>
      <c r="K4001">
        <v>25906442.942000002</v>
      </c>
      <c r="L4001">
        <v>22395793.75</v>
      </c>
      <c r="M4001">
        <v>15748197.721999999</v>
      </c>
      <c r="N4001">
        <v>16645118.854800001</v>
      </c>
      <c r="O4001">
        <v>13174568.01</v>
      </c>
      <c r="P4001">
        <v>16</v>
      </c>
      <c r="Q4001" t="s">
        <v>8342</v>
      </c>
    </row>
    <row r="4002" spans="1:17" x14ac:dyDescent="0.3">
      <c r="A4002" t="s">
        <v>17</v>
      </c>
      <c r="B4002" t="str">
        <f>"600365"</f>
        <v>600365</v>
      </c>
      <c r="C4002" t="s">
        <v>8343</v>
      </c>
      <c r="D4002" t="s">
        <v>7055</v>
      </c>
      <c r="E4002">
        <v>87197583</v>
      </c>
      <c r="F4002">
        <v>56448353</v>
      </c>
      <c r="G4002">
        <v>117608534</v>
      </c>
      <c r="H4002">
        <v>165585656</v>
      </c>
      <c r="I4002">
        <v>109076392</v>
      </c>
      <c r="J4002">
        <v>54559769</v>
      </c>
      <c r="K4002">
        <v>64772666</v>
      </c>
      <c r="L4002">
        <v>73699955</v>
      </c>
      <c r="M4002">
        <v>59477679</v>
      </c>
      <c r="N4002">
        <v>53725932</v>
      </c>
      <c r="O4002">
        <v>37672680</v>
      </c>
      <c r="P4002">
        <v>90</v>
      </c>
      <c r="Q4002" t="s">
        <v>8344</v>
      </c>
    </row>
    <row r="4003" spans="1:17" x14ac:dyDescent="0.3">
      <c r="A4003" t="s">
        <v>73</v>
      </c>
      <c r="B4003" t="str">
        <f>"300829"</f>
        <v>300829</v>
      </c>
      <c r="C4003" t="s">
        <v>8345</v>
      </c>
      <c r="D4003" t="s">
        <v>1430</v>
      </c>
      <c r="E4003">
        <v>86945753</v>
      </c>
      <c r="F4003">
        <v>55629903</v>
      </c>
      <c r="G4003">
        <v>49243794</v>
      </c>
      <c r="P4003">
        <v>125</v>
      </c>
      <c r="Q4003" t="s">
        <v>8346</v>
      </c>
    </row>
    <row r="4004" spans="1:17" x14ac:dyDescent="0.3">
      <c r="A4004" t="s">
        <v>73</v>
      </c>
      <c r="B4004" t="str">
        <f>"002476"</f>
        <v>002476</v>
      </c>
      <c r="C4004" t="s">
        <v>8347</v>
      </c>
      <c r="D4004" t="s">
        <v>998</v>
      </c>
      <c r="E4004">
        <v>86665995</v>
      </c>
      <c r="F4004">
        <v>66355212</v>
      </c>
      <c r="G4004">
        <v>79139765</v>
      </c>
      <c r="H4004">
        <v>50809566</v>
      </c>
      <c r="I4004">
        <v>56504897</v>
      </c>
      <c r="J4004">
        <v>227124742</v>
      </c>
      <c r="K4004">
        <v>431179005</v>
      </c>
      <c r="L4004">
        <v>392502279</v>
      </c>
      <c r="M4004">
        <v>324803014</v>
      </c>
      <c r="N4004">
        <v>243022249</v>
      </c>
      <c r="O4004">
        <v>184422275</v>
      </c>
      <c r="P4004">
        <v>85</v>
      </c>
      <c r="Q4004" t="s">
        <v>8348</v>
      </c>
    </row>
    <row r="4005" spans="1:17" x14ac:dyDescent="0.3">
      <c r="A4005" t="s">
        <v>17</v>
      </c>
      <c r="B4005" t="str">
        <f>"600249"</f>
        <v>600249</v>
      </c>
      <c r="C4005" t="s">
        <v>8349</v>
      </c>
      <c r="D4005" t="s">
        <v>5554</v>
      </c>
      <c r="E4005">
        <v>86435501</v>
      </c>
      <c r="F4005">
        <v>73345849</v>
      </c>
      <c r="G4005">
        <v>80102696</v>
      </c>
      <c r="H4005">
        <v>159126521</v>
      </c>
      <c r="I4005">
        <v>156287771</v>
      </c>
      <c r="J4005">
        <v>186854058</v>
      </c>
      <c r="K4005">
        <v>202287473</v>
      </c>
      <c r="L4005">
        <v>173578056</v>
      </c>
      <c r="M4005">
        <v>156533120</v>
      </c>
      <c r="N4005">
        <v>144627448</v>
      </c>
      <c r="O4005">
        <v>144092448</v>
      </c>
      <c r="P4005">
        <v>90</v>
      </c>
      <c r="Q4005" t="s">
        <v>8350</v>
      </c>
    </row>
    <row r="4006" spans="1:17" x14ac:dyDescent="0.3">
      <c r="A4006" t="s">
        <v>73</v>
      </c>
      <c r="B4006" t="str">
        <f>"300364"</f>
        <v>300364</v>
      </c>
      <c r="C4006" t="s">
        <v>8351</v>
      </c>
      <c r="D4006" t="s">
        <v>1921</v>
      </c>
      <c r="E4006">
        <v>86242721</v>
      </c>
      <c r="F4006">
        <v>157498954</v>
      </c>
      <c r="G4006">
        <v>156940707</v>
      </c>
      <c r="H4006">
        <v>257863171</v>
      </c>
      <c r="I4006">
        <v>154919213</v>
      </c>
      <c r="J4006">
        <v>137178918</v>
      </c>
      <c r="K4006">
        <v>110536387</v>
      </c>
      <c r="L4006">
        <v>101013249</v>
      </c>
      <c r="M4006">
        <v>0</v>
      </c>
      <c r="P4006">
        <v>153</v>
      </c>
      <c r="Q4006" t="s">
        <v>8352</v>
      </c>
    </row>
    <row r="4007" spans="1:17" x14ac:dyDescent="0.3">
      <c r="A4007" t="s">
        <v>73</v>
      </c>
      <c r="B4007" t="str">
        <f>"300046"</f>
        <v>300046</v>
      </c>
      <c r="C4007" t="s">
        <v>8353</v>
      </c>
      <c r="D4007" t="s">
        <v>1479</v>
      </c>
      <c r="E4007">
        <v>86230309</v>
      </c>
      <c r="F4007">
        <v>71934105</v>
      </c>
      <c r="G4007">
        <v>83721237</v>
      </c>
      <c r="H4007">
        <v>143491195</v>
      </c>
      <c r="I4007">
        <v>78990583</v>
      </c>
      <c r="J4007">
        <v>79782728</v>
      </c>
      <c r="K4007">
        <v>58433192</v>
      </c>
      <c r="L4007">
        <v>58712819</v>
      </c>
      <c r="M4007">
        <v>51312709</v>
      </c>
      <c r="N4007">
        <v>57638828</v>
      </c>
      <c r="O4007">
        <v>38781645</v>
      </c>
      <c r="P4007">
        <v>225</v>
      </c>
      <c r="Q4007" t="s">
        <v>8354</v>
      </c>
    </row>
    <row r="4008" spans="1:17" x14ac:dyDescent="0.3">
      <c r="A4008" t="s">
        <v>73</v>
      </c>
      <c r="B4008" t="str">
        <f>"301092"</f>
        <v>301092</v>
      </c>
      <c r="C4008" t="s">
        <v>8355</v>
      </c>
      <c r="D4008" t="s">
        <v>1557</v>
      </c>
      <c r="E4008">
        <v>86189971</v>
      </c>
      <c r="G4008">
        <v>66928657</v>
      </c>
      <c r="P4008">
        <v>22</v>
      </c>
      <c r="Q4008" t="s">
        <v>8356</v>
      </c>
    </row>
    <row r="4009" spans="1:17" x14ac:dyDescent="0.3">
      <c r="A4009" t="s">
        <v>17</v>
      </c>
      <c r="B4009" t="str">
        <f>"600988"</f>
        <v>600988</v>
      </c>
      <c r="C4009" t="s">
        <v>8357</v>
      </c>
      <c r="D4009" t="s">
        <v>6198</v>
      </c>
      <c r="E4009">
        <v>86080077</v>
      </c>
      <c r="F4009">
        <v>6659095</v>
      </c>
      <c r="G4009">
        <v>148500530</v>
      </c>
      <c r="H4009">
        <v>146014636</v>
      </c>
      <c r="I4009">
        <v>17821630</v>
      </c>
      <c r="J4009">
        <v>139762588</v>
      </c>
      <c r="K4009">
        <v>131031780</v>
      </c>
      <c r="L4009">
        <v>131151042</v>
      </c>
      <c r="M4009">
        <v>25148990</v>
      </c>
      <c r="N4009">
        <v>0</v>
      </c>
      <c r="O4009">
        <v>19573949</v>
      </c>
      <c r="P4009">
        <v>487</v>
      </c>
      <c r="Q4009" t="s">
        <v>8358</v>
      </c>
    </row>
    <row r="4010" spans="1:17" x14ac:dyDescent="0.3">
      <c r="A4010" t="s">
        <v>17</v>
      </c>
      <c r="B4010" t="str">
        <f>"688618"</f>
        <v>688618</v>
      </c>
      <c r="C4010" t="s">
        <v>8359</v>
      </c>
      <c r="D4010" t="s">
        <v>189</v>
      </c>
      <c r="E4010">
        <v>85558634</v>
      </c>
      <c r="F4010">
        <v>73571789</v>
      </c>
      <c r="G4010">
        <v>0</v>
      </c>
      <c r="P4010">
        <v>41</v>
      </c>
      <c r="Q4010" t="s">
        <v>8360</v>
      </c>
    </row>
    <row r="4011" spans="1:17" x14ac:dyDescent="0.3">
      <c r="A4011" t="s">
        <v>17</v>
      </c>
      <c r="B4011" t="str">
        <f>"688661"</f>
        <v>688661</v>
      </c>
      <c r="C4011" t="s">
        <v>8361</v>
      </c>
      <c r="D4011" t="s">
        <v>42</v>
      </c>
      <c r="E4011">
        <v>85197640</v>
      </c>
      <c r="F4011">
        <v>63517918</v>
      </c>
      <c r="P4011">
        <v>64</v>
      </c>
      <c r="Q4011" t="s">
        <v>8362</v>
      </c>
    </row>
    <row r="4012" spans="1:17" x14ac:dyDescent="0.3">
      <c r="A4012" t="s">
        <v>73</v>
      </c>
      <c r="B4012" t="str">
        <f>"300485"</f>
        <v>300485</v>
      </c>
      <c r="C4012" t="s">
        <v>8363</v>
      </c>
      <c r="D4012" t="s">
        <v>1505</v>
      </c>
      <c r="E4012">
        <v>84832362</v>
      </c>
      <c r="F4012">
        <v>190174309</v>
      </c>
      <c r="G4012">
        <v>118154711</v>
      </c>
      <c r="H4012">
        <v>176252211</v>
      </c>
      <c r="I4012">
        <v>103449651</v>
      </c>
      <c r="J4012">
        <v>13847381</v>
      </c>
      <c r="K4012">
        <v>16839831</v>
      </c>
      <c r="L4012">
        <v>0</v>
      </c>
      <c r="M4012">
        <v>0</v>
      </c>
      <c r="P4012">
        <v>196</v>
      </c>
      <c r="Q4012" t="s">
        <v>8364</v>
      </c>
    </row>
    <row r="4013" spans="1:17" x14ac:dyDescent="0.3">
      <c r="A4013" t="s">
        <v>17</v>
      </c>
      <c r="B4013" t="str">
        <f>"603900"</f>
        <v>603900</v>
      </c>
      <c r="C4013" t="s">
        <v>8365</v>
      </c>
      <c r="D4013" t="s">
        <v>1260</v>
      </c>
      <c r="E4013">
        <v>84790507</v>
      </c>
      <c r="F4013">
        <v>111943056</v>
      </c>
      <c r="G4013">
        <v>78027884</v>
      </c>
      <c r="H4013">
        <v>144629806</v>
      </c>
      <c r="I4013">
        <v>132080684</v>
      </c>
      <c r="J4013">
        <v>143346172</v>
      </c>
      <c r="K4013">
        <v>0</v>
      </c>
      <c r="P4013">
        <v>137</v>
      </c>
      <c r="Q4013" t="s">
        <v>8366</v>
      </c>
    </row>
    <row r="4014" spans="1:17" x14ac:dyDescent="0.3">
      <c r="A4014" t="s">
        <v>17</v>
      </c>
      <c r="B4014" t="str">
        <f>"603105"</f>
        <v>603105</v>
      </c>
      <c r="C4014" t="s">
        <v>8367</v>
      </c>
      <c r="D4014" t="s">
        <v>278</v>
      </c>
      <c r="E4014">
        <v>84657972</v>
      </c>
      <c r="F4014">
        <v>68976103</v>
      </c>
      <c r="G4014">
        <v>141707077</v>
      </c>
      <c r="H4014">
        <v>0</v>
      </c>
      <c r="I4014">
        <v>135280845</v>
      </c>
      <c r="J4014">
        <v>0</v>
      </c>
      <c r="P4014">
        <v>144</v>
      </c>
      <c r="Q4014" t="s">
        <v>8368</v>
      </c>
    </row>
    <row r="4015" spans="1:17" x14ac:dyDescent="0.3">
      <c r="A4015" t="s">
        <v>73</v>
      </c>
      <c r="B4015" t="str">
        <f>"002905"</f>
        <v>002905</v>
      </c>
      <c r="C4015" t="s">
        <v>8369</v>
      </c>
      <c r="D4015" t="s">
        <v>1619</v>
      </c>
      <c r="E4015">
        <v>84415612</v>
      </c>
      <c r="F4015">
        <v>109611904</v>
      </c>
      <c r="G4015">
        <v>81948743</v>
      </c>
      <c r="H4015">
        <v>154994515</v>
      </c>
      <c r="I4015">
        <v>162697631</v>
      </c>
      <c r="P4015">
        <v>133</v>
      </c>
      <c r="Q4015" t="s">
        <v>8370</v>
      </c>
    </row>
    <row r="4016" spans="1:17" x14ac:dyDescent="0.3">
      <c r="A4016" t="s">
        <v>73</v>
      </c>
      <c r="B4016" t="str">
        <f>"300636"</f>
        <v>300636</v>
      </c>
      <c r="C4016" t="s">
        <v>8371</v>
      </c>
      <c r="D4016" t="s">
        <v>908</v>
      </c>
      <c r="E4016">
        <v>84379641</v>
      </c>
      <c r="F4016">
        <v>59956104</v>
      </c>
      <c r="G4016">
        <v>82085178</v>
      </c>
      <c r="H4016">
        <v>40945711</v>
      </c>
      <c r="I4016">
        <v>33984206</v>
      </c>
      <c r="J4016">
        <v>32292420</v>
      </c>
      <c r="K4016">
        <v>0</v>
      </c>
      <c r="P4016">
        <v>136</v>
      </c>
      <c r="Q4016" t="s">
        <v>8372</v>
      </c>
    </row>
    <row r="4017" spans="1:17" x14ac:dyDescent="0.3">
      <c r="A4017" t="s">
        <v>73</v>
      </c>
      <c r="B4017" t="str">
        <f>"301004"</f>
        <v>301004</v>
      </c>
      <c r="C4017" t="s">
        <v>8373</v>
      </c>
      <c r="D4017" t="s">
        <v>3902</v>
      </c>
      <c r="E4017">
        <v>84156477</v>
      </c>
      <c r="F4017">
        <v>43671011</v>
      </c>
      <c r="G4017">
        <v>37879907</v>
      </c>
      <c r="P4017">
        <v>25</v>
      </c>
      <c r="Q4017" t="s">
        <v>8374</v>
      </c>
    </row>
    <row r="4018" spans="1:17" x14ac:dyDescent="0.3">
      <c r="A4018" t="s">
        <v>73</v>
      </c>
      <c r="B4018" t="str">
        <f>"000820"</f>
        <v>000820</v>
      </c>
      <c r="C4018" t="s">
        <v>8375</v>
      </c>
      <c r="D4018" t="s">
        <v>623</v>
      </c>
      <c r="E4018">
        <v>83814153</v>
      </c>
      <c r="F4018">
        <v>978840</v>
      </c>
      <c r="G4018">
        <v>19560490</v>
      </c>
      <c r="H4018">
        <v>350555347</v>
      </c>
      <c r="I4018">
        <v>757002193</v>
      </c>
      <c r="J4018">
        <v>215763580</v>
      </c>
      <c r="K4018">
        <v>31926577</v>
      </c>
      <c r="L4018">
        <v>46854777</v>
      </c>
      <c r="M4018">
        <v>51331017</v>
      </c>
      <c r="N4018">
        <v>44907709</v>
      </c>
      <c r="O4018">
        <v>29859713</v>
      </c>
      <c r="P4018">
        <v>156</v>
      </c>
      <c r="Q4018" t="s">
        <v>8376</v>
      </c>
    </row>
    <row r="4019" spans="1:17" x14ac:dyDescent="0.3">
      <c r="A4019" t="s">
        <v>73</v>
      </c>
      <c r="B4019" t="str">
        <f>"000882"</f>
        <v>000882</v>
      </c>
      <c r="C4019" t="s">
        <v>8377</v>
      </c>
      <c r="D4019" t="s">
        <v>638</v>
      </c>
      <c r="E4019">
        <v>83746526</v>
      </c>
      <c r="F4019">
        <v>27937424</v>
      </c>
      <c r="G4019">
        <v>109329084</v>
      </c>
      <c r="H4019">
        <v>305573944</v>
      </c>
      <c r="I4019">
        <v>273506145</v>
      </c>
      <c r="J4019">
        <v>132185772</v>
      </c>
      <c r="K4019">
        <v>33106164</v>
      </c>
      <c r="L4019">
        <v>72082936</v>
      </c>
      <c r="M4019">
        <v>48571112</v>
      </c>
      <c r="N4019">
        <v>68534587</v>
      </c>
      <c r="O4019">
        <v>35362031</v>
      </c>
      <c r="P4019">
        <v>114</v>
      </c>
      <c r="Q4019" t="s">
        <v>8378</v>
      </c>
    </row>
    <row r="4020" spans="1:17" x14ac:dyDescent="0.3">
      <c r="A4020" t="s">
        <v>73</v>
      </c>
      <c r="B4020" t="str">
        <f>"300905"</f>
        <v>300905</v>
      </c>
      <c r="C4020" t="s">
        <v>8379</v>
      </c>
      <c r="D4020" t="s">
        <v>1001</v>
      </c>
      <c r="E4020">
        <v>83693956</v>
      </c>
      <c r="F4020">
        <v>70301957</v>
      </c>
      <c r="P4020">
        <v>54</v>
      </c>
      <c r="Q4020" t="s">
        <v>8380</v>
      </c>
    </row>
    <row r="4021" spans="1:17" x14ac:dyDescent="0.3">
      <c r="A4021" t="s">
        <v>17</v>
      </c>
      <c r="B4021" t="str">
        <f>"605188"</f>
        <v>605188</v>
      </c>
      <c r="C4021" t="s">
        <v>8381</v>
      </c>
      <c r="D4021" t="s">
        <v>3633</v>
      </c>
      <c r="E4021">
        <v>83581136</v>
      </c>
      <c r="F4021">
        <v>67958037</v>
      </c>
      <c r="G4021">
        <v>64429218</v>
      </c>
      <c r="P4021">
        <v>43</v>
      </c>
      <c r="Q4021" t="s">
        <v>8382</v>
      </c>
    </row>
    <row r="4022" spans="1:17" x14ac:dyDescent="0.3">
      <c r="A4022" t="s">
        <v>17</v>
      </c>
      <c r="B4022" t="str">
        <f>"688216"</f>
        <v>688216</v>
      </c>
      <c r="C4022" t="s">
        <v>8383</v>
      </c>
      <c r="D4022" t="s">
        <v>554</v>
      </c>
      <c r="E4022">
        <v>83228764</v>
      </c>
      <c r="F4022">
        <v>102169512</v>
      </c>
      <c r="P4022">
        <v>26</v>
      </c>
      <c r="Q4022" t="s">
        <v>8384</v>
      </c>
    </row>
    <row r="4023" spans="1:17" x14ac:dyDescent="0.3">
      <c r="A4023" t="s">
        <v>17</v>
      </c>
      <c r="B4023" t="str">
        <f>"603288"</f>
        <v>603288</v>
      </c>
      <c r="C4023" t="s">
        <v>8385</v>
      </c>
      <c r="D4023" t="s">
        <v>1851</v>
      </c>
      <c r="E4023">
        <v>83097429</v>
      </c>
      <c r="F4023">
        <v>23070681</v>
      </c>
      <c r="G4023">
        <v>46412639</v>
      </c>
      <c r="H4023">
        <v>2991825</v>
      </c>
      <c r="I4023">
        <v>4760419</v>
      </c>
      <c r="J4023">
        <v>3151968</v>
      </c>
      <c r="K4023">
        <v>0</v>
      </c>
      <c r="L4023">
        <v>0</v>
      </c>
      <c r="M4023">
        <v>0</v>
      </c>
      <c r="N4023">
        <v>0</v>
      </c>
      <c r="P4023">
        <v>54149</v>
      </c>
      <c r="Q4023" t="s">
        <v>8386</v>
      </c>
    </row>
    <row r="4024" spans="1:17" x14ac:dyDescent="0.3">
      <c r="A4024" t="s">
        <v>73</v>
      </c>
      <c r="B4024" t="str">
        <f>"002052"</f>
        <v>002052</v>
      </c>
      <c r="C4024" t="s">
        <v>8387</v>
      </c>
      <c r="D4024" t="s">
        <v>957</v>
      </c>
      <c r="E4024">
        <v>82885290</v>
      </c>
      <c r="F4024">
        <v>180854046</v>
      </c>
      <c r="G4024">
        <v>352703939</v>
      </c>
      <c r="H4024">
        <v>411228466</v>
      </c>
      <c r="I4024">
        <v>374771812</v>
      </c>
      <c r="J4024">
        <v>403779675</v>
      </c>
      <c r="K4024">
        <v>593481389</v>
      </c>
      <c r="L4024">
        <v>944452787</v>
      </c>
      <c r="M4024">
        <v>1390495558</v>
      </c>
      <c r="N4024">
        <v>1430885281</v>
      </c>
      <c r="O4024">
        <v>1073255466</v>
      </c>
      <c r="P4024">
        <v>76</v>
      </c>
      <c r="Q4024" t="s">
        <v>8388</v>
      </c>
    </row>
    <row r="4025" spans="1:17" x14ac:dyDescent="0.3">
      <c r="A4025" t="s">
        <v>73</v>
      </c>
      <c r="B4025" t="str">
        <f>"300768"</f>
        <v>300768</v>
      </c>
      <c r="C4025" t="s">
        <v>8389</v>
      </c>
      <c r="D4025" t="s">
        <v>404</v>
      </c>
      <c r="E4025">
        <v>82805780</v>
      </c>
      <c r="F4025">
        <v>82800729</v>
      </c>
      <c r="G4025">
        <v>86333843</v>
      </c>
      <c r="H4025">
        <v>95696630</v>
      </c>
      <c r="I4025">
        <v>0</v>
      </c>
      <c r="P4025">
        <v>240</v>
      </c>
      <c r="Q4025" t="s">
        <v>8390</v>
      </c>
    </row>
    <row r="4026" spans="1:17" x14ac:dyDescent="0.3">
      <c r="A4026" t="s">
        <v>73</v>
      </c>
      <c r="B4026" t="str">
        <f>"300401"</f>
        <v>300401</v>
      </c>
      <c r="C4026" t="s">
        <v>8391</v>
      </c>
      <c r="D4026" t="s">
        <v>908</v>
      </c>
      <c r="E4026">
        <v>82800070</v>
      </c>
      <c r="F4026">
        <v>81695897</v>
      </c>
      <c r="G4026">
        <v>94330819</v>
      </c>
      <c r="H4026">
        <v>86962551</v>
      </c>
      <c r="I4026">
        <v>105481075</v>
      </c>
      <c r="J4026">
        <v>77776344</v>
      </c>
      <c r="K4026">
        <v>46215935</v>
      </c>
      <c r="L4026">
        <v>27284575</v>
      </c>
      <c r="M4026">
        <v>15528917</v>
      </c>
      <c r="P4026">
        <v>476</v>
      </c>
      <c r="Q4026" t="s">
        <v>8392</v>
      </c>
    </row>
    <row r="4027" spans="1:17" x14ac:dyDescent="0.3">
      <c r="A4027" t="s">
        <v>73</v>
      </c>
      <c r="B4027" t="str">
        <f>"002144"</f>
        <v>002144</v>
      </c>
      <c r="C4027" t="s">
        <v>8393</v>
      </c>
      <c r="D4027" t="s">
        <v>3204</v>
      </c>
      <c r="E4027">
        <v>82731165</v>
      </c>
      <c r="F4027">
        <v>97068740</v>
      </c>
      <c r="G4027">
        <v>95868633</v>
      </c>
      <c r="H4027">
        <v>110124649</v>
      </c>
      <c r="I4027">
        <v>153108596</v>
      </c>
      <c r="J4027">
        <v>132931325</v>
      </c>
      <c r="K4027">
        <v>121614915</v>
      </c>
      <c r="L4027">
        <v>109744695</v>
      </c>
      <c r="M4027">
        <v>90379534</v>
      </c>
      <c r="N4027">
        <v>134166314</v>
      </c>
      <c r="O4027">
        <v>81046962</v>
      </c>
      <c r="P4027">
        <v>115</v>
      </c>
      <c r="Q4027" t="s">
        <v>8394</v>
      </c>
    </row>
    <row r="4028" spans="1:17" x14ac:dyDescent="0.3">
      <c r="A4028" t="s">
        <v>17</v>
      </c>
      <c r="B4028" t="str">
        <f>"603029"</f>
        <v>603029</v>
      </c>
      <c r="C4028" t="s">
        <v>8395</v>
      </c>
      <c r="D4028" t="s">
        <v>1451</v>
      </c>
      <c r="E4028">
        <v>82604138</v>
      </c>
      <c r="F4028">
        <v>108597449</v>
      </c>
      <c r="G4028">
        <v>208892905</v>
      </c>
      <c r="H4028">
        <v>248931015</v>
      </c>
      <c r="I4028">
        <v>196992419</v>
      </c>
      <c r="J4028">
        <v>166691933</v>
      </c>
      <c r="K4028">
        <v>188281978</v>
      </c>
      <c r="L4028">
        <v>0</v>
      </c>
      <c r="P4028">
        <v>62</v>
      </c>
      <c r="Q4028" t="s">
        <v>8396</v>
      </c>
    </row>
    <row r="4029" spans="1:17" x14ac:dyDescent="0.3">
      <c r="A4029" t="s">
        <v>17</v>
      </c>
      <c r="B4029" t="str">
        <f>"688316"</f>
        <v>688316</v>
      </c>
      <c r="C4029" t="s">
        <v>8397</v>
      </c>
      <c r="D4029" t="s">
        <v>302</v>
      </c>
      <c r="E4029">
        <v>82475945</v>
      </c>
      <c r="F4029">
        <v>114553454</v>
      </c>
      <c r="P4029">
        <v>31</v>
      </c>
      <c r="Q4029" t="s">
        <v>8398</v>
      </c>
    </row>
    <row r="4030" spans="1:17" x14ac:dyDescent="0.3">
      <c r="A4030" t="s">
        <v>73</v>
      </c>
      <c r="B4030" t="str">
        <f>"300941"</f>
        <v>300941</v>
      </c>
      <c r="C4030" t="s">
        <v>8399</v>
      </c>
      <c r="D4030" t="s">
        <v>158</v>
      </c>
      <c r="E4030">
        <v>82234781</v>
      </c>
      <c r="F4030">
        <v>94536917</v>
      </c>
      <c r="H4030">
        <v>73321038</v>
      </c>
      <c r="I4030">
        <v>69200215</v>
      </c>
      <c r="P4030">
        <v>69</v>
      </c>
      <c r="Q4030" t="s">
        <v>8400</v>
      </c>
    </row>
    <row r="4031" spans="1:17" x14ac:dyDescent="0.3">
      <c r="A4031" t="s">
        <v>17</v>
      </c>
      <c r="B4031" t="str">
        <f>"600300"</f>
        <v>600300</v>
      </c>
      <c r="C4031" t="s">
        <v>8401</v>
      </c>
      <c r="D4031" t="s">
        <v>4013</v>
      </c>
      <c r="E4031">
        <v>82165542</v>
      </c>
      <c r="F4031">
        <v>80168622</v>
      </c>
      <c r="G4031">
        <v>124740141</v>
      </c>
      <c r="H4031">
        <v>159483769</v>
      </c>
      <c r="I4031">
        <v>142812079</v>
      </c>
      <c r="J4031">
        <v>196900834</v>
      </c>
      <c r="K4031">
        <v>158023511</v>
      </c>
      <c r="L4031">
        <v>197093826</v>
      </c>
      <c r="M4031">
        <v>163522082</v>
      </c>
      <c r="N4031">
        <v>147658245</v>
      </c>
      <c r="O4031">
        <v>308893572</v>
      </c>
      <c r="P4031">
        <v>209</v>
      </c>
      <c r="Q4031" t="s">
        <v>8402</v>
      </c>
    </row>
    <row r="4032" spans="1:17" x14ac:dyDescent="0.3">
      <c r="A4032" t="s">
        <v>73</v>
      </c>
      <c r="B4032" t="str">
        <f>"200029"</f>
        <v>200029</v>
      </c>
      <c r="C4032" t="s">
        <v>8403</v>
      </c>
      <c r="E4032">
        <v>82010921.812000006</v>
      </c>
      <c r="F4032">
        <v>94907037.907499999</v>
      </c>
      <c r="G4032">
        <v>74158973.216700003</v>
      </c>
      <c r="H4032">
        <v>44186500.428300001</v>
      </c>
      <c r="I4032">
        <v>148948706.91049999</v>
      </c>
      <c r="J4032">
        <v>144656725.44080001</v>
      </c>
      <c r="K4032">
        <v>105807574.0293</v>
      </c>
      <c r="L4032">
        <v>66192578.75</v>
      </c>
      <c r="M4032">
        <v>22777593.5636</v>
      </c>
      <c r="N4032">
        <v>39731623.173</v>
      </c>
      <c r="O4032">
        <v>21133198.313999999</v>
      </c>
      <c r="P4032">
        <v>18</v>
      </c>
      <c r="Q4032" t="s">
        <v>8404</v>
      </c>
    </row>
    <row r="4033" spans="1:17" x14ac:dyDescent="0.3">
      <c r="A4033" t="s">
        <v>17</v>
      </c>
      <c r="B4033" t="str">
        <f>"600156"</f>
        <v>600156</v>
      </c>
      <c r="C4033" t="s">
        <v>8405</v>
      </c>
      <c r="D4033" t="s">
        <v>3204</v>
      </c>
      <c r="E4033">
        <v>81954055</v>
      </c>
      <c r="F4033">
        <v>116813578</v>
      </c>
      <c r="G4033">
        <v>94923038</v>
      </c>
      <c r="H4033">
        <v>110414303</v>
      </c>
      <c r="I4033">
        <v>147348399</v>
      </c>
      <c r="J4033">
        <v>120679701</v>
      </c>
      <c r="K4033">
        <v>160698816</v>
      </c>
      <c r="L4033">
        <v>103210079</v>
      </c>
      <c r="M4033">
        <v>80394822</v>
      </c>
      <c r="N4033">
        <v>65514847</v>
      </c>
      <c r="O4033">
        <v>14046083</v>
      </c>
      <c r="P4033">
        <v>75</v>
      </c>
      <c r="Q4033" t="s">
        <v>8406</v>
      </c>
    </row>
    <row r="4034" spans="1:17" x14ac:dyDescent="0.3">
      <c r="A4034" t="s">
        <v>73</v>
      </c>
      <c r="B4034" t="str">
        <f>"002447"</f>
        <v>002447</v>
      </c>
      <c r="C4034" t="s">
        <v>8407</v>
      </c>
      <c r="D4034" t="s">
        <v>899</v>
      </c>
      <c r="E4034">
        <v>81928843</v>
      </c>
      <c r="F4034">
        <v>120568083</v>
      </c>
      <c r="G4034">
        <v>116495458</v>
      </c>
      <c r="H4034">
        <v>153874671</v>
      </c>
      <c r="I4034">
        <v>153250028</v>
      </c>
      <c r="J4034">
        <v>32094914</v>
      </c>
      <c r="K4034">
        <v>27284593</v>
      </c>
      <c r="L4034">
        <v>42325162</v>
      </c>
      <c r="M4034">
        <v>29763879</v>
      </c>
      <c r="N4034">
        <v>11604658</v>
      </c>
      <c r="O4034">
        <v>56021</v>
      </c>
      <c r="P4034">
        <v>92</v>
      </c>
      <c r="Q4034" t="s">
        <v>8408</v>
      </c>
    </row>
    <row r="4035" spans="1:17" x14ac:dyDescent="0.3">
      <c r="A4035" t="s">
        <v>73</v>
      </c>
      <c r="B4035" t="str">
        <f>"300908"</f>
        <v>300908</v>
      </c>
      <c r="C4035" t="s">
        <v>8409</v>
      </c>
      <c r="D4035" t="s">
        <v>1851</v>
      </c>
      <c r="E4035">
        <v>81774094</v>
      </c>
      <c r="F4035">
        <v>68161322</v>
      </c>
      <c r="P4035">
        <v>173</v>
      </c>
      <c r="Q4035" t="s">
        <v>8410</v>
      </c>
    </row>
    <row r="4036" spans="1:17" x14ac:dyDescent="0.3">
      <c r="A4036" t="s">
        <v>73</v>
      </c>
      <c r="B4036" t="str">
        <f>"301181"</f>
        <v>301181</v>
      </c>
      <c r="C4036" t="s">
        <v>8411</v>
      </c>
      <c r="E4036">
        <v>81622520</v>
      </c>
      <c r="P4036">
        <v>5</v>
      </c>
      <c r="Q4036" t="s">
        <v>8412</v>
      </c>
    </row>
    <row r="4037" spans="1:17" x14ac:dyDescent="0.3">
      <c r="A4037" t="s">
        <v>17</v>
      </c>
      <c r="B4037" t="str">
        <f>"603838"</f>
        <v>603838</v>
      </c>
      <c r="C4037" t="s">
        <v>8413</v>
      </c>
      <c r="D4037" t="s">
        <v>3902</v>
      </c>
      <c r="E4037">
        <v>81395510</v>
      </c>
      <c r="F4037">
        <v>98505633</v>
      </c>
      <c r="G4037">
        <v>91556322</v>
      </c>
      <c r="H4037">
        <v>90192126</v>
      </c>
      <c r="I4037">
        <v>102964418</v>
      </c>
      <c r="J4037">
        <v>118490940</v>
      </c>
      <c r="K4037">
        <v>163518427</v>
      </c>
      <c r="L4037">
        <v>0</v>
      </c>
      <c r="M4037">
        <v>0</v>
      </c>
      <c r="P4037">
        <v>49</v>
      </c>
      <c r="Q4037" t="s">
        <v>8414</v>
      </c>
    </row>
    <row r="4038" spans="1:17" x14ac:dyDescent="0.3">
      <c r="A4038" t="s">
        <v>73</v>
      </c>
      <c r="B4038" t="str">
        <f>"300300"</f>
        <v>300300</v>
      </c>
      <c r="C4038" t="s">
        <v>8415</v>
      </c>
      <c r="D4038" t="s">
        <v>302</v>
      </c>
      <c r="E4038">
        <v>81381862</v>
      </c>
      <c r="F4038">
        <v>134151045</v>
      </c>
      <c r="G4038">
        <v>133418319</v>
      </c>
      <c r="H4038">
        <v>177656238</v>
      </c>
      <c r="I4038">
        <v>269458324</v>
      </c>
      <c r="J4038">
        <v>298721076</v>
      </c>
      <c r="K4038">
        <v>376016412</v>
      </c>
      <c r="L4038">
        <v>341095672</v>
      </c>
      <c r="M4038">
        <v>207385110</v>
      </c>
      <c r="N4038">
        <v>145342997</v>
      </c>
      <c r="O4038">
        <v>62126187</v>
      </c>
      <c r="P4038">
        <v>121</v>
      </c>
      <c r="Q4038" t="s">
        <v>8416</v>
      </c>
    </row>
    <row r="4039" spans="1:17" x14ac:dyDescent="0.3">
      <c r="A4039" t="s">
        <v>73</v>
      </c>
      <c r="B4039" t="str">
        <f>"300896"</f>
        <v>300896</v>
      </c>
      <c r="C4039" t="s">
        <v>8417</v>
      </c>
      <c r="D4039" t="s">
        <v>5067</v>
      </c>
      <c r="E4039">
        <v>81284255</v>
      </c>
      <c r="F4039">
        <v>32759390</v>
      </c>
      <c r="G4039">
        <v>0</v>
      </c>
      <c r="P4039">
        <v>1332</v>
      </c>
      <c r="Q4039" t="s">
        <v>8418</v>
      </c>
    </row>
    <row r="4040" spans="1:17" x14ac:dyDescent="0.3">
      <c r="A4040" t="s">
        <v>17</v>
      </c>
      <c r="B4040" t="str">
        <f>"688127"</f>
        <v>688127</v>
      </c>
      <c r="C4040" t="s">
        <v>8419</v>
      </c>
      <c r="D4040" t="s">
        <v>477</v>
      </c>
      <c r="E4040">
        <v>81209606</v>
      </c>
      <c r="F4040">
        <v>67135904</v>
      </c>
      <c r="G4040">
        <v>0</v>
      </c>
      <c r="H4040">
        <v>0</v>
      </c>
      <c r="P4040">
        <v>86</v>
      </c>
      <c r="Q4040" t="s">
        <v>8420</v>
      </c>
    </row>
    <row r="4041" spans="1:17" x14ac:dyDescent="0.3">
      <c r="A4041" t="s">
        <v>17</v>
      </c>
      <c r="B4041" t="str">
        <f>"688309"</f>
        <v>688309</v>
      </c>
      <c r="C4041" t="s">
        <v>8421</v>
      </c>
      <c r="D4041" t="s">
        <v>540</v>
      </c>
      <c r="E4041">
        <v>81042595</v>
      </c>
      <c r="F4041">
        <v>129006335</v>
      </c>
      <c r="G4041">
        <v>32957016</v>
      </c>
      <c r="H4041">
        <v>0</v>
      </c>
      <c r="P4041">
        <v>30</v>
      </c>
      <c r="Q4041" t="s">
        <v>8422</v>
      </c>
    </row>
    <row r="4042" spans="1:17" x14ac:dyDescent="0.3">
      <c r="A4042" t="s">
        <v>73</v>
      </c>
      <c r="B4042" t="str">
        <f>"300610"</f>
        <v>300610</v>
      </c>
      <c r="C4042" t="s">
        <v>8423</v>
      </c>
      <c r="D4042" t="s">
        <v>3079</v>
      </c>
      <c r="E4042">
        <v>81005689</v>
      </c>
      <c r="F4042">
        <v>92780699</v>
      </c>
      <c r="G4042">
        <v>87657423</v>
      </c>
      <c r="H4042">
        <v>98620133</v>
      </c>
      <c r="I4042">
        <v>94558938</v>
      </c>
      <c r="J4042">
        <v>86746754</v>
      </c>
      <c r="K4042">
        <v>0</v>
      </c>
      <c r="P4042">
        <v>129</v>
      </c>
      <c r="Q4042" t="s">
        <v>8424</v>
      </c>
    </row>
    <row r="4043" spans="1:17" x14ac:dyDescent="0.3">
      <c r="A4043" t="s">
        <v>73</v>
      </c>
      <c r="B4043" t="str">
        <f>"002728"</f>
        <v>002728</v>
      </c>
      <c r="C4043" t="s">
        <v>8425</v>
      </c>
      <c r="D4043" t="s">
        <v>215</v>
      </c>
      <c r="E4043">
        <v>80957235</v>
      </c>
      <c r="F4043">
        <v>82157522</v>
      </c>
      <c r="G4043">
        <v>94216945</v>
      </c>
      <c r="H4043">
        <v>100208051</v>
      </c>
      <c r="I4043">
        <v>77130193</v>
      </c>
      <c r="J4043">
        <v>59153192</v>
      </c>
      <c r="K4043">
        <v>93763823</v>
      </c>
      <c r="L4043">
        <v>50140431</v>
      </c>
      <c r="M4043">
        <v>0</v>
      </c>
      <c r="N4043">
        <v>0</v>
      </c>
      <c r="P4043">
        <v>286</v>
      </c>
      <c r="Q4043" t="s">
        <v>8426</v>
      </c>
    </row>
    <row r="4044" spans="1:17" x14ac:dyDescent="0.3">
      <c r="A4044" t="s">
        <v>17</v>
      </c>
      <c r="B4044" t="str">
        <f>"688182"</f>
        <v>688182</v>
      </c>
      <c r="C4044" t="s">
        <v>8427</v>
      </c>
      <c r="D4044" t="s">
        <v>189</v>
      </c>
      <c r="E4044">
        <v>80575411</v>
      </c>
      <c r="F4044">
        <v>102888956</v>
      </c>
      <c r="P4044">
        <v>17</v>
      </c>
      <c r="Q4044" t="s">
        <v>8428</v>
      </c>
    </row>
    <row r="4045" spans="1:17" x14ac:dyDescent="0.3">
      <c r="A4045" t="s">
        <v>17</v>
      </c>
      <c r="B4045" t="str">
        <f>"688283"</f>
        <v>688283</v>
      </c>
      <c r="C4045" t="s">
        <v>8429</v>
      </c>
      <c r="E4045">
        <v>80535378</v>
      </c>
      <c r="P4045">
        <v>17</v>
      </c>
      <c r="Q4045" t="s">
        <v>8430</v>
      </c>
    </row>
    <row r="4046" spans="1:17" x14ac:dyDescent="0.3">
      <c r="A4046" t="s">
        <v>73</v>
      </c>
      <c r="B4046" t="str">
        <f>"002237"</f>
        <v>002237</v>
      </c>
      <c r="C4046" t="s">
        <v>8431</v>
      </c>
      <c r="D4046" t="s">
        <v>6198</v>
      </c>
      <c r="E4046">
        <v>80414578</v>
      </c>
      <c r="F4046">
        <v>41669974</v>
      </c>
      <c r="G4046">
        <v>57669957</v>
      </c>
      <c r="H4046">
        <v>59502231</v>
      </c>
      <c r="I4046">
        <v>11237691</v>
      </c>
      <c r="J4046">
        <v>12203670</v>
      </c>
      <c r="K4046">
        <v>2103190</v>
      </c>
      <c r="L4046">
        <v>16995955</v>
      </c>
      <c r="M4046">
        <v>163646957</v>
      </c>
      <c r="N4046">
        <v>105359287</v>
      </c>
      <c r="O4046">
        <v>63456436</v>
      </c>
      <c r="P4046">
        <v>193</v>
      </c>
      <c r="Q4046" t="s">
        <v>8432</v>
      </c>
    </row>
    <row r="4047" spans="1:17" x14ac:dyDescent="0.3">
      <c r="A4047" t="s">
        <v>73</v>
      </c>
      <c r="B4047" t="str">
        <f>"300139"</f>
        <v>300139</v>
      </c>
      <c r="C4047" t="s">
        <v>8433</v>
      </c>
      <c r="D4047" t="s">
        <v>278</v>
      </c>
      <c r="E4047">
        <v>80371224</v>
      </c>
      <c r="F4047">
        <v>562139916</v>
      </c>
      <c r="G4047">
        <v>146440489</v>
      </c>
      <c r="H4047">
        <v>153783159</v>
      </c>
      <c r="I4047">
        <v>117426173</v>
      </c>
      <c r="J4047">
        <v>299983648</v>
      </c>
      <c r="K4047">
        <v>242140326</v>
      </c>
      <c r="L4047">
        <v>178950378</v>
      </c>
      <c r="M4047">
        <v>130915865</v>
      </c>
      <c r="N4047">
        <v>116805640</v>
      </c>
      <c r="O4047">
        <v>210433288</v>
      </c>
      <c r="P4047">
        <v>147</v>
      </c>
      <c r="Q4047" t="s">
        <v>8434</v>
      </c>
    </row>
    <row r="4048" spans="1:17" x14ac:dyDescent="0.3">
      <c r="A4048" t="s">
        <v>17</v>
      </c>
      <c r="B4048" t="str">
        <f>"600816"</f>
        <v>600816</v>
      </c>
      <c r="C4048" t="s">
        <v>8435</v>
      </c>
      <c r="D4048" t="s">
        <v>2153</v>
      </c>
      <c r="E4048">
        <v>80315288</v>
      </c>
      <c r="F4048">
        <v>75433785</v>
      </c>
      <c r="G4048">
        <v>26632657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6688</v>
      </c>
      <c r="Q4048" t="s">
        <v>8436</v>
      </c>
    </row>
    <row r="4049" spans="1:17" x14ac:dyDescent="0.3">
      <c r="A4049" t="s">
        <v>17</v>
      </c>
      <c r="B4049" t="str">
        <f>"605398"</f>
        <v>605398</v>
      </c>
      <c r="C4049" t="s">
        <v>8437</v>
      </c>
      <c r="D4049" t="s">
        <v>302</v>
      </c>
      <c r="E4049">
        <v>80274648</v>
      </c>
      <c r="F4049">
        <v>63747227</v>
      </c>
      <c r="P4049">
        <v>39</v>
      </c>
      <c r="Q4049" t="s">
        <v>8438</v>
      </c>
    </row>
    <row r="4050" spans="1:17" x14ac:dyDescent="0.3">
      <c r="A4050" t="s">
        <v>17</v>
      </c>
      <c r="B4050" t="str">
        <f>"603214"</f>
        <v>603214</v>
      </c>
      <c r="C4050" t="s">
        <v>8439</v>
      </c>
      <c r="D4050" t="s">
        <v>1206</v>
      </c>
      <c r="E4050">
        <v>79713453</v>
      </c>
      <c r="F4050">
        <v>16490286</v>
      </c>
      <c r="G4050">
        <v>22246166</v>
      </c>
      <c r="H4050">
        <v>13558555</v>
      </c>
      <c r="I4050">
        <v>22175908</v>
      </c>
      <c r="P4050">
        <v>290</v>
      </c>
      <c r="Q4050" t="s">
        <v>8440</v>
      </c>
    </row>
    <row r="4051" spans="1:17" x14ac:dyDescent="0.3">
      <c r="A4051" t="s">
        <v>73</v>
      </c>
      <c r="B4051" t="str">
        <f>"300309"</f>
        <v>300309</v>
      </c>
      <c r="C4051" t="s">
        <v>8441</v>
      </c>
      <c r="D4051" t="s">
        <v>7212</v>
      </c>
      <c r="E4051">
        <v>79652509</v>
      </c>
      <c r="F4051">
        <v>92897653</v>
      </c>
      <c r="G4051">
        <v>206791030</v>
      </c>
      <c r="H4051">
        <v>281081119</v>
      </c>
      <c r="I4051">
        <v>320224393</v>
      </c>
      <c r="J4051">
        <v>554874217</v>
      </c>
      <c r="K4051">
        <v>474311652</v>
      </c>
      <c r="L4051">
        <v>414591618</v>
      </c>
      <c r="M4051">
        <v>373402221</v>
      </c>
      <c r="N4051">
        <v>356134168</v>
      </c>
      <c r="O4051">
        <v>224537213</v>
      </c>
      <c r="P4051">
        <v>108</v>
      </c>
      <c r="Q4051" t="s">
        <v>8442</v>
      </c>
    </row>
    <row r="4052" spans="1:17" x14ac:dyDescent="0.3">
      <c r="A4052" t="s">
        <v>17</v>
      </c>
      <c r="B4052" t="str">
        <f>"603157"</f>
        <v>603157</v>
      </c>
      <c r="C4052" t="s">
        <v>8443</v>
      </c>
      <c r="D4052" t="s">
        <v>991</v>
      </c>
      <c r="E4052">
        <v>79652000</v>
      </c>
      <c r="F4052">
        <v>329683000</v>
      </c>
      <c r="G4052">
        <v>424968000</v>
      </c>
      <c r="H4052">
        <v>705610000</v>
      </c>
      <c r="I4052">
        <v>920290000</v>
      </c>
      <c r="P4052">
        <v>88</v>
      </c>
      <c r="Q4052" t="s">
        <v>8444</v>
      </c>
    </row>
    <row r="4053" spans="1:17" x14ac:dyDescent="0.3">
      <c r="A4053" t="s">
        <v>73</v>
      </c>
      <c r="B4053" t="str">
        <f>"002808"</f>
        <v>002808</v>
      </c>
      <c r="C4053" t="s">
        <v>8445</v>
      </c>
      <c r="D4053" t="s">
        <v>477</v>
      </c>
      <c r="E4053">
        <v>79646012</v>
      </c>
      <c r="F4053">
        <v>104614346</v>
      </c>
      <c r="G4053">
        <v>130189039</v>
      </c>
      <c r="H4053">
        <v>123027240</v>
      </c>
      <c r="I4053">
        <v>89115431</v>
      </c>
      <c r="J4053">
        <v>69185154</v>
      </c>
      <c r="K4053">
        <v>48695481</v>
      </c>
      <c r="L4053">
        <v>0</v>
      </c>
      <c r="P4053">
        <v>73</v>
      </c>
      <c r="Q4053" t="s">
        <v>8446</v>
      </c>
    </row>
    <row r="4054" spans="1:17" x14ac:dyDescent="0.3">
      <c r="A4054" t="s">
        <v>73</v>
      </c>
      <c r="B4054" t="str">
        <f>"300204"</f>
        <v>300204</v>
      </c>
      <c r="C4054" t="s">
        <v>8447</v>
      </c>
      <c r="D4054" t="s">
        <v>1505</v>
      </c>
      <c r="E4054">
        <v>79421623</v>
      </c>
      <c r="F4054">
        <v>72469936</v>
      </c>
      <c r="G4054">
        <v>51952463</v>
      </c>
      <c r="H4054">
        <v>107361165</v>
      </c>
      <c r="I4054">
        <v>203719619</v>
      </c>
      <c r="J4054">
        <v>202363185</v>
      </c>
      <c r="K4054">
        <v>183624058</v>
      </c>
      <c r="L4054">
        <v>186303357</v>
      </c>
      <c r="M4054">
        <v>169993975</v>
      </c>
      <c r="N4054">
        <v>130447479</v>
      </c>
      <c r="O4054">
        <v>21990196</v>
      </c>
      <c r="P4054">
        <v>202</v>
      </c>
      <c r="Q4054" t="s">
        <v>8448</v>
      </c>
    </row>
    <row r="4055" spans="1:17" x14ac:dyDescent="0.3">
      <c r="A4055" t="s">
        <v>17</v>
      </c>
      <c r="B4055" t="str">
        <f>"603886"</f>
        <v>603886</v>
      </c>
      <c r="C4055" t="s">
        <v>8449</v>
      </c>
      <c r="D4055" t="s">
        <v>3675</v>
      </c>
      <c r="E4055">
        <v>79414219</v>
      </c>
      <c r="F4055">
        <v>82042954</v>
      </c>
      <c r="G4055">
        <v>74437103</v>
      </c>
      <c r="H4055">
        <v>71426581</v>
      </c>
      <c r="I4055">
        <v>50820329</v>
      </c>
      <c r="J4055">
        <v>34301370</v>
      </c>
      <c r="P4055">
        <v>3081</v>
      </c>
      <c r="Q4055" t="s">
        <v>8450</v>
      </c>
    </row>
    <row r="4056" spans="1:17" x14ac:dyDescent="0.3">
      <c r="A4056" t="s">
        <v>17</v>
      </c>
      <c r="B4056" t="str">
        <f>"603167"</f>
        <v>603167</v>
      </c>
      <c r="C4056" t="s">
        <v>8451</v>
      </c>
      <c r="D4056" t="s">
        <v>246</v>
      </c>
      <c r="E4056">
        <v>79085214</v>
      </c>
      <c r="F4056">
        <v>7001195</v>
      </c>
      <c r="G4056">
        <v>14494761</v>
      </c>
      <c r="H4056">
        <v>23579948</v>
      </c>
      <c r="I4056">
        <v>31413212</v>
      </c>
      <c r="J4056">
        <v>21845451</v>
      </c>
      <c r="K4056">
        <v>33004257</v>
      </c>
      <c r="L4056">
        <v>20000669</v>
      </c>
      <c r="M4056">
        <v>18694759</v>
      </c>
      <c r="N4056">
        <v>19935123</v>
      </c>
      <c r="O4056">
        <v>0</v>
      </c>
      <c r="P4056">
        <v>239</v>
      </c>
      <c r="Q4056" t="s">
        <v>8452</v>
      </c>
    </row>
    <row r="4057" spans="1:17" x14ac:dyDescent="0.3">
      <c r="A4057" t="s">
        <v>17</v>
      </c>
      <c r="B4057" t="str">
        <f>"605118"</f>
        <v>605118</v>
      </c>
      <c r="C4057" t="s">
        <v>8453</v>
      </c>
      <c r="D4057" t="s">
        <v>119</v>
      </c>
      <c r="E4057">
        <v>79068538</v>
      </c>
      <c r="F4057">
        <v>44277668</v>
      </c>
      <c r="G4057">
        <v>50629083</v>
      </c>
      <c r="P4057">
        <v>114</v>
      </c>
      <c r="Q4057" t="s">
        <v>8454</v>
      </c>
    </row>
    <row r="4058" spans="1:17" x14ac:dyDescent="0.3">
      <c r="A4058" t="s">
        <v>73</v>
      </c>
      <c r="B4058" t="str">
        <f>"002959"</f>
        <v>002959</v>
      </c>
      <c r="C4058" t="s">
        <v>8455</v>
      </c>
      <c r="D4058" t="s">
        <v>1186</v>
      </c>
      <c r="E4058">
        <v>79045213</v>
      </c>
      <c r="F4058">
        <v>141073197</v>
      </c>
      <c r="G4058">
        <v>85708565</v>
      </c>
      <c r="H4058">
        <v>135000645</v>
      </c>
      <c r="P4058">
        <v>1479</v>
      </c>
      <c r="Q4058" t="s">
        <v>8456</v>
      </c>
    </row>
    <row r="4059" spans="1:17" x14ac:dyDescent="0.3">
      <c r="A4059" t="s">
        <v>73</v>
      </c>
      <c r="B4059" t="str">
        <f>"002679"</f>
        <v>002679</v>
      </c>
      <c r="C4059" t="s">
        <v>8457</v>
      </c>
      <c r="D4059" t="s">
        <v>6046</v>
      </c>
      <c r="E4059">
        <v>78942226</v>
      </c>
      <c r="F4059">
        <v>64164762</v>
      </c>
      <c r="G4059">
        <v>34986261</v>
      </c>
      <c r="H4059">
        <v>31924929</v>
      </c>
      <c r="I4059">
        <v>33785339</v>
      </c>
      <c r="J4059">
        <v>4050269</v>
      </c>
      <c r="K4059">
        <v>10138085</v>
      </c>
      <c r="L4059">
        <v>18172272</v>
      </c>
      <c r="M4059">
        <v>6699565</v>
      </c>
      <c r="N4059">
        <v>8532658</v>
      </c>
      <c r="O4059">
        <v>1336343</v>
      </c>
      <c r="P4059">
        <v>95</v>
      </c>
      <c r="Q4059" t="s">
        <v>8458</v>
      </c>
    </row>
    <row r="4060" spans="1:17" x14ac:dyDescent="0.3">
      <c r="A4060" t="s">
        <v>73</v>
      </c>
      <c r="B4060" t="str">
        <f>"002513"</f>
        <v>002513</v>
      </c>
      <c r="C4060" t="s">
        <v>8459</v>
      </c>
      <c r="D4060" t="s">
        <v>272</v>
      </c>
      <c r="E4060">
        <v>78859372</v>
      </c>
      <c r="F4060">
        <v>57656189</v>
      </c>
      <c r="G4060">
        <v>113484435</v>
      </c>
      <c r="H4060">
        <v>0</v>
      </c>
      <c r="I4060">
        <v>223943700</v>
      </c>
      <c r="J4060">
        <v>322114498</v>
      </c>
      <c r="K4060">
        <v>273540227</v>
      </c>
      <c r="L4060">
        <v>248546762</v>
      </c>
      <c r="M4060">
        <v>337831474</v>
      </c>
      <c r="N4060">
        <v>242787330</v>
      </c>
      <c r="O4060">
        <v>186564807</v>
      </c>
      <c r="P4060">
        <v>46</v>
      </c>
      <c r="Q4060" t="s">
        <v>8460</v>
      </c>
    </row>
    <row r="4061" spans="1:17" x14ac:dyDescent="0.3">
      <c r="A4061" t="s">
        <v>17</v>
      </c>
      <c r="B4061" t="str">
        <f>"688209"</f>
        <v>688209</v>
      </c>
      <c r="C4061" t="s">
        <v>8461</v>
      </c>
      <c r="E4061">
        <v>78695719</v>
      </c>
      <c r="P4061">
        <v>5</v>
      </c>
      <c r="Q4061" t="s">
        <v>8462</v>
      </c>
    </row>
    <row r="4062" spans="1:17" x14ac:dyDescent="0.3">
      <c r="A4062" t="s">
        <v>73</v>
      </c>
      <c r="B4062" t="str">
        <f>"300321"</f>
        <v>300321</v>
      </c>
      <c r="C4062" t="s">
        <v>8463</v>
      </c>
      <c r="D4062" t="s">
        <v>267</v>
      </c>
      <c r="E4062">
        <v>78262573</v>
      </c>
      <c r="F4062">
        <v>70948144</v>
      </c>
      <c r="G4062">
        <v>74411037</v>
      </c>
      <c r="H4062">
        <v>63563665</v>
      </c>
      <c r="I4062">
        <v>61412210</v>
      </c>
      <c r="J4062">
        <v>58589954</v>
      </c>
      <c r="K4062">
        <v>55833373</v>
      </c>
      <c r="L4062">
        <v>55303319</v>
      </c>
      <c r="M4062">
        <v>66240670</v>
      </c>
      <c r="N4062">
        <v>46443266</v>
      </c>
      <c r="O4062">
        <v>37902756</v>
      </c>
      <c r="P4062">
        <v>45</v>
      </c>
      <c r="Q4062" t="s">
        <v>8464</v>
      </c>
    </row>
    <row r="4063" spans="1:17" x14ac:dyDescent="0.3">
      <c r="A4063" t="s">
        <v>73</v>
      </c>
      <c r="B4063" t="str">
        <f>"000731"</f>
        <v>000731</v>
      </c>
      <c r="C4063" t="s">
        <v>8465</v>
      </c>
      <c r="D4063" t="s">
        <v>2027</v>
      </c>
      <c r="E4063">
        <v>78218171</v>
      </c>
      <c r="F4063">
        <v>76431583</v>
      </c>
      <c r="G4063">
        <v>56865840</v>
      </c>
      <c r="H4063">
        <v>57160050</v>
      </c>
      <c r="I4063">
        <v>42746323</v>
      </c>
      <c r="J4063">
        <v>67792238</v>
      </c>
      <c r="K4063">
        <v>126042935</v>
      </c>
      <c r="L4063">
        <v>135547771</v>
      </c>
      <c r="M4063">
        <v>73571348</v>
      </c>
      <c r="N4063">
        <v>63188381</v>
      </c>
      <c r="O4063">
        <v>45841359</v>
      </c>
      <c r="P4063">
        <v>127</v>
      </c>
      <c r="Q4063" t="s">
        <v>8466</v>
      </c>
    </row>
    <row r="4064" spans="1:17" x14ac:dyDescent="0.3">
      <c r="A4064" t="s">
        <v>73</v>
      </c>
      <c r="B4064" t="str">
        <f>"300876"</f>
        <v>300876</v>
      </c>
      <c r="C4064" t="s">
        <v>8467</v>
      </c>
      <c r="D4064" t="s">
        <v>4202</v>
      </c>
      <c r="E4064">
        <v>78009192</v>
      </c>
      <c r="F4064">
        <v>58441813</v>
      </c>
      <c r="G4064">
        <v>0</v>
      </c>
      <c r="P4064">
        <v>67</v>
      </c>
      <c r="Q4064" t="s">
        <v>8468</v>
      </c>
    </row>
    <row r="4065" spans="1:17" x14ac:dyDescent="0.3">
      <c r="A4065" t="s">
        <v>17</v>
      </c>
      <c r="B4065" t="str">
        <f>"688173"</f>
        <v>688173</v>
      </c>
      <c r="C4065" t="s">
        <v>8469</v>
      </c>
      <c r="E4065">
        <v>77713948</v>
      </c>
      <c r="P4065">
        <v>11</v>
      </c>
      <c r="Q4065" t="s">
        <v>8470</v>
      </c>
    </row>
    <row r="4066" spans="1:17" x14ac:dyDescent="0.3">
      <c r="A4066" t="s">
        <v>17</v>
      </c>
      <c r="B4066" t="str">
        <f>"688193"</f>
        <v>688193</v>
      </c>
      <c r="C4066" t="s">
        <v>8471</v>
      </c>
      <c r="E4066">
        <v>77695368</v>
      </c>
      <c r="P4066">
        <v>2</v>
      </c>
      <c r="Q4066" t="s">
        <v>8472</v>
      </c>
    </row>
    <row r="4067" spans="1:17" x14ac:dyDescent="0.3">
      <c r="A4067" t="s">
        <v>73</v>
      </c>
      <c r="B4067" t="str">
        <f>"300894"</f>
        <v>300894</v>
      </c>
      <c r="C4067" t="s">
        <v>8473</v>
      </c>
      <c r="D4067" t="s">
        <v>1693</v>
      </c>
      <c r="E4067">
        <v>77587857</v>
      </c>
      <c r="F4067">
        <v>55469221</v>
      </c>
      <c r="P4067">
        <v>230</v>
      </c>
      <c r="Q4067" t="s">
        <v>8474</v>
      </c>
    </row>
    <row r="4068" spans="1:17" x14ac:dyDescent="0.3">
      <c r="A4068" t="s">
        <v>17</v>
      </c>
      <c r="B4068" t="str">
        <f>"605179"</f>
        <v>605179</v>
      </c>
      <c r="C4068" t="s">
        <v>8475</v>
      </c>
      <c r="D4068" t="s">
        <v>1027</v>
      </c>
      <c r="E4068">
        <v>77459010</v>
      </c>
      <c r="F4068">
        <v>50740630</v>
      </c>
      <c r="P4068">
        <v>84</v>
      </c>
      <c r="Q4068" t="s">
        <v>8476</v>
      </c>
    </row>
    <row r="4069" spans="1:17" x14ac:dyDescent="0.3">
      <c r="A4069" t="s">
        <v>17</v>
      </c>
      <c r="B4069" t="str">
        <f>"688265"</f>
        <v>688265</v>
      </c>
      <c r="C4069" t="s">
        <v>8477</v>
      </c>
      <c r="D4069" t="s">
        <v>459</v>
      </c>
      <c r="E4069">
        <v>77452554</v>
      </c>
      <c r="P4069">
        <v>17</v>
      </c>
      <c r="Q4069" t="s">
        <v>8478</v>
      </c>
    </row>
    <row r="4070" spans="1:17" x14ac:dyDescent="0.3">
      <c r="A4070" t="s">
        <v>17</v>
      </c>
      <c r="B4070" t="str">
        <f>"688212"</f>
        <v>688212</v>
      </c>
      <c r="C4070" t="s">
        <v>8479</v>
      </c>
      <c r="D4070" t="s">
        <v>692</v>
      </c>
      <c r="E4070">
        <v>77449993</v>
      </c>
      <c r="P4070">
        <v>31</v>
      </c>
      <c r="Q4070" t="s">
        <v>8480</v>
      </c>
    </row>
    <row r="4071" spans="1:17" x14ac:dyDescent="0.3">
      <c r="A4071" t="s">
        <v>73</v>
      </c>
      <c r="B4071" t="str">
        <f>"000897"</f>
        <v>000897</v>
      </c>
      <c r="C4071" t="s">
        <v>8481</v>
      </c>
      <c r="D4071" t="s">
        <v>27</v>
      </c>
      <c r="E4071">
        <v>77208184</v>
      </c>
      <c r="F4071">
        <v>78683925</v>
      </c>
      <c r="G4071">
        <v>77789229</v>
      </c>
      <c r="H4071">
        <v>72269863</v>
      </c>
      <c r="I4071">
        <v>98705493</v>
      </c>
      <c r="J4071">
        <v>95131886</v>
      </c>
      <c r="K4071">
        <v>90266708</v>
      </c>
      <c r="L4071">
        <v>106388501</v>
      </c>
      <c r="M4071">
        <v>275933630</v>
      </c>
      <c r="N4071">
        <v>70246228</v>
      </c>
      <c r="O4071">
        <v>392105486</v>
      </c>
      <c r="P4071">
        <v>170</v>
      </c>
      <c r="Q4071" t="s">
        <v>8482</v>
      </c>
    </row>
    <row r="4072" spans="1:17" x14ac:dyDescent="0.3">
      <c r="A4072" t="s">
        <v>17</v>
      </c>
      <c r="B4072" t="str">
        <f>"688016"</f>
        <v>688016</v>
      </c>
      <c r="C4072" t="s">
        <v>8483</v>
      </c>
      <c r="D4072" t="s">
        <v>1523</v>
      </c>
      <c r="E4072">
        <v>77060166</v>
      </c>
      <c r="F4072">
        <v>66193903</v>
      </c>
      <c r="G4072">
        <v>40066118</v>
      </c>
      <c r="H4072">
        <v>0</v>
      </c>
      <c r="P4072">
        <v>551</v>
      </c>
      <c r="Q4072" t="s">
        <v>8484</v>
      </c>
    </row>
    <row r="4073" spans="1:17" x14ac:dyDescent="0.3">
      <c r="A4073" t="s">
        <v>17</v>
      </c>
      <c r="B4073" t="str">
        <f>"600419"</f>
        <v>600419</v>
      </c>
      <c r="C4073" t="s">
        <v>8485</v>
      </c>
      <c r="D4073" t="s">
        <v>1027</v>
      </c>
      <c r="E4073">
        <v>77035543</v>
      </c>
      <c r="F4073">
        <v>98899700</v>
      </c>
      <c r="G4073">
        <v>64717799</v>
      </c>
      <c r="H4073">
        <v>63139857</v>
      </c>
      <c r="I4073">
        <v>36258318</v>
      </c>
      <c r="J4073">
        <v>29407397</v>
      </c>
      <c r="K4073">
        <v>30999051</v>
      </c>
      <c r="L4073">
        <v>24600741</v>
      </c>
      <c r="M4073">
        <v>22503102</v>
      </c>
      <c r="N4073">
        <v>8581124</v>
      </c>
      <c r="O4073">
        <v>14939671</v>
      </c>
      <c r="P4073">
        <v>626</v>
      </c>
      <c r="Q4073" t="s">
        <v>8486</v>
      </c>
    </row>
    <row r="4074" spans="1:17" x14ac:dyDescent="0.3">
      <c r="A4074" t="s">
        <v>17</v>
      </c>
      <c r="B4074" t="str">
        <f>"603983"</f>
        <v>603983</v>
      </c>
      <c r="C4074" t="s">
        <v>8487</v>
      </c>
      <c r="D4074" t="s">
        <v>2351</v>
      </c>
      <c r="E4074">
        <v>77030895</v>
      </c>
      <c r="F4074">
        <v>16470859</v>
      </c>
      <c r="G4074">
        <v>3196265</v>
      </c>
      <c r="H4074">
        <v>4898438</v>
      </c>
      <c r="P4074">
        <v>898</v>
      </c>
      <c r="Q4074" t="s">
        <v>8488</v>
      </c>
    </row>
    <row r="4075" spans="1:17" x14ac:dyDescent="0.3">
      <c r="A4075" t="s">
        <v>73</v>
      </c>
      <c r="B4075" t="str">
        <f>"301169"</f>
        <v>301169</v>
      </c>
      <c r="C4075" t="s">
        <v>8489</v>
      </c>
      <c r="D4075" t="s">
        <v>8490</v>
      </c>
      <c r="E4075">
        <v>76631852</v>
      </c>
      <c r="P4075">
        <v>15</v>
      </c>
      <c r="Q4075" t="s">
        <v>8491</v>
      </c>
    </row>
    <row r="4076" spans="1:17" x14ac:dyDescent="0.3">
      <c r="A4076" t="s">
        <v>73</v>
      </c>
      <c r="B4076" t="str">
        <f>"002467"</f>
        <v>002467</v>
      </c>
      <c r="C4076" t="s">
        <v>8492</v>
      </c>
      <c r="D4076" t="s">
        <v>1004</v>
      </c>
      <c r="E4076">
        <v>76446759</v>
      </c>
      <c r="F4076">
        <v>71120575</v>
      </c>
      <c r="G4076">
        <v>113743672</v>
      </c>
      <c r="H4076">
        <v>132535923</v>
      </c>
      <c r="I4076">
        <v>76426848</v>
      </c>
      <c r="J4076">
        <v>86120021</v>
      </c>
      <c r="K4076">
        <v>71053070</v>
      </c>
      <c r="L4076">
        <v>50791981</v>
      </c>
      <c r="M4076">
        <v>42261065</v>
      </c>
      <c r="N4076">
        <v>56766849</v>
      </c>
      <c r="O4076">
        <v>36676593</v>
      </c>
      <c r="P4076">
        <v>200</v>
      </c>
      <c r="Q4076" t="s">
        <v>8493</v>
      </c>
    </row>
    <row r="4077" spans="1:17" x14ac:dyDescent="0.3">
      <c r="A4077" t="s">
        <v>73</v>
      </c>
      <c r="B4077" t="str">
        <f>"301071"</f>
        <v>301071</v>
      </c>
      <c r="C4077" t="s">
        <v>8494</v>
      </c>
      <c r="D4077" t="s">
        <v>3119</v>
      </c>
      <c r="E4077">
        <v>76037665</v>
      </c>
      <c r="G4077">
        <v>49154646</v>
      </c>
      <c r="P4077">
        <v>76</v>
      </c>
      <c r="Q4077" t="s">
        <v>8495</v>
      </c>
    </row>
    <row r="4078" spans="1:17" x14ac:dyDescent="0.3">
      <c r="A4078" t="s">
        <v>17</v>
      </c>
      <c r="B4078" t="str">
        <f>"688787"</f>
        <v>688787</v>
      </c>
      <c r="C4078" t="s">
        <v>8496</v>
      </c>
      <c r="D4078" t="s">
        <v>302</v>
      </c>
      <c r="E4078">
        <v>75536438</v>
      </c>
      <c r="F4078">
        <v>48336295</v>
      </c>
      <c r="G4078">
        <v>33103352</v>
      </c>
      <c r="P4078">
        <v>32</v>
      </c>
      <c r="Q4078" t="s">
        <v>8497</v>
      </c>
    </row>
    <row r="4079" spans="1:17" x14ac:dyDescent="0.3">
      <c r="A4079" t="s">
        <v>17</v>
      </c>
      <c r="B4079" t="str">
        <f>"600077"</f>
        <v>600077</v>
      </c>
      <c r="C4079" t="s">
        <v>8498</v>
      </c>
      <c r="D4079" t="s">
        <v>27</v>
      </c>
      <c r="E4079">
        <v>75521284</v>
      </c>
      <c r="F4079">
        <v>59457025</v>
      </c>
      <c r="G4079">
        <v>49680991</v>
      </c>
      <c r="H4079">
        <v>30422914</v>
      </c>
      <c r="I4079">
        <v>5657362</v>
      </c>
      <c r="J4079">
        <v>192339</v>
      </c>
      <c r="K4079">
        <v>26636565</v>
      </c>
      <c r="L4079">
        <v>65178083</v>
      </c>
      <c r="M4079">
        <v>3207362</v>
      </c>
      <c r="N4079">
        <v>8928801</v>
      </c>
      <c r="O4079">
        <v>3348221</v>
      </c>
      <c r="P4079">
        <v>126</v>
      </c>
      <c r="Q4079" t="s">
        <v>8499</v>
      </c>
    </row>
    <row r="4080" spans="1:17" x14ac:dyDescent="0.3">
      <c r="A4080" t="s">
        <v>73</v>
      </c>
      <c r="B4080" t="str">
        <f>"001212"</f>
        <v>001212</v>
      </c>
      <c r="C4080" t="s">
        <v>8500</v>
      </c>
      <c r="D4080" t="s">
        <v>808</v>
      </c>
      <c r="E4080">
        <v>75242424</v>
      </c>
      <c r="F4080">
        <v>69676335</v>
      </c>
      <c r="P4080">
        <v>19</v>
      </c>
      <c r="Q4080" t="s">
        <v>8501</v>
      </c>
    </row>
    <row r="4081" spans="1:17" x14ac:dyDescent="0.3">
      <c r="A4081" t="s">
        <v>73</v>
      </c>
      <c r="B4081" t="str">
        <f>"002275"</f>
        <v>002275</v>
      </c>
      <c r="C4081" t="s">
        <v>8502</v>
      </c>
      <c r="D4081" t="s">
        <v>215</v>
      </c>
      <c r="E4081">
        <v>75014431</v>
      </c>
      <c r="F4081">
        <v>51111904</v>
      </c>
      <c r="G4081">
        <v>159910962</v>
      </c>
      <c r="H4081">
        <v>0</v>
      </c>
      <c r="I4081">
        <v>140545693</v>
      </c>
      <c r="J4081">
        <v>121615959</v>
      </c>
      <c r="K4081">
        <v>96773184</v>
      </c>
      <c r="L4081">
        <v>110982118</v>
      </c>
      <c r="M4081">
        <v>61842636</v>
      </c>
      <c r="N4081">
        <v>96102867</v>
      </c>
      <c r="O4081">
        <v>64184606</v>
      </c>
      <c r="P4081">
        <v>11978</v>
      </c>
      <c r="Q4081" t="s">
        <v>8503</v>
      </c>
    </row>
    <row r="4082" spans="1:17" x14ac:dyDescent="0.3">
      <c r="A4082" t="s">
        <v>17</v>
      </c>
      <c r="B4082" t="str">
        <f>"600053"</f>
        <v>600053</v>
      </c>
      <c r="C4082" t="s">
        <v>8504</v>
      </c>
      <c r="D4082" t="s">
        <v>7212</v>
      </c>
      <c r="E4082">
        <v>75003586</v>
      </c>
      <c r="F4082">
        <v>86599671</v>
      </c>
      <c r="G4082">
        <v>86733086</v>
      </c>
      <c r="H4082">
        <v>336540257</v>
      </c>
      <c r="I4082">
        <v>160651722</v>
      </c>
      <c r="J4082">
        <v>130914941</v>
      </c>
      <c r="K4082">
        <v>262553831</v>
      </c>
      <c r="L4082">
        <v>0</v>
      </c>
      <c r="M4082">
        <v>1311845</v>
      </c>
      <c r="N4082">
        <v>726209</v>
      </c>
      <c r="O4082">
        <v>475149</v>
      </c>
      <c r="P4082">
        <v>229</v>
      </c>
      <c r="Q4082" t="s">
        <v>8505</v>
      </c>
    </row>
    <row r="4083" spans="1:17" x14ac:dyDescent="0.3">
      <c r="A4083" t="s">
        <v>73</v>
      </c>
      <c r="B4083" t="str">
        <f>"300404"</f>
        <v>300404</v>
      </c>
      <c r="C4083" t="s">
        <v>8506</v>
      </c>
      <c r="D4083" t="s">
        <v>459</v>
      </c>
      <c r="E4083">
        <v>74851683</v>
      </c>
      <c r="F4083">
        <v>40413034</v>
      </c>
      <c r="G4083">
        <v>39354037</v>
      </c>
      <c r="H4083">
        <v>65324237</v>
      </c>
      <c r="I4083">
        <v>52062049</v>
      </c>
      <c r="J4083">
        <v>60851519</v>
      </c>
      <c r="K4083">
        <v>63196125</v>
      </c>
      <c r="L4083">
        <v>61321850</v>
      </c>
      <c r="M4083">
        <v>0</v>
      </c>
      <c r="P4083">
        <v>150</v>
      </c>
      <c r="Q4083" t="s">
        <v>8507</v>
      </c>
    </row>
    <row r="4084" spans="1:17" x14ac:dyDescent="0.3">
      <c r="A4084" t="s">
        <v>73</v>
      </c>
      <c r="B4084" t="str">
        <f>"300113"</f>
        <v>300113</v>
      </c>
      <c r="C4084" t="s">
        <v>8508</v>
      </c>
      <c r="D4084" t="s">
        <v>899</v>
      </c>
      <c r="E4084">
        <v>74740850</v>
      </c>
      <c r="F4084">
        <v>90168425</v>
      </c>
      <c r="G4084">
        <v>159411734</v>
      </c>
      <c r="H4084">
        <v>186498004</v>
      </c>
      <c r="I4084">
        <v>247327573</v>
      </c>
      <c r="J4084">
        <v>179091898</v>
      </c>
      <c r="K4084">
        <v>164521318</v>
      </c>
      <c r="L4084">
        <v>108002111</v>
      </c>
      <c r="M4084">
        <v>135149266</v>
      </c>
      <c r="N4084">
        <v>82543810</v>
      </c>
      <c r="O4084">
        <v>50608151</v>
      </c>
      <c r="P4084">
        <v>481</v>
      </c>
      <c r="Q4084" t="s">
        <v>8509</v>
      </c>
    </row>
    <row r="4085" spans="1:17" x14ac:dyDescent="0.3">
      <c r="A4085" t="s">
        <v>17</v>
      </c>
      <c r="B4085" t="str">
        <f>"688323"</f>
        <v>688323</v>
      </c>
      <c r="C4085" t="s">
        <v>8510</v>
      </c>
      <c r="D4085" t="s">
        <v>2271</v>
      </c>
      <c r="E4085">
        <v>74651394</v>
      </c>
      <c r="F4085">
        <v>71656651</v>
      </c>
      <c r="P4085">
        <v>26</v>
      </c>
      <c r="Q4085" t="s">
        <v>8511</v>
      </c>
    </row>
    <row r="4086" spans="1:17" x14ac:dyDescent="0.3">
      <c r="A4086" t="s">
        <v>73</v>
      </c>
      <c r="B4086" t="str">
        <f>"002524"</f>
        <v>002524</v>
      </c>
      <c r="C4086" t="s">
        <v>8512</v>
      </c>
      <c r="D4086" t="s">
        <v>1255</v>
      </c>
      <c r="E4086">
        <v>74372646</v>
      </c>
      <c r="F4086">
        <v>89399117</v>
      </c>
      <c r="G4086">
        <v>111936457</v>
      </c>
      <c r="H4086">
        <v>208705641</v>
      </c>
      <c r="I4086">
        <v>113346182</v>
      </c>
      <c r="J4086">
        <v>139400746</v>
      </c>
      <c r="K4086">
        <v>183713978</v>
      </c>
      <c r="L4086">
        <v>249912406</v>
      </c>
      <c r="M4086">
        <v>233025295</v>
      </c>
      <c r="N4086">
        <v>181784092</v>
      </c>
      <c r="O4086">
        <v>146637918</v>
      </c>
      <c r="P4086">
        <v>180</v>
      </c>
      <c r="Q4086" t="s">
        <v>8513</v>
      </c>
    </row>
    <row r="4087" spans="1:17" x14ac:dyDescent="0.3">
      <c r="A4087" t="s">
        <v>17</v>
      </c>
      <c r="B4087" t="str">
        <f>"600599"</f>
        <v>600599</v>
      </c>
      <c r="C4087" t="s">
        <v>8514</v>
      </c>
      <c r="D4087" t="s">
        <v>3243</v>
      </c>
      <c r="E4087">
        <v>74297125</v>
      </c>
      <c r="F4087">
        <v>44313050</v>
      </c>
      <c r="G4087">
        <v>37853845</v>
      </c>
      <c r="H4087">
        <v>86370225</v>
      </c>
      <c r="I4087">
        <v>45714628</v>
      </c>
      <c r="J4087">
        <v>129520455</v>
      </c>
      <c r="K4087">
        <v>75943019</v>
      </c>
      <c r="L4087">
        <v>86384864</v>
      </c>
      <c r="M4087">
        <v>53039003</v>
      </c>
      <c r="N4087">
        <v>68342571</v>
      </c>
      <c r="O4087">
        <v>75711041</v>
      </c>
      <c r="P4087">
        <v>54</v>
      </c>
      <c r="Q4087" t="s">
        <v>8515</v>
      </c>
    </row>
    <row r="4088" spans="1:17" x14ac:dyDescent="0.3">
      <c r="A4088" t="s">
        <v>73</v>
      </c>
      <c r="B4088" t="str">
        <f>"002356"</f>
        <v>002356</v>
      </c>
      <c r="C4088" t="s">
        <v>8516</v>
      </c>
      <c r="D4088" t="s">
        <v>3897</v>
      </c>
      <c r="E4088">
        <v>74001314</v>
      </c>
      <c r="F4088">
        <v>195479005</v>
      </c>
      <c r="G4088">
        <v>281954200</v>
      </c>
      <c r="H4088">
        <v>481279054</v>
      </c>
      <c r="I4088">
        <v>637619318</v>
      </c>
      <c r="J4088">
        <v>499642485</v>
      </c>
      <c r="K4088">
        <v>329138336</v>
      </c>
      <c r="L4088">
        <v>305498321</v>
      </c>
      <c r="M4088">
        <v>371358518</v>
      </c>
      <c r="N4088">
        <v>342444329</v>
      </c>
      <c r="O4088">
        <v>204870015</v>
      </c>
      <c r="P4088">
        <v>75</v>
      </c>
      <c r="Q4088" t="s">
        <v>8517</v>
      </c>
    </row>
    <row r="4089" spans="1:17" x14ac:dyDescent="0.3">
      <c r="A4089" t="s">
        <v>17</v>
      </c>
      <c r="B4089" t="str">
        <f>"603369"</f>
        <v>603369</v>
      </c>
      <c r="C4089" t="s">
        <v>8518</v>
      </c>
      <c r="D4089" t="s">
        <v>7050</v>
      </c>
      <c r="E4089">
        <v>73967403</v>
      </c>
      <c r="F4089">
        <v>41518581</v>
      </c>
      <c r="G4089">
        <v>67685913</v>
      </c>
      <c r="H4089">
        <v>62506328</v>
      </c>
      <c r="I4089">
        <v>38086928</v>
      </c>
      <c r="J4089">
        <v>30198455</v>
      </c>
      <c r="K4089">
        <v>29086316</v>
      </c>
      <c r="L4089">
        <v>39127974</v>
      </c>
      <c r="M4089">
        <v>0</v>
      </c>
      <c r="N4089">
        <v>0</v>
      </c>
      <c r="P4089">
        <v>35436</v>
      </c>
      <c r="Q4089" t="s">
        <v>8519</v>
      </c>
    </row>
    <row r="4090" spans="1:17" x14ac:dyDescent="0.3">
      <c r="A4090" t="s">
        <v>17</v>
      </c>
      <c r="B4090" t="str">
        <f>"688321"</f>
        <v>688321</v>
      </c>
      <c r="C4090" t="s">
        <v>8520</v>
      </c>
      <c r="D4090" t="s">
        <v>348</v>
      </c>
      <c r="E4090">
        <v>73907070</v>
      </c>
      <c r="F4090">
        <v>38282452</v>
      </c>
      <c r="G4090">
        <v>26924270</v>
      </c>
      <c r="H4090">
        <v>18846974</v>
      </c>
      <c r="P4090">
        <v>157</v>
      </c>
      <c r="Q4090" t="s">
        <v>8521</v>
      </c>
    </row>
    <row r="4091" spans="1:17" x14ac:dyDescent="0.3">
      <c r="A4091" t="s">
        <v>73</v>
      </c>
      <c r="B4091" t="str">
        <f>"301078"</f>
        <v>301078</v>
      </c>
      <c r="C4091" t="s">
        <v>8522</v>
      </c>
      <c r="D4091" t="s">
        <v>1206</v>
      </c>
      <c r="E4091">
        <v>73859856</v>
      </c>
      <c r="P4091">
        <v>23</v>
      </c>
      <c r="Q4091" t="s">
        <v>8523</v>
      </c>
    </row>
    <row r="4092" spans="1:17" x14ac:dyDescent="0.3">
      <c r="A4092" t="s">
        <v>17</v>
      </c>
      <c r="B4092" t="str">
        <f>"601326"</f>
        <v>601326</v>
      </c>
      <c r="C4092" t="s">
        <v>8524</v>
      </c>
      <c r="D4092" t="s">
        <v>706</v>
      </c>
      <c r="E4092">
        <v>73795232</v>
      </c>
      <c r="F4092">
        <v>72303596</v>
      </c>
      <c r="G4092">
        <v>94160523</v>
      </c>
      <c r="H4092">
        <v>86419321</v>
      </c>
      <c r="I4092">
        <v>94369463</v>
      </c>
      <c r="J4092">
        <v>167613059</v>
      </c>
      <c r="P4092">
        <v>127</v>
      </c>
      <c r="Q4092" t="s">
        <v>8525</v>
      </c>
    </row>
    <row r="4093" spans="1:17" x14ac:dyDescent="0.3">
      <c r="A4093" t="s">
        <v>73</v>
      </c>
      <c r="B4093" t="str">
        <f>"000861"</f>
        <v>000861</v>
      </c>
      <c r="C4093" t="s">
        <v>8526</v>
      </c>
      <c r="D4093" t="s">
        <v>1463</v>
      </c>
      <c r="E4093">
        <v>73476960</v>
      </c>
      <c r="F4093">
        <v>97378914</v>
      </c>
      <c r="G4093">
        <v>134556903</v>
      </c>
      <c r="H4093">
        <v>309943544</v>
      </c>
      <c r="I4093">
        <v>358869310</v>
      </c>
      <c r="J4093">
        <v>131875517</v>
      </c>
      <c r="K4093">
        <v>71065848</v>
      </c>
      <c r="L4093">
        <v>46634547</v>
      </c>
      <c r="M4093">
        <v>135816722</v>
      </c>
      <c r="N4093">
        <v>139176534</v>
      </c>
      <c r="O4093">
        <v>127904855</v>
      </c>
      <c r="P4093">
        <v>184</v>
      </c>
      <c r="Q4093" t="s">
        <v>8527</v>
      </c>
    </row>
    <row r="4094" spans="1:17" x14ac:dyDescent="0.3">
      <c r="A4094" t="s">
        <v>73</v>
      </c>
      <c r="B4094" t="str">
        <f>"300434"</f>
        <v>300434</v>
      </c>
      <c r="C4094" t="s">
        <v>8528</v>
      </c>
      <c r="D4094" t="s">
        <v>348</v>
      </c>
      <c r="E4094">
        <v>73425992</v>
      </c>
      <c r="F4094">
        <v>60330449</v>
      </c>
      <c r="G4094">
        <v>51553971</v>
      </c>
      <c r="H4094">
        <v>0</v>
      </c>
      <c r="I4094">
        <v>43936433</v>
      </c>
      <c r="J4094">
        <v>18970850</v>
      </c>
      <c r="K4094">
        <v>10874976</v>
      </c>
      <c r="L4094">
        <v>13265453</v>
      </c>
      <c r="M4094">
        <v>0</v>
      </c>
      <c r="P4094">
        <v>96</v>
      </c>
      <c r="Q4094" t="s">
        <v>8529</v>
      </c>
    </row>
    <row r="4095" spans="1:17" x14ac:dyDescent="0.3">
      <c r="A4095" t="s">
        <v>73</v>
      </c>
      <c r="B4095" t="str">
        <f>"300064"</f>
        <v>300064</v>
      </c>
      <c r="C4095" t="s">
        <v>8530</v>
      </c>
      <c r="D4095" t="s">
        <v>3119</v>
      </c>
      <c r="E4095">
        <v>73183099</v>
      </c>
      <c r="F4095">
        <v>115411197</v>
      </c>
      <c r="G4095">
        <v>169736800</v>
      </c>
      <c r="H4095">
        <v>824386348</v>
      </c>
      <c r="I4095">
        <v>840371185</v>
      </c>
      <c r="J4095">
        <v>549610915</v>
      </c>
      <c r="K4095">
        <v>352070050</v>
      </c>
      <c r="L4095">
        <v>337844386</v>
      </c>
      <c r="M4095">
        <v>313187454</v>
      </c>
      <c r="N4095">
        <v>221631724</v>
      </c>
      <c r="O4095">
        <v>13246799</v>
      </c>
      <c r="P4095">
        <v>77</v>
      </c>
      <c r="Q4095" t="s">
        <v>8531</v>
      </c>
    </row>
    <row r="4096" spans="1:17" x14ac:dyDescent="0.3">
      <c r="A4096" t="s">
        <v>17</v>
      </c>
      <c r="B4096" t="str">
        <f>"600266"</f>
        <v>600266</v>
      </c>
      <c r="C4096" t="s">
        <v>8532</v>
      </c>
      <c r="D4096" t="s">
        <v>27</v>
      </c>
      <c r="E4096">
        <v>73144268</v>
      </c>
      <c r="F4096">
        <v>130424330</v>
      </c>
      <c r="G4096">
        <v>129303167</v>
      </c>
      <c r="H4096">
        <v>72574249</v>
      </c>
      <c r="I4096">
        <v>36454687</v>
      </c>
      <c r="J4096">
        <v>63074603</v>
      </c>
      <c r="K4096">
        <v>118506909</v>
      </c>
      <c r="L4096">
        <v>93120899</v>
      </c>
      <c r="M4096">
        <v>85632632</v>
      </c>
      <c r="N4096">
        <v>37817180</v>
      </c>
      <c r="O4096">
        <v>52283945</v>
      </c>
      <c r="P4096">
        <v>338</v>
      </c>
      <c r="Q4096" t="s">
        <v>8533</v>
      </c>
    </row>
    <row r="4097" spans="1:17" x14ac:dyDescent="0.3">
      <c r="A4097" t="s">
        <v>17</v>
      </c>
      <c r="B4097" t="str">
        <f>"600665"</f>
        <v>600665</v>
      </c>
      <c r="C4097" t="s">
        <v>8534</v>
      </c>
      <c r="D4097" t="s">
        <v>27</v>
      </c>
      <c r="E4097">
        <v>72942666</v>
      </c>
      <c r="F4097">
        <v>90309051</v>
      </c>
      <c r="G4097">
        <v>171707811</v>
      </c>
      <c r="H4097">
        <v>12520621</v>
      </c>
      <c r="I4097">
        <v>17711407</v>
      </c>
      <c r="J4097">
        <v>20453005</v>
      </c>
      <c r="K4097">
        <v>24749633</v>
      </c>
      <c r="L4097">
        <v>14642769</v>
      </c>
      <c r="M4097">
        <v>26410945</v>
      </c>
      <c r="N4097">
        <v>18644781</v>
      </c>
      <c r="O4097">
        <v>18747341</v>
      </c>
      <c r="P4097">
        <v>455</v>
      </c>
      <c r="Q4097" t="s">
        <v>8535</v>
      </c>
    </row>
    <row r="4098" spans="1:17" x14ac:dyDescent="0.3">
      <c r="A4098" t="s">
        <v>73</v>
      </c>
      <c r="B4098" t="str">
        <f>"002898"</f>
        <v>002898</v>
      </c>
      <c r="C4098" t="s">
        <v>8536</v>
      </c>
      <c r="D4098" t="s">
        <v>348</v>
      </c>
      <c r="E4098">
        <v>72927375</v>
      </c>
      <c r="F4098">
        <v>66682488</v>
      </c>
      <c r="G4098">
        <v>120745642</v>
      </c>
      <c r="H4098">
        <v>94897417</v>
      </c>
      <c r="I4098">
        <v>65549577</v>
      </c>
      <c r="P4098">
        <v>90</v>
      </c>
      <c r="Q4098" t="s">
        <v>8537</v>
      </c>
    </row>
    <row r="4099" spans="1:17" x14ac:dyDescent="0.3">
      <c r="A4099" t="s">
        <v>17</v>
      </c>
      <c r="B4099" t="str">
        <f>"688793"</f>
        <v>688793</v>
      </c>
      <c r="C4099" t="s">
        <v>8538</v>
      </c>
      <c r="D4099" t="s">
        <v>5358</v>
      </c>
      <c r="E4099">
        <v>72536542</v>
      </c>
      <c r="F4099">
        <v>41673010</v>
      </c>
      <c r="P4099">
        <v>48</v>
      </c>
      <c r="Q4099" t="s">
        <v>8539</v>
      </c>
    </row>
    <row r="4100" spans="1:17" x14ac:dyDescent="0.3">
      <c r="A4100" t="s">
        <v>17</v>
      </c>
      <c r="B4100" t="str">
        <f>"605338"</f>
        <v>605338</v>
      </c>
      <c r="C4100" t="s">
        <v>8540</v>
      </c>
      <c r="D4100" t="s">
        <v>4652</v>
      </c>
      <c r="E4100">
        <v>71916768</v>
      </c>
      <c r="F4100">
        <v>52844184</v>
      </c>
      <c r="P4100">
        <v>198</v>
      </c>
      <c r="Q4100" t="s">
        <v>8541</v>
      </c>
    </row>
    <row r="4101" spans="1:17" x14ac:dyDescent="0.3">
      <c r="A4101" t="s">
        <v>73</v>
      </c>
      <c r="B4101" t="str">
        <f>"000037"</f>
        <v>000037</v>
      </c>
      <c r="C4101" t="s">
        <v>8542</v>
      </c>
      <c r="D4101" t="s">
        <v>1106</v>
      </c>
      <c r="E4101">
        <v>71737578</v>
      </c>
      <c r="F4101">
        <v>123182410</v>
      </c>
      <c r="G4101">
        <v>163210322</v>
      </c>
      <c r="H4101">
        <v>136762279</v>
      </c>
      <c r="I4101">
        <v>201292751</v>
      </c>
      <c r="J4101">
        <v>201940969</v>
      </c>
      <c r="K4101">
        <v>532030347</v>
      </c>
      <c r="L4101">
        <v>512894694</v>
      </c>
      <c r="M4101">
        <v>763633377</v>
      </c>
      <c r="N4101">
        <v>829168513</v>
      </c>
      <c r="O4101">
        <v>859548258</v>
      </c>
      <c r="P4101">
        <v>112</v>
      </c>
      <c r="Q4101" t="s">
        <v>8543</v>
      </c>
    </row>
    <row r="4102" spans="1:17" x14ac:dyDescent="0.3">
      <c r="A4102" t="s">
        <v>73</v>
      </c>
      <c r="B4102" t="str">
        <f>"000631"</f>
        <v>000631</v>
      </c>
      <c r="C4102" t="s">
        <v>8544</v>
      </c>
      <c r="D4102" t="s">
        <v>27</v>
      </c>
      <c r="E4102">
        <v>71404977</v>
      </c>
      <c r="F4102">
        <v>6601959</v>
      </c>
      <c r="G4102">
        <v>6589962</v>
      </c>
      <c r="H4102">
        <v>5518232</v>
      </c>
      <c r="I4102">
        <v>82243415</v>
      </c>
      <c r="J4102">
        <v>57253174</v>
      </c>
      <c r="K4102">
        <v>23846703</v>
      </c>
      <c r="L4102">
        <v>5080133</v>
      </c>
      <c r="M4102">
        <v>2659116</v>
      </c>
      <c r="N4102">
        <v>864612</v>
      </c>
      <c r="O4102">
        <v>30229530</v>
      </c>
      <c r="P4102">
        <v>359</v>
      </c>
      <c r="Q4102" t="s">
        <v>8545</v>
      </c>
    </row>
    <row r="4103" spans="1:17" x14ac:dyDescent="0.3">
      <c r="A4103" t="s">
        <v>73</v>
      </c>
      <c r="B4103" t="str">
        <f>"002569"</f>
        <v>002569</v>
      </c>
      <c r="C4103" t="s">
        <v>8546</v>
      </c>
      <c r="D4103" t="s">
        <v>991</v>
      </c>
      <c r="E4103">
        <v>71285458</v>
      </c>
      <c r="F4103">
        <v>69952877</v>
      </c>
      <c r="G4103">
        <v>103933592</v>
      </c>
      <c r="H4103">
        <v>101956000</v>
      </c>
      <c r="I4103">
        <v>96832773</v>
      </c>
      <c r="J4103">
        <v>84413205</v>
      </c>
      <c r="K4103">
        <v>113598182</v>
      </c>
      <c r="L4103">
        <v>99680752</v>
      </c>
      <c r="M4103">
        <v>181976298</v>
      </c>
      <c r="N4103">
        <v>179212034</v>
      </c>
      <c r="O4103">
        <v>182898266</v>
      </c>
      <c r="P4103">
        <v>59</v>
      </c>
      <c r="Q4103" t="s">
        <v>8547</v>
      </c>
    </row>
    <row r="4104" spans="1:17" x14ac:dyDescent="0.3">
      <c r="A4104" t="s">
        <v>73</v>
      </c>
      <c r="B4104" t="str">
        <f>"002677"</f>
        <v>002677</v>
      </c>
      <c r="C4104" t="s">
        <v>8548</v>
      </c>
      <c r="D4104" t="s">
        <v>1693</v>
      </c>
      <c r="E4104">
        <v>71273007</v>
      </c>
      <c r="F4104">
        <v>21707135</v>
      </c>
      <c r="G4104">
        <v>33155368</v>
      </c>
      <c r="H4104">
        <v>32346756</v>
      </c>
      <c r="I4104">
        <v>16452411</v>
      </c>
      <c r="J4104">
        <v>15312968</v>
      </c>
      <c r="K4104">
        <v>16720285</v>
      </c>
      <c r="L4104">
        <v>37981110</v>
      </c>
      <c r="M4104">
        <v>22478020</v>
      </c>
      <c r="N4104">
        <v>28557339</v>
      </c>
      <c r="O4104">
        <v>7765680</v>
      </c>
      <c r="P4104">
        <v>4536</v>
      </c>
      <c r="Q4104" t="s">
        <v>8549</v>
      </c>
    </row>
    <row r="4105" spans="1:17" x14ac:dyDescent="0.3">
      <c r="A4105" t="s">
        <v>17</v>
      </c>
      <c r="B4105" t="str">
        <f>"600740"</f>
        <v>600740</v>
      </c>
      <c r="C4105" t="s">
        <v>8550</v>
      </c>
      <c r="D4105" t="s">
        <v>1651</v>
      </c>
      <c r="E4105">
        <v>71099880</v>
      </c>
      <c r="F4105">
        <v>89670190</v>
      </c>
      <c r="G4105">
        <v>82084835</v>
      </c>
      <c r="H4105">
        <v>102065352</v>
      </c>
      <c r="I4105">
        <v>536637102</v>
      </c>
      <c r="J4105">
        <v>642633565</v>
      </c>
      <c r="K4105">
        <v>670053740</v>
      </c>
      <c r="L4105">
        <v>915335887</v>
      </c>
      <c r="M4105">
        <v>1010955548</v>
      </c>
      <c r="N4105">
        <v>599137390</v>
      </c>
      <c r="O4105">
        <v>580735935</v>
      </c>
      <c r="P4105">
        <v>331</v>
      </c>
      <c r="Q4105" t="s">
        <v>8551</v>
      </c>
    </row>
    <row r="4106" spans="1:17" x14ac:dyDescent="0.3">
      <c r="A4106" t="s">
        <v>73</v>
      </c>
      <c r="B4106" t="str">
        <f>"301023"</f>
        <v>301023</v>
      </c>
      <c r="C4106" t="s">
        <v>8552</v>
      </c>
      <c r="D4106" t="s">
        <v>689</v>
      </c>
      <c r="E4106">
        <v>70786360</v>
      </c>
      <c r="F4106">
        <v>62308512</v>
      </c>
      <c r="P4106">
        <v>22</v>
      </c>
      <c r="Q4106" t="s">
        <v>8553</v>
      </c>
    </row>
    <row r="4107" spans="1:17" x14ac:dyDescent="0.3">
      <c r="A4107" t="s">
        <v>73</v>
      </c>
      <c r="B4107" t="str">
        <f>"000505"</f>
        <v>000505</v>
      </c>
      <c r="C4107" t="s">
        <v>8554</v>
      </c>
      <c r="D4107" t="s">
        <v>373</v>
      </c>
      <c r="E4107">
        <v>70691098</v>
      </c>
      <c r="F4107">
        <v>79755021</v>
      </c>
      <c r="G4107">
        <v>68805379</v>
      </c>
      <c r="H4107">
        <v>96506383</v>
      </c>
      <c r="I4107">
        <v>84051749</v>
      </c>
      <c r="J4107">
        <v>13783788</v>
      </c>
      <c r="K4107">
        <v>21565340</v>
      </c>
      <c r="L4107">
        <v>17916635</v>
      </c>
      <c r="M4107">
        <v>12614705</v>
      </c>
      <c r="N4107">
        <v>13318226</v>
      </c>
      <c r="O4107">
        <v>10684970</v>
      </c>
      <c r="P4107">
        <v>193</v>
      </c>
      <c r="Q4107" t="s">
        <v>8555</v>
      </c>
    </row>
    <row r="4108" spans="1:17" x14ac:dyDescent="0.3">
      <c r="A4108" t="s">
        <v>73</v>
      </c>
      <c r="B4108" t="str">
        <f>"002956"</f>
        <v>002956</v>
      </c>
      <c r="C4108" t="s">
        <v>8556</v>
      </c>
      <c r="D4108" t="s">
        <v>3675</v>
      </c>
      <c r="E4108">
        <v>70521811</v>
      </c>
      <c r="F4108">
        <v>72030842</v>
      </c>
      <c r="G4108">
        <v>48661135</v>
      </c>
      <c r="H4108">
        <v>0</v>
      </c>
      <c r="P4108">
        <v>281</v>
      </c>
      <c r="Q4108" t="s">
        <v>8557</v>
      </c>
    </row>
    <row r="4109" spans="1:17" x14ac:dyDescent="0.3">
      <c r="A4109" t="s">
        <v>73</v>
      </c>
      <c r="B4109" t="str">
        <f>"300849"</f>
        <v>300849</v>
      </c>
      <c r="C4109" t="s">
        <v>8558</v>
      </c>
      <c r="D4109" t="s">
        <v>2859</v>
      </c>
      <c r="E4109">
        <v>70429386</v>
      </c>
      <c r="F4109">
        <v>80565830</v>
      </c>
      <c r="G4109">
        <v>82092602</v>
      </c>
      <c r="P4109">
        <v>44</v>
      </c>
      <c r="Q4109" t="s">
        <v>8559</v>
      </c>
    </row>
    <row r="4110" spans="1:17" x14ac:dyDescent="0.3">
      <c r="A4110" t="s">
        <v>73</v>
      </c>
      <c r="B4110" t="str">
        <f>"300029"</f>
        <v>300029</v>
      </c>
      <c r="C4110" t="s">
        <v>8560</v>
      </c>
      <c r="D4110" t="s">
        <v>1484</v>
      </c>
      <c r="E4110">
        <v>70145194</v>
      </c>
      <c r="F4110">
        <v>44658776</v>
      </c>
      <c r="G4110">
        <v>176958</v>
      </c>
      <c r="H4110">
        <v>18620940</v>
      </c>
      <c r="I4110">
        <v>46594360</v>
      </c>
      <c r="J4110">
        <v>26155772</v>
      </c>
      <c r="K4110">
        <v>51168111</v>
      </c>
      <c r="L4110">
        <v>130415596</v>
      </c>
      <c r="M4110">
        <v>187636290</v>
      </c>
      <c r="N4110">
        <v>313908133</v>
      </c>
      <c r="O4110">
        <v>451899623</v>
      </c>
      <c r="P4110">
        <v>66</v>
      </c>
      <c r="Q4110" t="s">
        <v>8561</v>
      </c>
    </row>
    <row r="4111" spans="1:17" x14ac:dyDescent="0.3">
      <c r="A4111" t="s">
        <v>17</v>
      </c>
      <c r="B4111" t="str">
        <f>"688520"</f>
        <v>688520</v>
      </c>
      <c r="C4111" t="s">
        <v>8562</v>
      </c>
      <c r="D4111" t="s">
        <v>1505</v>
      </c>
      <c r="E4111">
        <v>69945588</v>
      </c>
      <c r="F4111">
        <v>0</v>
      </c>
      <c r="G4111">
        <v>0</v>
      </c>
      <c r="H4111">
        <v>0</v>
      </c>
      <c r="P4111">
        <v>90</v>
      </c>
      <c r="Q4111" t="s">
        <v>8563</v>
      </c>
    </row>
    <row r="4112" spans="1:17" x14ac:dyDescent="0.3">
      <c r="A4112" t="s">
        <v>17</v>
      </c>
      <c r="B4112" t="str">
        <f>"605255"</f>
        <v>605255</v>
      </c>
      <c r="C4112" t="s">
        <v>8564</v>
      </c>
      <c r="D4112" t="s">
        <v>122</v>
      </c>
      <c r="E4112">
        <v>69905717</v>
      </c>
      <c r="F4112">
        <v>79840080</v>
      </c>
      <c r="P4112">
        <v>51</v>
      </c>
      <c r="Q4112" t="s">
        <v>8565</v>
      </c>
    </row>
    <row r="4113" spans="1:17" x14ac:dyDescent="0.3">
      <c r="A4113" t="s">
        <v>73</v>
      </c>
      <c r="B4113" t="str">
        <f>"002857"</f>
        <v>002857</v>
      </c>
      <c r="C4113" t="s">
        <v>8566</v>
      </c>
      <c r="D4113" t="s">
        <v>1280</v>
      </c>
      <c r="E4113">
        <v>69882501</v>
      </c>
      <c r="F4113">
        <v>109280884</v>
      </c>
      <c r="G4113">
        <v>144577666</v>
      </c>
      <c r="H4113">
        <v>198114241</v>
      </c>
      <c r="I4113">
        <v>153333493</v>
      </c>
      <c r="J4113">
        <v>143809756</v>
      </c>
      <c r="P4113">
        <v>45</v>
      </c>
      <c r="Q4113" t="s">
        <v>8567</v>
      </c>
    </row>
    <row r="4114" spans="1:17" x14ac:dyDescent="0.3">
      <c r="A4114" t="s">
        <v>73</v>
      </c>
      <c r="B4114" t="str">
        <f>"300927"</f>
        <v>300927</v>
      </c>
      <c r="C4114" t="s">
        <v>8568</v>
      </c>
      <c r="D4114" t="s">
        <v>4692</v>
      </c>
      <c r="E4114">
        <v>69800864</v>
      </c>
      <c r="F4114">
        <v>65201657</v>
      </c>
      <c r="P4114">
        <v>44</v>
      </c>
      <c r="Q4114" t="s">
        <v>8569</v>
      </c>
    </row>
    <row r="4115" spans="1:17" x14ac:dyDescent="0.3">
      <c r="A4115" t="s">
        <v>73</v>
      </c>
      <c r="B4115" t="str">
        <f>"002729"</f>
        <v>002729</v>
      </c>
      <c r="C4115" t="s">
        <v>8570</v>
      </c>
      <c r="D4115" t="s">
        <v>651</v>
      </c>
      <c r="E4115">
        <v>69796061</v>
      </c>
      <c r="F4115">
        <v>56376979</v>
      </c>
      <c r="G4115">
        <v>34203431</v>
      </c>
      <c r="H4115">
        <v>48641228</v>
      </c>
      <c r="I4115">
        <v>36178130</v>
      </c>
      <c r="J4115">
        <v>32872582</v>
      </c>
      <c r="K4115">
        <v>31237170</v>
      </c>
      <c r="L4115">
        <v>31452929</v>
      </c>
      <c r="M4115">
        <v>0</v>
      </c>
      <c r="P4115">
        <v>71</v>
      </c>
      <c r="Q4115" t="s">
        <v>8571</v>
      </c>
    </row>
    <row r="4116" spans="1:17" x14ac:dyDescent="0.3">
      <c r="A4116" t="s">
        <v>73</v>
      </c>
      <c r="B4116" t="str">
        <f>"301075"</f>
        <v>301075</v>
      </c>
      <c r="C4116" t="s">
        <v>8572</v>
      </c>
      <c r="D4116" t="s">
        <v>348</v>
      </c>
      <c r="E4116">
        <v>69758683</v>
      </c>
      <c r="G4116">
        <v>118636463</v>
      </c>
      <c r="P4116">
        <v>22</v>
      </c>
      <c r="Q4116" t="s">
        <v>8573</v>
      </c>
    </row>
    <row r="4117" spans="1:17" x14ac:dyDescent="0.3">
      <c r="A4117" t="s">
        <v>73</v>
      </c>
      <c r="B4117" t="str">
        <f>"000982"</f>
        <v>000982</v>
      </c>
      <c r="C4117" t="s">
        <v>8574</v>
      </c>
      <c r="D4117" t="s">
        <v>3204</v>
      </c>
      <c r="E4117">
        <v>69684590</v>
      </c>
      <c r="F4117">
        <v>89495221</v>
      </c>
      <c r="G4117">
        <v>12333088</v>
      </c>
      <c r="H4117">
        <v>551587609</v>
      </c>
      <c r="I4117">
        <v>1631088427</v>
      </c>
      <c r="J4117">
        <v>1074721634</v>
      </c>
      <c r="K4117">
        <v>1083650041</v>
      </c>
      <c r="L4117">
        <v>783038468</v>
      </c>
      <c r="M4117">
        <v>896957399</v>
      </c>
      <c r="N4117">
        <v>876884883</v>
      </c>
      <c r="O4117">
        <v>535783871</v>
      </c>
      <c r="P4117">
        <v>83</v>
      </c>
      <c r="Q4117" t="s">
        <v>8575</v>
      </c>
    </row>
    <row r="4118" spans="1:17" x14ac:dyDescent="0.3">
      <c r="A4118" t="s">
        <v>73</v>
      </c>
      <c r="B4118" t="str">
        <f>"002582"</f>
        <v>002582</v>
      </c>
      <c r="C4118" t="s">
        <v>8576</v>
      </c>
      <c r="D4118" t="s">
        <v>4657</v>
      </c>
      <c r="E4118">
        <v>69517115</v>
      </c>
      <c r="F4118">
        <v>103157733</v>
      </c>
      <c r="G4118">
        <v>268614147</v>
      </c>
      <c r="H4118">
        <v>359155920</v>
      </c>
      <c r="I4118">
        <v>407278566</v>
      </c>
      <c r="J4118">
        <v>224970386</v>
      </c>
      <c r="K4118">
        <v>186685860</v>
      </c>
      <c r="L4118">
        <v>212579382</v>
      </c>
      <c r="M4118">
        <v>138439193</v>
      </c>
      <c r="N4118">
        <v>113456919</v>
      </c>
      <c r="O4118">
        <v>74833012</v>
      </c>
      <c r="P4118">
        <v>439</v>
      </c>
      <c r="Q4118" t="s">
        <v>8577</v>
      </c>
    </row>
    <row r="4119" spans="1:17" x14ac:dyDescent="0.3">
      <c r="A4119" t="s">
        <v>17</v>
      </c>
      <c r="B4119" t="str">
        <f>"601588"</f>
        <v>601588</v>
      </c>
      <c r="C4119" t="s">
        <v>8578</v>
      </c>
      <c r="D4119" t="s">
        <v>27</v>
      </c>
      <c r="E4119">
        <v>69481154</v>
      </c>
      <c r="F4119">
        <v>174661450</v>
      </c>
      <c r="G4119">
        <v>85775965</v>
      </c>
      <c r="H4119">
        <v>87917494</v>
      </c>
      <c r="I4119">
        <v>118066492</v>
      </c>
      <c r="J4119">
        <v>147049105</v>
      </c>
      <c r="K4119">
        <v>85925501</v>
      </c>
      <c r="L4119">
        <v>57037512</v>
      </c>
      <c r="M4119">
        <v>33952297</v>
      </c>
      <c r="N4119">
        <v>45962392</v>
      </c>
      <c r="O4119">
        <v>30184162</v>
      </c>
      <c r="P4119">
        <v>536</v>
      </c>
      <c r="Q4119" t="s">
        <v>8579</v>
      </c>
    </row>
    <row r="4120" spans="1:17" x14ac:dyDescent="0.3">
      <c r="A4120" t="s">
        <v>17</v>
      </c>
      <c r="B4120" t="str">
        <f>"688229"</f>
        <v>688229</v>
      </c>
      <c r="C4120" t="s">
        <v>8580</v>
      </c>
      <c r="D4120" t="s">
        <v>302</v>
      </c>
      <c r="E4120">
        <v>69313948</v>
      </c>
      <c r="F4120">
        <v>64712546</v>
      </c>
      <c r="G4120">
        <v>72595598</v>
      </c>
      <c r="P4120">
        <v>63</v>
      </c>
      <c r="Q4120" t="s">
        <v>8581</v>
      </c>
    </row>
    <row r="4121" spans="1:17" x14ac:dyDescent="0.3">
      <c r="A4121" t="s">
        <v>73</v>
      </c>
      <c r="B4121" t="str">
        <f>"300505"</f>
        <v>300505</v>
      </c>
      <c r="C4121" t="s">
        <v>8582</v>
      </c>
      <c r="D4121" t="s">
        <v>1137</v>
      </c>
      <c r="E4121">
        <v>69231552</v>
      </c>
      <c r="F4121">
        <v>55586958</v>
      </c>
      <c r="G4121">
        <v>54669607</v>
      </c>
      <c r="H4121">
        <v>47178496</v>
      </c>
      <c r="I4121">
        <v>91079312</v>
      </c>
      <c r="J4121">
        <v>53772994</v>
      </c>
      <c r="K4121">
        <v>32870971</v>
      </c>
      <c r="L4121">
        <v>0</v>
      </c>
      <c r="P4121">
        <v>97</v>
      </c>
      <c r="Q4121" t="s">
        <v>8583</v>
      </c>
    </row>
    <row r="4122" spans="1:17" x14ac:dyDescent="0.3">
      <c r="A4122" t="s">
        <v>73</v>
      </c>
      <c r="B4122" t="str">
        <f>"002656"</f>
        <v>002656</v>
      </c>
      <c r="C4122" t="s">
        <v>8584</v>
      </c>
      <c r="D4122" t="s">
        <v>991</v>
      </c>
      <c r="E4122">
        <v>69079313</v>
      </c>
      <c r="F4122">
        <v>117455990</v>
      </c>
      <c r="G4122">
        <v>179260540</v>
      </c>
      <c r="H4122">
        <v>373022411</v>
      </c>
      <c r="I4122">
        <v>223983286</v>
      </c>
      <c r="J4122">
        <v>171154651</v>
      </c>
      <c r="K4122">
        <v>191001457</v>
      </c>
      <c r="L4122">
        <v>169721539</v>
      </c>
      <c r="M4122">
        <v>182027319</v>
      </c>
      <c r="N4122">
        <v>160499535</v>
      </c>
      <c r="O4122">
        <v>72803761</v>
      </c>
      <c r="P4122">
        <v>62</v>
      </c>
      <c r="Q4122" t="s">
        <v>8585</v>
      </c>
    </row>
    <row r="4123" spans="1:17" x14ac:dyDescent="0.3">
      <c r="A4123" t="s">
        <v>73</v>
      </c>
      <c r="B4123" t="str">
        <f>"301222"</f>
        <v>301222</v>
      </c>
      <c r="C4123" t="s">
        <v>8586</v>
      </c>
      <c r="E4123">
        <v>69069555</v>
      </c>
      <c r="P4123">
        <v>4</v>
      </c>
      <c r="Q4123" t="s">
        <v>8587</v>
      </c>
    </row>
    <row r="4124" spans="1:17" x14ac:dyDescent="0.3">
      <c r="A4124" t="s">
        <v>17</v>
      </c>
      <c r="B4124" t="str">
        <f>"603811"</f>
        <v>603811</v>
      </c>
      <c r="C4124" t="s">
        <v>8588</v>
      </c>
      <c r="D4124" t="s">
        <v>348</v>
      </c>
      <c r="E4124">
        <v>69060626</v>
      </c>
      <c r="F4124">
        <v>60005348</v>
      </c>
      <c r="G4124">
        <v>54589417</v>
      </c>
      <c r="H4124">
        <v>46483912</v>
      </c>
      <c r="I4124">
        <v>47692756</v>
      </c>
      <c r="J4124">
        <v>40528271</v>
      </c>
      <c r="P4124">
        <v>327</v>
      </c>
      <c r="Q4124" t="s">
        <v>8589</v>
      </c>
    </row>
    <row r="4125" spans="1:17" x14ac:dyDescent="0.3">
      <c r="A4125" t="s">
        <v>17</v>
      </c>
      <c r="B4125" t="str">
        <f>"688222"</f>
        <v>688222</v>
      </c>
      <c r="C4125" t="s">
        <v>8590</v>
      </c>
      <c r="D4125" t="s">
        <v>459</v>
      </c>
      <c r="E4125">
        <v>68832715</v>
      </c>
      <c r="F4125">
        <v>57551324</v>
      </c>
      <c r="G4125">
        <v>20957931</v>
      </c>
      <c r="H4125">
        <v>25889703</v>
      </c>
      <c r="P4125">
        <v>128</v>
      </c>
      <c r="Q4125" t="s">
        <v>8591</v>
      </c>
    </row>
    <row r="4126" spans="1:17" x14ac:dyDescent="0.3">
      <c r="A4126" t="s">
        <v>73</v>
      </c>
      <c r="B4126" t="str">
        <f>"002041"</f>
        <v>002041</v>
      </c>
      <c r="C4126" t="s">
        <v>8592</v>
      </c>
      <c r="D4126" t="s">
        <v>3172</v>
      </c>
      <c r="E4126">
        <v>68582228</v>
      </c>
      <c r="F4126">
        <v>64310338</v>
      </c>
      <c r="G4126">
        <v>44181600</v>
      </c>
      <c r="H4126">
        <v>42016041</v>
      </c>
      <c r="I4126">
        <v>42486698</v>
      </c>
      <c r="J4126">
        <v>92739457</v>
      </c>
      <c r="K4126">
        <v>200094190</v>
      </c>
      <c r="L4126">
        <v>106901697</v>
      </c>
      <c r="M4126">
        <v>161420560</v>
      </c>
      <c r="N4126">
        <v>142263618</v>
      </c>
      <c r="O4126">
        <v>122527941</v>
      </c>
      <c r="P4126">
        <v>446</v>
      </c>
      <c r="Q4126" t="s">
        <v>8593</v>
      </c>
    </row>
    <row r="4127" spans="1:17" x14ac:dyDescent="0.3">
      <c r="A4127" t="s">
        <v>73</v>
      </c>
      <c r="B4127" t="str">
        <f>"002629"</f>
        <v>002629</v>
      </c>
      <c r="C4127" t="s">
        <v>8594</v>
      </c>
      <c r="D4127" t="s">
        <v>227</v>
      </c>
      <c r="E4127">
        <v>68561654</v>
      </c>
      <c r="F4127">
        <v>70510315</v>
      </c>
      <c r="G4127">
        <v>60469895</v>
      </c>
      <c r="H4127">
        <v>54497825</v>
      </c>
      <c r="I4127">
        <v>102779644</v>
      </c>
      <c r="J4127">
        <v>153868245</v>
      </c>
      <c r="K4127">
        <v>342464227</v>
      </c>
      <c r="L4127">
        <v>416931683</v>
      </c>
      <c r="M4127">
        <v>404652665</v>
      </c>
      <c r="N4127">
        <v>433753305</v>
      </c>
      <c r="O4127">
        <v>214299636</v>
      </c>
      <c r="P4127">
        <v>60</v>
      </c>
      <c r="Q4127" t="s">
        <v>8595</v>
      </c>
    </row>
    <row r="4128" spans="1:17" x14ac:dyDescent="0.3">
      <c r="A4128" t="s">
        <v>17</v>
      </c>
      <c r="B4128" t="str">
        <f>"603580"</f>
        <v>603580</v>
      </c>
      <c r="C4128" t="s">
        <v>8596</v>
      </c>
      <c r="D4128" t="s">
        <v>3079</v>
      </c>
      <c r="E4128">
        <v>68315616</v>
      </c>
      <c r="F4128">
        <v>63496652</v>
      </c>
      <c r="G4128">
        <v>43467767</v>
      </c>
      <c r="H4128">
        <v>51382985</v>
      </c>
      <c r="I4128">
        <v>42721695</v>
      </c>
      <c r="J4128">
        <v>0</v>
      </c>
      <c r="P4128">
        <v>57</v>
      </c>
      <c r="Q4128" t="s">
        <v>8597</v>
      </c>
    </row>
    <row r="4129" spans="1:17" x14ac:dyDescent="0.3">
      <c r="A4129" t="s">
        <v>73</v>
      </c>
      <c r="B4129" t="str">
        <f>"300950"</f>
        <v>300950</v>
      </c>
      <c r="C4129" t="s">
        <v>8598</v>
      </c>
      <c r="D4129" t="s">
        <v>311</v>
      </c>
      <c r="E4129">
        <v>67940653</v>
      </c>
      <c r="F4129">
        <v>53224754</v>
      </c>
      <c r="P4129">
        <v>58</v>
      </c>
      <c r="Q4129" t="s">
        <v>8599</v>
      </c>
    </row>
    <row r="4130" spans="1:17" x14ac:dyDescent="0.3">
      <c r="A4130" t="s">
        <v>17</v>
      </c>
      <c r="B4130" t="str">
        <f>"605318"</f>
        <v>605318</v>
      </c>
      <c r="C4130" t="s">
        <v>8600</v>
      </c>
      <c r="D4130" t="s">
        <v>808</v>
      </c>
      <c r="E4130">
        <v>67779899</v>
      </c>
      <c r="F4130">
        <v>30310499</v>
      </c>
      <c r="G4130">
        <v>25816788</v>
      </c>
      <c r="P4130">
        <v>58</v>
      </c>
      <c r="Q4130" t="s">
        <v>8601</v>
      </c>
    </row>
    <row r="4131" spans="1:17" x14ac:dyDescent="0.3">
      <c r="A4131" t="s">
        <v>73</v>
      </c>
      <c r="B4131" t="str">
        <f>"300945"</f>
        <v>300945</v>
      </c>
      <c r="C4131" t="s">
        <v>8602</v>
      </c>
      <c r="D4131" t="s">
        <v>1260</v>
      </c>
      <c r="E4131">
        <v>67582960</v>
      </c>
      <c r="F4131">
        <v>134936301</v>
      </c>
      <c r="P4131">
        <v>36</v>
      </c>
      <c r="Q4131" t="s">
        <v>8603</v>
      </c>
    </row>
    <row r="4132" spans="1:17" x14ac:dyDescent="0.3">
      <c r="A4132" t="s">
        <v>17</v>
      </c>
      <c r="B4132" t="str">
        <f>"600082"</f>
        <v>600082</v>
      </c>
      <c r="C4132" t="s">
        <v>8604</v>
      </c>
      <c r="D4132" t="s">
        <v>61</v>
      </c>
      <c r="E4132">
        <v>67429713</v>
      </c>
      <c r="F4132">
        <v>43959667</v>
      </c>
      <c r="G4132">
        <v>20013806</v>
      </c>
      <c r="H4132">
        <v>1562904</v>
      </c>
      <c r="I4132">
        <v>1290957</v>
      </c>
      <c r="J4132">
        <v>2448389</v>
      </c>
      <c r="K4132">
        <v>5987104</v>
      </c>
      <c r="L4132">
        <v>3163053</v>
      </c>
      <c r="M4132">
        <v>633199</v>
      </c>
      <c r="N4132">
        <v>4906558</v>
      </c>
      <c r="O4132">
        <v>6171068</v>
      </c>
      <c r="P4132">
        <v>75</v>
      </c>
      <c r="Q4132" t="s">
        <v>8605</v>
      </c>
    </row>
    <row r="4133" spans="1:17" x14ac:dyDescent="0.3">
      <c r="A4133" t="s">
        <v>17</v>
      </c>
      <c r="B4133" t="str">
        <f>"600800"</f>
        <v>600800</v>
      </c>
      <c r="C4133" t="s">
        <v>8606</v>
      </c>
      <c r="D4133" t="s">
        <v>998</v>
      </c>
      <c r="E4133">
        <v>67378352</v>
      </c>
      <c r="F4133">
        <v>77717374</v>
      </c>
      <c r="G4133">
        <v>104867035</v>
      </c>
      <c r="H4133">
        <v>131814579</v>
      </c>
      <c r="I4133">
        <v>130529732</v>
      </c>
      <c r="J4133">
        <v>100308200</v>
      </c>
      <c r="K4133">
        <v>92018664</v>
      </c>
      <c r="L4133">
        <v>85924524</v>
      </c>
      <c r="M4133">
        <v>71945159</v>
      </c>
      <c r="N4133">
        <v>83361420</v>
      </c>
      <c r="O4133">
        <v>87978913</v>
      </c>
      <c r="P4133">
        <v>147</v>
      </c>
      <c r="Q4133" t="s">
        <v>8607</v>
      </c>
    </row>
    <row r="4134" spans="1:17" x14ac:dyDescent="0.3">
      <c r="A4134" t="s">
        <v>17</v>
      </c>
      <c r="B4134" t="str">
        <f>"603991"</f>
        <v>603991</v>
      </c>
      <c r="C4134" t="s">
        <v>8608</v>
      </c>
      <c r="D4134" t="s">
        <v>3079</v>
      </c>
      <c r="E4134">
        <v>67301121</v>
      </c>
      <c r="F4134">
        <v>149498813</v>
      </c>
      <c r="G4134">
        <v>256492368</v>
      </c>
      <c r="H4134">
        <v>314389994</v>
      </c>
      <c r="I4134">
        <v>195909869</v>
      </c>
      <c r="J4134">
        <v>158642971</v>
      </c>
      <c r="P4134">
        <v>96</v>
      </c>
      <c r="Q4134" t="s">
        <v>8609</v>
      </c>
    </row>
    <row r="4135" spans="1:17" x14ac:dyDescent="0.3">
      <c r="A4135" t="s">
        <v>17</v>
      </c>
      <c r="B4135" t="str">
        <f>"601519"</f>
        <v>601519</v>
      </c>
      <c r="C4135" t="s">
        <v>8610</v>
      </c>
      <c r="D4135" t="s">
        <v>795</v>
      </c>
      <c r="E4135">
        <v>67142432</v>
      </c>
      <c r="F4135">
        <v>70265093</v>
      </c>
      <c r="G4135">
        <v>73829428</v>
      </c>
      <c r="H4135">
        <v>80152824</v>
      </c>
      <c r="I4135">
        <v>63769526</v>
      </c>
      <c r="J4135">
        <v>79477365</v>
      </c>
      <c r="K4135">
        <v>54166905</v>
      </c>
      <c r="L4135">
        <v>52340802</v>
      </c>
      <c r="M4135">
        <v>52643414</v>
      </c>
      <c r="N4135">
        <v>37161498</v>
      </c>
      <c r="O4135">
        <v>37390600</v>
      </c>
      <c r="P4135">
        <v>209</v>
      </c>
      <c r="Q4135" t="s">
        <v>8611</v>
      </c>
    </row>
    <row r="4136" spans="1:17" x14ac:dyDescent="0.3">
      <c r="A4136" t="s">
        <v>17</v>
      </c>
      <c r="B4136" t="str">
        <f>"600638"</f>
        <v>600638</v>
      </c>
      <c r="C4136" t="s">
        <v>8612</v>
      </c>
      <c r="D4136" t="s">
        <v>27</v>
      </c>
      <c r="E4136">
        <v>67015527</v>
      </c>
      <c r="F4136">
        <v>70766482</v>
      </c>
      <c r="G4136">
        <v>9503852</v>
      </c>
      <c r="H4136">
        <v>24903513</v>
      </c>
      <c r="I4136">
        <v>312094208</v>
      </c>
      <c r="J4136">
        <v>6204549</v>
      </c>
      <c r="K4136">
        <v>24825574</v>
      </c>
      <c r="L4136">
        <v>20834626</v>
      </c>
      <c r="M4136">
        <v>22060828</v>
      </c>
      <c r="N4136">
        <v>49836649</v>
      </c>
      <c r="O4136">
        <v>14695151</v>
      </c>
      <c r="P4136">
        <v>106</v>
      </c>
      <c r="Q4136" t="s">
        <v>8613</v>
      </c>
    </row>
    <row r="4137" spans="1:17" x14ac:dyDescent="0.3">
      <c r="A4137" t="s">
        <v>17</v>
      </c>
      <c r="B4137" t="str">
        <f>"603682"</f>
        <v>603682</v>
      </c>
      <c r="C4137" t="s">
        <v>8614</v>
      </c>
      <c r="D4137" t="s">
        <v>1463</v>
      </c>
      <c r="E4137">
        <v>67003361</v>
      </c>
      <c r="F4137">
        <v>30779120</v>
      </c>
      <c r="G4137">
        <v>69454795</v>
      </c>
      <c r="P4137">
        <v>156</v>
      </c>
      <c r="Q4137" t="s">
        <v>8615</v>
      </c>
    </row>
    <row r="4138" spans="1:17" x14ac:dyDescent="0.3">
      <c r="A4138" t="s">
        <v>17</v>
      </c>
      <c r="B4138" t="str">
        <f>"688150"</f>
        <v>688150</v>
      </c>
      <c r="C4138" t="s">
        <v>8616</v>
      </c>
      <c r="E4138">
        <v>66988989</v>
      </c>
      <c r="P4138">
        <v>4</v>
      </c>
      <c r="Q4138" t="s">
        <v>8617</v>
      </c>
    </row>
    <row r="4139" spans="1:17" x14ac:dyDescent="0.3">
      <c r="A4139" t="s">
        <v>73</v>
      </c>
      <c r="B4139" t="str">
        <f>"000029"</f>
        <v>000029</v>
      </c>
      <c r="C4139" t="s">
        <v>8618</v>
      </c>
      <c r="D4139" t="s">
        <v>27</v>
      </c>
      <c r="E4139">
        <v>66459418</v>
      </c>
      <c r="F4139">
        <v>80124135</v>
      </c>
      <c r="G4139">
        <v>67855223</v>
      </c>
      <c r="H4139">
        <v>37795313</v>
      </c>
      <c r="I4139">
        <v>119111321</v>
      </c>
      <c r="J4139">
        <v>128219044</v>
      </c>
      <c r="K4139">
        <v>88077561</v>
      </c>
      <c r="L4139">
        <v>52954063</v>
      </c>
      <c r="M4139">
        <v>18245429</v>
      </c>
      <c r="N4139">
        <v>31790385</v>
      </c>
      <c r="O4139">
        <v>17139658</v>
      </c>
      <c r="P4139">
        <v>137</v>
      </c>
      <c r="Q4139" t="s">
        <v>8619</v>
      </c>
    </row>
    <row r="4140" spans="1:17" x14ac:dyDescent="0.3">
      <c r="A4140" t="s">
        <v>17</v>
      </c>
      <c r="B4140" t="str">
        <f>"601007"</f>
        <v>601007</v>
      </c>
      <c r="C4140" t="s">
        <v>8620</v>
      </c>
      <c r="D4140" t="s">
        <v>1563</v>
      </c>
      <c r="E4140">
        <v>66276432</v>
      </c>
      <c r="F4140">
        <v>45591249</v>
      </c>
      <c r="G4140">
        <v>40506707</v>
      </c>
      <c r="H4140">
        <v>49028059</v>
      </c>
      <c r="I4140">
        <v>58016103</v>
      </c>
      <c r="J4140">
        <v>51401164</v>
      </c>
      <c r="K4140">
        <v>63219658</v>
      </c>
      <c r="L4140">
        <v>55404613</v>
      </c>
      <c r="M4140">
        <v>55121232</v>
      </c>
      <c r="N4140">
        <v>57962088</v>
      </c>
      <c r="O4140">
        <v>56673032</v>
      </c>
      <c r="P4140">
        <v>111</v>
      </c>
      <c r="Q4140" t="s">
        <v>8621</v>
      </c>
    </row>
    <row r="4141" spans="1:17" x14ac:dyDescent="0.3">
      <c r="A4141" t="s">
        <v>17</v>
      </c>
      <c r="B4141" t="str">
        <f>"688234"</f>
        <v>688234</v>
      </c>
      <c r="C4141" t="s">
        <v>8622</v>
      </c>
      <c r="D4141" t="s">
        <v>354</v>
      </c>
      <c r="E4141">
        <v>66109506</v>
      </c>
      <c r="P4141">
        <v>32</v>
      </c>
      <c r="Q4141" t="s">
        <v>8623</v>
      </c>
    </row>
    <row r="4142" spans="1:17" x14ac:dyDescent="0.3">
      <c r="A4142" t="s">
        <v>73</v>
      </c>
      <c r="B4142" t="str">
        <f>"301076"</f>
        <v>301076</v>
      </c>
      <c r="C4142" t="s">
        <v>8624</v>
      </c>
      <c r="D4142" t="s">
        <v>588</v>
      </c>
      <c r="E4142">
        <v>66031381</v>
      </c>
      <c r="P4142">
        <v>20</v>
      </c>
      <c r="Q4142" t="s">
        <v>8625</v>
      </c>
    </row>
    <row r="4143" spans="1:17" x14ac:dyDescent="0.3">
      <c r="A4143" t="s">
        <v>17</v>
      </c>
      <c r="B4143" t="str">
        <f>"688206"</f>
        <v>688206</v>
      </c>
      <c r="C4143" t="s">
        <v>8626</v>
      </c>
      <c r="D4143" t="s">
        <v>1291</v>
      </c>
      <c r="E4143">
        <v>65950864</v>
      </c>
      <c r="P4143">
        <v>26</v>
      </c>
      <c r="Q4143" t="s">
        <v>8627</v>
      </c>
    </row>
    <row r="4144" spans="1:17" x14ac:dyDescent="0.3">
      <c r="A4144" t="s">
        <v>17</v>
      </c>
      <c r="B4144" t="str">
        <f>"600280"</f>
        <v>600280</v>
      </c>
      <c r="C4144" t="s">
        <v>8628</v>
      </c>
      <c r="D4144" t="s">
        <v>638</v>
      </c>
      <c r="E4144">
        <v>65936097</v>
      </c>
      <c r="F4144">
        <v>46241539</v>
      </c>
      <c r="G4144">
        <v>29016834</v>
      </c>
      <c r="H4144">
        <v>10045180</v>
      </c>
      <c r="I4144">
        <v>11521952</v>
      </c>
      <c r="J4144">
        <v>7914718</v>
      </c>
      <c r="K4144">
        <v>16021669</v>
      </c>
      <c r="L4144">
        <v>22366221</v>
      </c>
      <c r="M4144">
        <v>14948275</v>
      </c>
      <c r="N4144">
        <v>1073074</v>
      </c>
      <c r="O4144">
        <v>1377804</v>
      </c>
      <c r="P4144">
        <v>81</v>
      </c>
      <c r="Q4144" t="s">
        <v>8629</v>
      </c>
    </row>
    <row r="4145" spans="1:17" x14ac:dyDescent="0.3">
      <c r="A4145" t="s">
        <v>73</v>
      </c>
      <c r="B4145" t="str">
        <f>"300345"</f>
        <v>300345</v>
      </c>
      <c r="C4145" t="s">
        <v>8630</v>
      </c>
      <c r="D4145" t="s">
        <v>3119</v>
      </c>
      <c r="E4145">
        <v>65923660</v>
      </c>
      <c r="F4145">
        <v>76305497</v>
      </c>
      <c r="G4145">
        <v>56263900</v>
      </c>
      <c r="H4145">
        <v>100455017</v>
      </c>
      <c r="I4145">
        <v>139479965</v>
      </c>
      <c r="J4145">
        <v>257172739</v>
      </c>
      <c r="K4145">
        <v>272092526</v>
      </c>
      <c r="L4145">
        <v>190137207</v>
      </c>
      <c r="M4145">
        <v>195378739</v>
      </c>
      <c r="N4145">
        <v>239005499</v>
      </c>
      <c r="O4145">
        <v>0</v>
      </c>
      <c r="P4145">
        <v>53</v>
      </c>
      <c r="Q4145" t="s">
        <v>8631</v>
      </c>
    </row>
    <row r="4146" spans="1:17" x14ac:dyDescent="0.3">
      <c r="A4146" t="s">
        <v>73</v>
      </c>
      <c r="B4146" t="str">
        <f>"000503"</f>
        <v>000503</v>
      </c>
      <c r="C4146" t="s">
        <v>8632</v>
      </c>
      <c r="D4146" t="s">
        <v>795</v>
      </c>
      <c r="E4146">
        <v>65776311</v>
      </c>
      <c r="F4146">
        <v>52179093</v>
      </c>
      <c r="G4146">
        <v>1269457</v>
      </c>
      <c r="H4146">
        <v>9800901</v>
      </c>
      <c r="I4146">
        <v>4448895</v>
      </c>
      <c r="J4146">
        <v>13502285</v>
      </c>
      <c r="K4146">
        <v>5544742</v>
      </c>
      <c r="L4146">
        <v>3645957</v>
      </c>
      <c r="M4146">
        <v>2399411</v>
      </c>
      <c r="N4146">
        <v>1780391</v>
      </c>
      <c r="O4146">
        <v>7158623</v>
      </c>
      <c r="P4146">
        <v>174</v>
      </c>
      <c r="Q4146" t="s">
        <v>8633</v>
      </c>
    </row>
    <row r="4147" spans="1:17" x14ac:dyDescent="0.3">
      <c r="A4147" t="s">
        <v>17</v>
      </c>
      <c r="B4147" t="str">
        <f>"603822"</f>
        <v>603822</v>
      </c>
      <c r="C4147" t="s">
        <v>8634</v>
      </c>
      <c r="D4147" t="s">
        <v>588</v>
      </c>
      <c r="E4147">
        <v>65541960</v>
      </c>
      <c r="F4147">
        <v>72805205</v>
      </c>
      <c r="G4147">
        <v>86743346</v>
      </c>
      <c r="H4147">
        <v>72858973</v>
      </c>
      <c r="I4147">
        <v>47737188</v>
      </c>
      <c r="J4147">
        <v>77498490</v>
      </c>
      <c r="K4147">
        <v>33249072</v>
      </c>
      <c r="L4147">
        <v>0</v>
      </c>
      <c r="P4147">
        <v>124</v>
      </c>
      <c r="Q4147" t="s">
        <v>8635</v>
      </c>
    </row>
    <row r="4148" spans="1:17" x14ac:dyDescent="0.3">
      <c r="A4148" t="s">
        <v>17</v>
      </c>
      <c r="B4148" t="str">
        <f>"600250"</f>
        <v>600250</v>
      </c>
      <c r="C4148" t="s">
        <v>8636</v>
      </c>
      <c r="D4148" t="s">
        <v>299</v>
      </c>
      <c r="E4148">
        <v>65407425</v>
      </c>
      <c r="F4148">
        <v>77173566</v>
      </c>
      <c r="G4148">
        <v>50091202</v>
      </c>
      <c r="H4148">
        <v>67066124</v>
      </c>
      <c r="I4148">
        <v>102074273</v>
      </c>
      <c r="J4148">
        <v>58466105</v>
      </c>
      <c r="K4148">
        <v>66238011</v>
      </c>
      <c r="L4148">
        <v>69245883</v>
      </c>
      <c r="M4148">
        <v>247031130</v>
      </c>
      <c r="N4148">
        <v>176473038</v>
      </c>
      <c r="O4148">
        <v>342575359</v>
      </c>
      <c r="P4148">
        <v>70</v>
      </c>
      <c r="Q4148" t="s">
        <v>8637</v>
      </c>
    </row>
    <row r="4149" spans="1:17" x14ac:dyDescent="0.3">
      <c r="A4149" t="s">
        <v>17</v>
      </c>
      <c r="B4149" t="str">
        <f>"688233"</f>
        <v>688233</v>
      </c>
      <c r="C4149" t="s">
        <v>8638</v>
      </c>
      <c r="D4149" t="s">
        <v>354</v>
      </c>
      <c r="E4149">
        <v>65338464</v>
      </c>
      <c r="F4149">
        <v>44024277</v>
      </c>
      <c r="G4149">
        <v>12374636</v>
      </c>
      <c r="P4149">
        <v>170</v>
      </c>
      <c r="Q4149" t="s">
        <v>8639</v>
      </c>
    </row>
    <row r="4150" spans="1:17" x14ac:dyDescent="0.3">
      <c r="A4150" t="s">
        <v>73</v>
      </c>
      <c r="B4150" t="str">
        <f>"301111"</f>
        <v>301111</v>
      </c>
      <c r="C4150" t="s">
        <v>8640</v>
      </c>
      <c r="D4150" t="s">
        <v>348</v>
      </c>
      <c r="E4150">
        <v>65332943</v>
      </c>
      <c r="P4150">
        <v>28</v>
      </c>
      <c r="Q4150" t="s">
        <v>8641</v>
      </c>
    </row>
    <row r="4151" spans="1:17" x14ac:dyDescent="0.3">
      <c r="A4151" t="s">
        <v>17</v>
      </c>
      <c r="B4151" t="str">
        <f>"600689"</f>
        <v>600689</v>
      </c>
      <c r="C4151" t="s">
        <v>8642</v>
      </c>
      <c r="D4151" t="s">
        <v>3204</v>
      </c>
      <c r="E4151">
        <v>65324754</v>
      </c>
      <c r="F4151">
        <v>30221020</v>
      </c>
      <c r="G4151">
        <v>46202623</v>
      </c>
      <c r="H4151">
        <v>63763220</v>
      </c>
      <c r="I4151">
        <v>73472672</v>
      </c>
      <c r="J4151">
        <v>54584346</v>
      </c>
      <c r="K4151">
        <v>65367527</v>
      </c>
      <c r="L4151">
        <v>54733427</v>
      </c>
      <c r="M4151">
        <v>44527754</v>
      </c>
      <c r="N4151">
        <v>152153886</v>
      </c>
      <c r="O4151">
        <v>230610729</v>
      </c>
      <c r="P4151">
        <v>74</v>
      </c>
      <c r="Q4151" t="s">
        <v>8643</v>
      </c>
    </row>
    <row r="4152" spans="1:17" x14ac:dyDescent="0.3">
      <c r="A4152" t="s">
        <v>17</v>
      </c>
      <c r="B4152" t="str">
        <f>"603958"</f>
        <v>603958</v>
      </c>
      <c r="C4152" t="s">
        <v>8644</v>
      </c>
      <c r="D4152" t="s">
        <v>2601</v>
      </c>
      <c r="E4152">
        <v>65223683</v>
      </c>
      <c r="F4152">
        <v>59211406</v>
      </c>
      <c r="G4152">
        <v>89277069</v>
      </c>
      <c r="H4152">
        <v>106259972</v>
      </c>
      <c r="I4152">
        <v>119683501</v>
      </c>
      <c r="J4152">
        <v>90938894</v>
      </c>
      <c r="K4152">
        <v>117592212</v>
      </c>
      <c r="L4152">
        <v>0</v>
      </c>
      <c r="P4152">
        <v>67</v>
      </c>
      <c r="Q4152" t="s">
        <v>8645</v>
      </c>
    </row>
    <row r="4153" spans="1:17" x14ac:dyDescent="0.3">
      <c r="A4153" t="s">
        <v>17</v>
      </c>
      <c r="B4153" t="str">
        <f>"603996"</f>
        <v>603996</v>
      </c>
      <c r="C4153" t="s">
        <v>8646</v>
      </c>
      <c r="D4153" t="s">
        <v>1937</v>
      </c>
      <c r="E4153">
        <v>64807289</v>
      </c>
      <c r="F4153">
        <v>212719185</v>
      </c>
      <c r="G4153">
        <v>497106527</v>
      </c>
      <c r="H4153">
        <v>1205713241</v>
      </c>
      <c r="I4153">
        <v>1840999591</v>
      </c>
      <c r="J4153">
        <v>1102176343</v>
      </c>
      <c r="K4153">
        <v>896703887</v>
      </c>
      <c r="L4153">
        <v>0</v>
      </c>
      <c r="M4153">
        <v>0</v>
      </c>
      <c r="P4153">
        <v>71</v>
      </c>
      <c r="Q4153" t="s">
        <v>8647</v>
      </c>
    </row>
    <row r="4154" spans="1:17" x14ac:dyDescent="0.3">
      <c r="A4154" t="s">
        <v>17</v>
      </c>
      <c r="B4154" t="str">
        <f>"688255"</f>
        <v>688255</v>
      </c>
      <c r="C4154" t="s">
        <v>8648</v>
      </c>
      <c r="D4154" t="s">
        <v>2121</v>
      </c>
      <c r="E4154">
        <v>64761648</v>
      </c>
      <c r="P4154">
        <v>19</v>
      </c>
      <c r="Q4154" t="s">
        <v>8649</v>
      </c>
    </row>
    <row r="4155" spans="1:17" x14ac:dyDescent="0.3">
      <c r="A4155" t="s">
        <v>17</v>
      </c>
      <c r="B4155" t="str">
        <f>"603099"</f>
        <v>603099</v>
      </c>
      <c r="C4155" t="s">
        <v>8650</v>
      </c>
      <c r="D4155" t="s">
        <v>8651</v>
      </c>
      <c r="E4155">
        <v>64469522</v>
      </c>
      <c r="F4155">
        <v>62796506</v>
      </c>
      <c r="G4155">
        <v>63665122</v>
      </c>
      <c r="H4155">
        <v>32352733</v>
      </c>
      <c r="I4155">
        <v>10121977</v>
      </c>
      <c r="J4155">
        <v>2692765</v>
      </c>
      <c r="K4155">
        <v>795423</v>
      </c>
      <c r="L4155">
        <v>828086</v>
      </c>
      <c r="M4155">
        <v>0</v>
      </c>
      <c r="P4155">
        <v>97</v>
      </c>
      <c r="Q4155" t="s">
        <v>8652</v>
      </c>
    </row>
    <row r="4156" spans="1:17" x14ac:dyDescent="0.3">
      <c r="A4156" t="s">
        <v>73</v>
      </c>
      <c r="B4156" t="str">
        <f>"000863"</f>
        <v>000863</v>
      </c>
      <c r="C4156" t="s">
        <v>8653</v>
      </c>
      <c r="D4156" t="s">
        <v>27</v>
      </c>
      <c r="E4156">
        <v>64399951</v>
      </c>
      <c r="F4156">
        <v>81007412</v>
      </c>
      <c r="G4156">
        <v>122567473</v>
      </c>
      <c r="H4156">
        <v>78758288</v>
      </c>
      <c r="I4156">
        <v>66165323</v>
      </c>
      <c r="J4156">
        <v>84413194</v>
      </c>
      <c r="K4156">
        <v>19300972</v>
      </c>
      <c r="L4156">
        <v>17076251</v>
      </c>
      <c r="M4156">
        <v>23106341</v>
      </c>
      <c r="N4156">
        <v>52115900</v>
      </c>
      <c r="O4156">
        <v>20164402</v>
      </c>
      <c r="P4156">
        <v>171</v>
      </c>
      <c r="Q4156" t="s">
        <v>8654</v>
      </c>
    </row>
    <row r="4157" spans="1:17" x14ac:dyDescent="0.3">
      <c r="A4157" t="s">
        <v>73</v>
      </c>
      <c r="B4157" t="str">
        <f>"002500"</f>
        <v>002500</v>
      </c>
      <c r="C4157" t="s">
        <v>8655</v>
      </c>
      <c r="D4157" t="s">
        <v>53</v>
      </c>
      <c r="E4157">
        <v>64360623</v>
      </c>
      <c r="F4157">
        <v>76715300</v>
      </c>
      <c r="G4157">
        <v>88791990</v>
      </c>
      <c r="H4157">
        <v>158328163</v>
      </c>
      <c r="I4157">
        <v>228378594</v>
      </c>
      <c r="J4157">
        <v>179352426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1129</v>
      </c>
      <c r="Q4157" t="s">
        <v>8656</v>
      </c>
    </row>
    <row r="4158" spans="1:17" x14ac:dyDescent="0.3">
      <c r="A4158" t="s">
        <v>73</v>
      </c>
      <c r="B4158" t="str">
        <f>"002473"</f>
        <v>002473</v>
      </c>
      <c r="C4158" t="s">
        <v>8657</v>
      </c>
      <c r="D4158" t="s">
        <v>1186</v>
      </c>
      <c r="E4158">
        <v>64267009</v>
      </c>
      <c r="F4158">
        <v>1613997</v>
      </c>
      <c r="G4158">
        <v>56394798</v>
      </c>
      <c r="H4158">
        <v>40057316</v>
      </c>
      <c r="I4158">
        <v>24417616</v>
      </c>
      <c r="J4158">
        <v>22964749</v>
      </c>
      <c r="K4158">
        <v>25890088</v>
      </c>
      <c r="L4158">
        <v>32625779</v>
      </c>
      <c r="M4158">
        <v>40605847</v>
      </c>
      <c r="N4158">
        <v>40581359</v>
      </c>
      <c r="O4158">
        <v>49378397</v>
      </c>
      <c r="P4158">
        <v>61</v>
      </c>
      <c r="Q4158" t="s">
        <v>8658</v>
      </c>
    </row>
    <row r="4159" spans="1:17" x14ac:dyDescent="0.3">
      <c r="A4159" t="s">
        <v>17</v>
      </c>
      <c r="B4159" t="str">
        <f>"688718"</f>
        <v>688718</v>
      </c>
      <c r="C4159" t="s">
        <v>8659</v>
      </c>
      <c r="D4159" t="s">
        <v>2271</v>
      </c>
      <c r="E4159">
        <v>63908349</v>
      </c>
      <c r="F4159">
        <v>65702543</v>
      </c>
      <c r="G4159">
        <v>46498942</v>
      </c>
      <c r="P4159">
        <v>20</v>
      </c>
      <c r="Q4159" t="s">
        <v>8660</v>
      </c>
    </row>
    <row r="4160" spans="1:17" x14ac:dyDescent="0.3">
      <c r="A4160" t="s">
        <v>73</v>
      </c>
      <c r="B4160" t="str">
        <f>"002323"</f>
        <v>002323</v>
      </c>
      <c r="C4160" t="s">
        <v>8661</v>
      </c>
      <c r="D4160" t="s">
        <v>808</v>
      </c>
      <c r="E4160">
        <v>63808060</v>
      </c>
      <c r="F4160">
        <v>988004482</v>
      </c>
      <c r="G4160">
        <v>1206565888</v>
      </c>
      <c r="H4160">
        <v>0</v>
      </c>
      <c r="I4160">
        <v>945422045</v>
      </c>
      <c r="J4160">
        <v>870516634</v>
      </c>
      <c r="K4160">
        <v>185172561</v>
      </c>
      <c r="L4160">
        <v>388851411</v>
      </c>
      <c r="M4160">
        <v>336809343</v>
      </c>
      <c r="N4160">
        <v>295663184</v>
      </c>
      <c r="O4160">
        <v>182543960</v>
      </c>
      <c r="P4160">
        <v>78</v>
      </c>
      <c r="Q4160" t="s">
        <v>8662</v>
      </c>
    </row>
    <row r="4161" spans="1:17" x14ac:dyDescent="0.3">
      <c r="A4161" t="s">
        <v>73</v>
      </c>
      <c r="B4161" t="str">
        <f>"000721"</f>
        <v>000721</v>
      </c>
      <c r="C4161" t="s">
        <v>8663</v>
      </c>
      <c r="D4161" t="s">
        <v>8664</v>
      </c>
      <c r="E4161">
        <v>63629159</v>
      </c>
      <c r="F4161">
        <v>30715066</v>
      </c>
      <c r="G4161">
        <v>27531014</v>
      </c>
      <c r="H4161">
        <v>34757342</v>
      </c>
      <c r="I4161">
        <v>25109521</v>
      </c>
      <c r="J4161">
        <v>24120435</v>
      </c>
      <c r="K4161">
        <v>19631483</v>
      </c>
      <c r="L4161">
        <v>20593843</v>
      </c>
      <c r="M4161">
        <v>20035305</v>
      </c>
      <c r="N4161">
        <v>13727579</v>
      </c>
      <c r="O4161">
        <v>10839514</v>
      </c>
      <c r="P4161">
        <v>130</v>
      </c>
      <c r="Q4161" t="s">
        <v>8665</v>
      </c>
    </row>
    <row r="4162" spans="1:17" x14ac:dyDescent="0.3">
      <c r="A4162" t="s">
        <v>73</v>
      </c>
      <c r="B4162" t="str">
        <f>"002058"</f>
        <v>002058</v>
      </c>
      <c r="C4162" t="s">
        <v>8666</v>
      </c>
      <c r="D4162" t="s">
        <v>1280</v>
      </c>
      <c r="E4162">
        <v>63626728</v>
      </c>
      <c r="F4162">
        <v>25846697</v>
      </c>
      <c r="G4162">
        <v>22769186</v>
      </c>
      <c r="H4162">
        <v>31840340</v>
      </c>
      <c r="I4162">
        <v>28881954</v>
      </c>
      <c r="J4162">
        <v>25895860</v>
      </c>
      <c r="K4162">
        <v>32369677</v>
      </c>
      <c r="L4162">
        <v>40238462</v>
      </c>
      <c r="M4162">
        <v>43645769</v>
      </c>
      <c r="N4162">
        <v>38228264</v>
      </c>
      <c r="O4162">
        <v>33140583</v>
      </c>
      <c r="P4162">
        <v>55</v>
      </c>
      <c r="Q4162" t="s">
        <v>8667</v>
      </c>
    </row>
    <row r="4163" spans="1:17" x14ac:dyDescent="0.3">
      <c r="A4163" t="s">
        <v>17</v>
      </c>
      <c r="B4163" t="str">
        <f>"688177"</f>
        <v>688177</v>
      </c>
      <c r="C4163" t="s">
        <v>8668</v>
      </c>
      <c r="D4163" t="s">
        <v>1505</v>
      </c>
      <c r="E4163">
        <v>63049149</v>
      </c>
      <c r="F4163">
        <v>53895809</v>
      </c>
      <c r="G4163">
        <v>9337419</v>
      </c>
      <c r="H4163">
        <v>0</v>
      </c>
      <c r="P4163">
        <v>98</v>
      </c>
      <c r="Q4163" t="s">
        <v>8669</v>
      </c>
    </row>
    <row r="4164" spans="1:17" x14ac:dyDescent="0.3">
      <c r="A4164" t="s">
        <v>17</v>
      </c>
      <c r="B4164" t="str">
        <f>"688017"</f>
        <v>688017</v>
      </c>
      <c r="C4164" t="s">
        <v>8670</v>
      </c>
      <c r="D4164" t="s">
        <v>2121</v>
      </c>
      <c r="E4164">
        <v>62427811</v>
      </c>
      <c r="F4164">
        <v>56071545</v>
      </c>
      <c r="P4164">
        <v>152</v>
      </c>
      <c r="Q4164" t="s">
        <v>8671</v>
      </c>
    </row>
    <row r="4165" spans="1:17" x14ac:dyDescent="0.3">
      <c r="A4165" t="s">
        <v>17</v>
      </c>
      <c r="B4165" t="str">
        <f>"688677"</f>
        <v>688677</v>
      </c>
      <c r="C4165" t="s">
        <v>8672</v>
      </c>
      <c r="D4165" t="s">
        <v>692</v>
      </c>
      <c r="E4165">
        <v>62139097</v>
      </c>
      <c r="F4165">
        <v>54385600</v>
      </c>
      <c r="G4165">
        <v>0</v>
      </c>
      <c r="I4165">
        <v>26655022</v>
      </c>
      <c r="P4165">
        <v>94</v>
      </c>
      <c r="Q4165" t="s">
        <v>8673</v>
      </c>
    </row>
    <row r="4166" spans="1:17" x14ac:dyDescent="0.3">
      <c r="A4166" t="s">
        <v>17</v>
      </c>
      <c r="B4166" t="str">
        <f>"688160"</f>
        <v>688160</v>
      </c>
      <c r="C4166" t="s">
        <v>8674</v>
      </c>
      <c r="D4166" t="s">
        <v>626</v>
      </c>
      <c r="E4166">
        <v>61955207</v>
      </c>
      <c r="F4166">
        <v>52689827</v>
      </c>
      <c r="P4166">
        <v>44</v>
      </c>
      <c r="Q4166" t="s">
        <v>8675</v>
      </c>
    </row>
    <row r="4167" spans="1:17" x14ac:dyDescent="0.3">
      <c r="A4167" t="s">
        <v>73</v>
      </c>
      <c r="B4167" t="str">
        <f>"000510"</f>
        <v>000510</v>
      </c>
      <c r="C4167" t="s">
        <v>8676</v>
      </c>
      <c r="D4167" t="s">
        <v>641</v>
      </c>
      <c r="E4167">
        <v>61885755</v>
      </c>
      <c r="F4167">
        <v>24359582</v>
      </c>
      <c r="G4167">
        <v>13332984</v>
      </c>
      <c r="H4167">
        <v>21466984</v>
      </c>
      <c r="I4167">
        <v>27693590</v>
      </c>
      <c r="J4167">
        <v>21480320</v>
      </c>
      <c r="K4167">
        <v>46629602</v>
      </c>
      <c r="L4167">
        <v>34009806</v>
      </c>
      <c r="M4167">
        <v>44391444</v>
      </c>
      <c r="N4167">
        <v>30786724</v>
      </c>
      <c r="O4167">
        <v>19230060</v>
      </c>
      <c r="P4167">
        <v>128</v>
      </c>
      <c r="Q4167" t="s">
        <v>8677</v>
      </c>
    </row>
    <row r="4168" spans="1:17" x14ac:dyDescent="0.3">
      <c r="A4168" t="s">
        <v>17</v>
      </c>
      <c r="B4168" t="str">
        <f>"600226"</f>
        <v>600226</v>
      </c>
      <c r="C4168" t="s">
        <v>8678</v>
      </c>
      <c r="D4168" t="s">
        <v>899</v>
      </c>
      <c r="E4168">
        <v>61617922</v>
      </c>
      <c r="F4168">
        <v>50781671</v>
      </c>
      <c r="G4168">
        <v>415138743</v>
      </c>
      <c r="H4168">
        <v>289439726</v>
      </c>
      <c r="I4168">
        <v>277592518</v>
      </c>
      <c r="J4168">
        <v>288584703</v>
      </c>
      <c r="K4168">
        <v>109067371</v>
      </c>
      <c r="L4168">
        <v>125185757</v>
      </c>
      <c r="M4168">
        <v>150874123</v>
      </c>
      <c r="N4168">
        <v>185717356</v>
      </c>
      <c r="O4168">
        <v>207881092</v>
      </c>
      <c r="P4168">
        <v>109</v>
      </c>
      <c r="Q4168" t="s">
        <v>8679</v>
      </c>
    </row>
    <row r="4169" spans="1:17" x14ac:dyDescent="0.3">
      <c r="A4169" t="s">
        <v>73</v>
      </c>
      <c r="B4169" t="str">
        <f>"000524"</f>
        <v>000524</v>
      </c>
      <c r="C4169" t="s">
        <v>8680</v>
      </c>
      <c r="D4169" t="s">
        <v>5692</v>
      </c>
      <c r="E4169">
        <v>61610605</v>
      </c>
      <c r="F4169">
        <v>92363094</v>
      </c>
      <c r="G4169">
        <v>139987581</v>
      </c>
      <c r="H4169">
        <v>182642250</v>
      </c>
      <c r="I4169">
        <v>134163425</v>
      </c>
      <c r="J4169">
        <v>126608240</v>
      </c>
      <c r="K4169">
        <v>15071408</v>
      </c>
      <c r="L4169">
        <v>15387393</v>
      </c>
      <c r="M4169">
        <v>9405171</v>
      </c>
      <c r="N4169">
        <v>9270594</v>
      </c>
      <c r="O4169">
        <v>9434438</v>
      </c>
      <c r="P4169">
        <v>156</v>
      </c>
      <c r="Q4169" t="s">
        <v>8681</v>
      </c>
    </row>
    <row r="4170" spans="1:17" x14ac:dyDescent="0.3">
      <c r="A4170" t="s">
        <v>73</v>
      </c>
      <c r="B4170" t="str">
        <f>"001217"</f>
        <v>001217</v>
      </c>
      <c r="C4170" t="s">
        <v>8682</v>
      </c>
      <c r="D4170" t="s">
        <v>4692</v>
      </c>
      <c r="E4170">
        <v>61585799</v>
      </c>
      <c r="P4170">
        <v>27</v>
      </c>
      <c r="Q4170" t="s">
        <v>8683</v>
      </c>
    </row>
    <row r="4171" spans="1:17" x14ac:dyDescent="0.3">
      <c r="A4171" t="s">
        <v>73</v>
      </c>
      <c r="B4171" t="str">
        <f>"001215"</f>
        <v>001215</v>
      </c>
      <c r="C4171" t="s">
        <v>8684</v>
      </c>
      <c r="D4171" t="s">
        <v>4652</v>
      </c>
      <c r="E4171">
        <v>61341545</v>
      </c>
      <c r="P4171">
        <v>59</v>
      </c>
      <c r="Q4171" t="s">
        <v>8685</v>
      </c>
    </row>
    <row r="4172" spans="1:17" x14ac:dyDescent="0.3">
      <c r="A4172" t="s">
        <v>73</v>
      </c>
      <c r="B4172" t="str">
        <f>"301059"</f>
        <v>301059</v>
      </c>
      <c r="C4172" t="s">
        <v>8686</v>
      </c>
      <c r="D4172" t="s">
        <v>588</v>
      </c>
      <c r="E4172">
        <v>61274944</v>
      </c>
      <c r="P4172">
        <v>21</v>
      </c>
      <c r="Q4172" t="s">
        <v>8687</v>
      </c>
    </row>
    <row r="4173" spans="1:17" x14ac:dyDescent="0.3">
      <c r="A4173" t="s">
        <v>73</v>
      </c>
      <c r="B4173" t="str">
        <f>"002871"</f>
        <v>002871</v>
      </c>
      <c r="C4173" t="s">
        <v>8688</v>
      </c>
      <c r="D4173" t="s">
        <v>146</v>
      </c>
      <c r="E4173">
        <v>60867947</v>
      </c>
      <c r="F4173">
        <v>49968189</v>
      </c>
      <c r="G4173">
        <v>50854403</v>
      </c>
      <c r="H4173">
        <v>69953925</v>
      </c>
      <c r="I4173">
        <v>38934722</v>
      </c>
      <c r="J4173">
        <v>39037861</v>
      </c>
      <c r="P4173">
        <v>66</v>
      </c>
      <c r="Q4173" t="s">
        <v>8689</v>
      </c>
    </row>
    <row r="4174" spans="1:17" x14ac:dyDescent="0.3">
      <c r="A4174" t="s">
        <v>73</v>
      </c>
      <c r="B4174" t="str">
        <f>"300922"</f>
        <v>300922</v>
      </c>
      <c r="C4174" t="s">
        <v>8690</v>
      </c>
      <c r="D4174" t="s">
        <v>1743</v>
      </c>
      <c r="E4174">
        <v>60793395</v>
      </c>
      <c r="F4174">
        <v>47045593</v>
      </c>
      <c r="G4174">
        <v>33030335</v>
      </c>
      <c r="H4174">
        <v>38054312</v>
      </c>
      <c r="I4174">
        <v>25002361</v>
      </c>
      <c r="P4174">
        <v>83</v>
      </c>
      <c r="Q4174" t="s">
        <v>8691</v>
      </c>
    </row>
    <row r="4175" spans="1:17" x14ac:dyDescent="0.3">
      <c r="A4175" t="s">
        <v>73</v>
      </c>
      <c r="B4175" t="str">
        <f>"300445"</f>
        <v>300445</v>
      </c>
      <c r="C4175" t="s">
        <v>8692</v>
      </c>
      <c r="D4175" t="s">
        <v>2280</v>
      </c>
      <c r="E4175">
        <v>60752379</v>
      </c>
      <c r="F4175">
        <v>77072571</v>
      </c>
      <c r="G4175">
        <v>51151607</v>
      </c>
      <c r="H4175">
        <v>53036102</v>
      </c>
      <c r="I4175">
        <v>40156169</v>
      </c>
      <c r="J4175">
        <v>39261296</v>
      </c>
      <c r="K4175">
        <v>33586719</v>
      </c>
      <c r="L4175">
        <v>36159599</v>
      </c>
      <c r="M4175">
        <v>0</v>
      </c>
      <c r="P4175">
        <v>169</v>
      </c>
      <c r="Q4175" t="s">
        <v>8693</v>
      </c>
    </row>
    <row r="4176" spans="1:17" x14ac:dyDescent="0.3">
      <c r="A4176" t="s">
        <v>73</v>
      </c>
      <c r="B4176" t="str">
        <f>"000978"</f>
        <v>000978</v>
      </c>
      <c r="C4176" t="s">
        <v>8694</v>
      </c>
      <c r="D4176" t="s">
        <v>8651</v>
      </c>
      <c r="E4176">
        <v>60546440</v>
      </c>
      <c r="F4176">
        <v>100059851</v>
      </c>
      <c r="G4176">
        <v>82609504</v>
      </c>
      <c r="H4176">
        <v>160373142</v>
      </c>
      <c r="I4176">
        <v>105852565</v>
      </c>
      <c r="J4176">
        <v>103523832</v>
      </c>
      <c r="K4176">
        <v>185939330</v>
      </c>
      <c r="L4176">
        <v>340597090</v>
      </c>
      <c r="M4176">
        <v>67111153</v>
      </c>
      <c r="N4176">
        <v>78878987</v>
      </c>
      <c r="O4176">
        <v>106748603</v>
      </c>
      <c r="P4176">
        <v>140</v>
      </c>
      <c r="Q4176" t="s">
        <v>8695</v>
      </c>
    </row>
    <row r="4177" spans="1:17" x14ac:dyDescent="0.3">
      <c r="A4177" t="s">
        <v>17</v>
      </c>
      <c r="B4177" t="str">
        <f>"603798"</f>
        <v>603798</v>
      </c>
      <c r="C4177" t="s">
        <v>8696</v>
      </c>
      <c r="D4177" t="s">
        <v>998</v>
      </c>
      <c r="E4177">
        <v>60286134</v>
      </c>
      <c r="F4177">
        <v>25500532</v>
      </c>
      <c r="G4177">
        <v>59378667</v>
      </c>
      <c r="H4177">
        <v>34893679</v>
      </c>
      <c r="I4177">
        <v>24589376</v>
      </c>
      <c r="J4177">
        <v>17814234</v>
      </c>
      <c r="K4177">
        <v>21428004</v>
      </c>
      <c r="L4177">
        <v>0</v>
      </c>
      <c r="P4177">
        <v>141</v>
      </c>
      <c r="Q4177" t="s">
        <v>8697</v>
      </c>
    </row>
    <row r="4178" spans="1:17" x14ac:dyDescent="0.3">
      <c r="A4178" t="s">
        <v>73</v>
      </c>
      <c r="B4178" t="str">
        <f>"300069"</f>
        <v>300069</v>
      </c>
      <c r="C4178" t="s">
        <v>8698</v>
      </c>
      <c r="D4178" t="s">
        <v>515</v>
      </c>
      <c r="E4178">
        <v>60276701</v>
      </c>
      <c r="F4178">
        <v>72751788</v>
      </c>
      <c r="G4178">
        <v>71533259</v>
      </c>
      <c r="H4178">
        <v>96221751</v>
      </c>
      <c r="I4178">
        <v>133691882</v>
      </c>
      <c r="J4178">
        <v>202657639</v>
      </c>
      <c r="K4178">
        <v>177555118</v>
      </c>
      <c r="L4178">
        <v>136954549</v>
      </c>
      <c r="M4178">
        <v>127979656</v>
      </c>
      <c r="N4178">
        <v>155602141</v>
      </c>
      <c r="O4178">
        <v>158286534</v>
      </c>
      <c r="P4178">
        <v>57</v>
      </c>
      <c r="Q4178" t="s">
        <v>8699</v>
      </c>
    </row>
    <row r="4179" spans="1:17" x14ac:dyDescent="0.3">
      <c r="A4179" t="s">
        <v>17</v>
      </c>
      <c r="B4179" t="str">
        <f>"688365"</f>
        <v>688365</v>
      </c>
      <c r="C4179" t="s">
        <v>8700</v>
      </c>
      <c r="D4179" t="s">
        <v>302</v>
      </c>
      <c r="E4179">
        <v>60192221</v>
      </c>
      <c r="F4179">
        <v>51953558</v>
      </c>
      <c r="G4179">
        <v>31585006</v>
      </c>
      <c r="P4179">
        <v>72</v>
      </c>
      <c r="Q4179" t="s">
        <v>8701</v>
      </c>
    </row>
    <row r="4180" spans="1:17" x14ac:dyDescent="0.3">
      <c r="A4180" t="s">
        <v>17</v>
      </c>
      <c r="B4180" t="str">
        <f>"600305"</f>
        <v>600305</v>
      </c>
      <c r="C4180" t="s">
        <v>8702</v>
      </c>
      <c r="D4180" t="s">
        <v>1851</v>
      </c>
      <c r="E4180">
        <v>60189826</v>
      </c>
      <c r="F4180">
        <v>85182000</v>
      </c>
      <c r="G4180">
        <v>102478931</v>
      </c>
      <c r="H4180">
        <v>100529560</v>
      </c>
      <c r="I4180">
        <v>80778505</v>
      </c>
      <c r="J4180">
        <v>100999439</v>
      </c>
      <c r="K4180">
        <v>88513855</v>
      </c>
      <c r="L4180">
        <v>81337980</v>
      </c>
      <c r="M4180">
        <v>66461722</v>
      </c>
      <c r="N4180">
        <v>69224494</v>
      </c>
      <c r="O4180">
        <v>74882564</v>
      </c>
      <c r="P4180">
        <v>2155</v>
      </c>
      <c r="Q4180" t="s">
        <v>8703</v>
      </c>
    </row>
    <row r="4181" spans="1:17" x14ac:dyDescent="0.3">
      <c r="A4181" t="s">
        <v>17</v>
      </c>
      <c r="B4181" t="str">
        <f>"603209"</f>
        <v>603209</v>
      </c>
      <c r="C4181" t="s">
        <v>8704</v>
      </c>
      <c r="E4181">
        <v>60155745</v>
      </c>
      <c r="P4181">
        <v>12</v>
      </c>
      <c r="Q4181" t="s">
        <v>8705</v>
      </c>
    </row>
    <row r="4182" spans="1:17" x14ac:dyDescent="0.3">
      <c r="A4182" t="s">
        <v>17</v>
      </c>
      <c r="B4182" t="str">
        <f>"600693"</f>
        <v>600693</v>
      </c>
      <c r="C4182" t="s">
        <v>8706</v>
      </c>
      <c r="D4182" t="s">
        <v>638</v>
      </c>
      <c r="E4182">
        <v>59781559</v>
      </c>
      <c r="F4182">
        <v>39718522</v>
      </c>
      <c r="G4182">
        <v>82518094</v>
      </c>
      <c r="H4182">
        <v>56890833</v>
      </c>
      <c r="I4182">
        <v>97834959</v>
      </c>
      <c r="J4182">
        <v>8156186</v>
      </c>
      <c r="K4182">
        <v>6301690</v>
      </c>
      <c r="L4182">
        <v>5030664</v>
      </c>
      <c r="M4182">
        <v>3567631</v>
      </c>
      <c r="N4182">
        <v>3695055</v>
      </c>
      <c r="O4182">
        <v>2993818</v>
      </c>
      <c r="P4182">
        <v>103</v>
      </c>
      <c r="Q4182" t="s">
        <v>8707</v>
      </c>
    </row>
    <row r="4183" spans="1:17" x14ac:dyDescent="0.3">
      <c r="A4183" t="s">
        <v>73</v>
      </c>
      <c r="B4183" t="str">
        <f>"300886"</f>
        <v>300886</v>
      </c>
      <c r="C4183" t="s">
        <v>8708</v>
      </c>
      <c r="D4183" t="s">
        <v>2859</v>
      </c>
      <c r="E4183">
        <v>58957114</v>
      </c>
      <c r="F4183">
        <v>62466454</v>
      </c>
      <c r="P4183">
        <v>49</v>
      </c>
      <c r="Q4183" t="s">
        <v>8709</v>
      </c>
    </row>
    <row r="4184" spans="1:17" x14ac:dyDescent="0.3">
      <c r="A4184" t="s">
        <v>73</v>
      </c>
      <c r="B4184" t="str">
        <f>"000888"</f>
        <v>000888</v>
      </c>
      <c r="C4184" t="s">
        <v>8710</v>
      </c>
      <c r="D4184" t="s">
        <v>8651</v>
      </c>
      <c r="E4184">
        <v>58936551</v>
      </c>
      <c r="F4184">
        <v>42251946</v>
      </c>
      <c r="G4184">
        <v>53000278</v>
      </c>
      <c r="H4184">
        <v>21769441</v>
      </c>
      <c r="I4184">
        <v>23820064</v>
      </c>
      <c r="J4184">
        <v>25923460</v>
      </c>
      <c r="K4184">
        <v>27949167</v>
      </c>
      <c r="L4184">
        <v>17296942</v>
      </c>
      <c r="M4184">
        <v>8542519</v>
      </c>
      <c r="N4184">
        <v>4313929</v>
      </c>
      <c r="O4184">
        <v>26215019</v>
      </c>
      <c r="P4184">
        <v>218</v>
      </c>
      <c r="Q4184" t="s">
        <v>8711</v>
      </c>
    </row>
    <row r="4185" spans="1:17" x14ac:dyDescent="0.3">
      <c r="A4185" t="s">
        <v>17</v>
      </c>
      <c r="B4185" t="str">
        <f>"600734"</f>
        <v>600734</v>
      </c>
      <c r="C4185" t="s">
        <v>8712</v>
      </c>
      <c r="D4185" t="s">
        <v>332</v>
      </c>
      <c r="E4185">
        <v>58620304</v>
      </c>
      <c r="F4185">
        <v>445120531</v>
      </c>
      <c r="G4185">
        <v>418226761</v>
      </c>
      <c r="H4185">
        <v>3129311316</v>
      </c>
      <c r="I4185">
        <v>3539054566</v>
      </c>
      <c r="J4185">
        <v>1870404498</v>
      </c>
      <c r="K4185">
        <v>0</v>
      </c>
      <c r="L4185">
        <v>1987606</v>
      </c>
      <c r="M4185">
        <v>2819659</v>
      </c>
      <c r="N4185">
        <v>1760528</v>
      </c>
      <c r="O4185">
        <v>379512</v>
      </c>
      <c r="P4185">
        <v>175</v>
      </c>
      <c r="Q4185" t="s">
        <v>8713</v>
      </c>
    </row>
    <row r="4186" spans="1:17" x14ac:dyDescent="0.3">
      <c r="A4186" t="s">
        <v>17</v>
      </c>
      <c r="B4186" t="str">
        <f>"603258"</f>
        <v>603258</v>
      </c>
      <c r="C4186" t="s">
        <v>8714</v>
      </c>
      <c r="D4186" t="s">
        <v>899</v>
      </c>
      <c r="E4186">
        <v>58600632</v>
      </c>
      <c r="F4186">
        <v>116056419</v>
      </c>
      <c r="G4186">
        <v>122058874</v>
      </c>
      <c r="H4186">
        <v>56768874</v>
      </c>
      <c r="I4186">
        <v>7689343</v>
      </c>
      <c r="J4186">
        <v>1777657</v>
      </c>
      <c r="P4186">
        <v>770</v>
      </c>
      <c r="Q4186" t="s">
        <v>8715</v>
      </c>
    </row>
    <row r="4187" spans="1:17" x14ac:dyDescent="0.3">
      <c r="A4187" t="s">
        <v>73</v>
      </c>
      <c r="B4187" t="str">
        <f>"002370"</f>
        <v>002370</v>
      </c>
      <c r="C4187" t="s">
        <v>8716</v>
      </c>
      <c r="D4187" t="s">
        <v>348</v>
      </c>
      <c r="E4187">
        <v>58600567</v>
      </c>
      <c r="F4187">
        <v>99385114</v>
      </c>
      <c r="G4187">
        <v>94874403</v>
      </c>
      <c r="H4187">
        <v>507842318</v>
      </c>
      <c r="I4187">
        <v>336158057</v>
      </c>
      <c r="J4187">
        <v>258320369</v>
      </c>
      <c r="K4187">
        <v>211524162</v>
      </c>
      <c r="L4187">
        <v>103295245</v>
      </c>
      <c r="M4187">
        <v>81867674</v>
      </c>
      <c r="N4187">
        <v>94706827</v>
      </c>
      <c r="O4187">
        <v>101053761</v>
      </c>
      <c r="P4187">
        <v>201</v>
      </c>
      <c r="Q4187" t="s">
        <v>8717</v>
      </c>
    </row>
    <row r="4188" spans="1:17" x14ac:dyDescent="0.3">
      <c r="A4188" t="s">
        <v>73</v>
      </c>
      <c r="B4188" t="str">
        <f>"002234"</f>
        <v>002234</v>
      </c>
      <c r="C4188" t="s">
        <v>8718</v>
      </c>
      <c r="D4188" t="s">
        <v>3664</v>
      </c>
      <c r="E4188">
        <v>58267793</v>
      </c>
      <c r="F4188">
        <v>29864076</v>
      </c>
      <c r="G4188">
        <v>40955337</v>
      </c>
      <c r="H4188">
        <v>34211904</v>
      </c>
      <c r="I4188">
        <v>36710723</v>
      </c>
      <c r="J4188">
        <v>35506276</v>
      </c>
      <c r="K4188">
        <v>39237848</v>
      </c>
      <c r="L4188">
        <v>37881270</v>
      </c>
      <c r="M4188">
        <v>29226699</v>
      </c>
      <c r="N4188">
        <v>38171536</v>
      </c>
      <c r="O4188">
        <v>45666088</v>
      </c>
      <c r="P4188">
        <v>577</v>
      </c>
      <c r="Q4188" t="s">
        <v>8719</v>
      </c>
    </row>
    <row r="4189" spans="1:17" x14ac:dyDescent="0.3">
      <c r="A4189" t="s">
        <v>17</v>
      </c>
      <c r="B4189" t="str">
        <f>"600636"</f>
        <v>600636</v>
      </c>
      <c r="C4189" t="s">
        <v>8720</v>
      </c>
      <c r="D4189" t="s">
        <v>4229</v>
      </c>
      <c r="E4189">
        <v>57864123</v>
      </c>
      <c r="F4189">
        <v>37520074</v>
      </c>
      <c r="G4189">
        <v>90720794</v>
      </c>
      <c r="H4189">
        <v>234356111</v>
      </c>
      <c r="I4189">
        <v>200138290</v>
      </c>
      <c r="J4189">
        <v>572306831</v>
      </c>
      <c r="K4189">
        <v>600566801</v>
      </c>
      <c r="L4189">
        <v>427255068</v>
      </c>
      <c r="M4189">
        <v>320657100</v>
      </c>
      <c r="N4189">
        <v>330826776</v>
      </c>
      <c r="O4189">
        <v>370543919</v>
      </c>
      <c r="P4189">
        <v>136</v>
      </c>
      <c r="Q4189" t="s">
        <v>8721</v>
      </c>
    </row>
    <row r="4190" spans="1:17" x14ac:dyDescent="0.3">
      <c r="A4190" t="s">
        <v>73</v>
      </c>
      <c r="B4190" t="str">
        <f>"301073"</f>
        <v>301073</v>
      </c>
      <c r="C4190" t="s">
        <v>8722</v>
      </c>
      <c r="D4190" t="s">
        <v>1563</v>
      </c>
      <c r="E4190">
        <v>57799331</v>
      </c>
      <c r="P4190">
        <v>22</v>
      </c>
      <c r="Q4190" t="s">
        <v>8723</v>
      </c>
    </row>
    <row r="4191" spans="1:17" x14ac:dyDescent="0.3">
      <c r="A4191" t="s">
        <v>17</v>
      </c>
      <c r="B4191" t="str">
        <f>"688028"</f>
        <v>688028</v>
      </c>
      <c r="C4191" t="s">
        <v>8724</v>
      </c>
      <c r="D4191" t="s">
        <v>3119</v>
      </c>
      <c r="E4191">
        <v>57248040</v>
      </c>
      <c r="F4191">
        <v>46120579</v>
      </c>
      <c r="G4191">
        <v>46629713</v>
      </c>
      <c r="H4191">
        <v>52690078</v>
      </c>
      <c r="P4191">
        <v>76</v>
      </c>
      <c r="Q4191" t="s">
        <v>8725</v>
      </c>
    </row>
    <row r="4192" spans="1:17" x14ac:dyDescent="0.3">
      <c r="A4192" t="s">
        <v>73</v>
      </c>
      <c r="B4192" t="str">
        <f>"200017"</f>
        <v>200017</v>
      </c>
      <c r="C4192" t="s">
        <v>8726</v>
      </c>
      <c r="E4192">
        <v>57063474.523999996</v>
      </c>
      <c r="F4192">
        <v>56039026.659999996</v>
      </c>
      <c r="G4192">
        <v>44991932.334600002</v>
      </c>
      <c r="H4192">
        <v>40928561.274599999</v>
      </c>
      <c r="I4192">
        <v>40711488.083999999</v>
      </c>
      <c r="J4192">
        <v>16130295.090399999</v>
      </c>
      <c r="K4192">
        <v>11162570.898800001</v>
      </c>
      <c r="L4192">
        <v>4973210</v>
      </c>
      <c r="M4192">
        <v>4820872.6244000001</v>
      </c>
      <c r="N4192">
        <v>2126753.415</v>
      </c>
      <c r="O4192">
        <v>2159134.659</v>
      </c>
      <c r="P4192">
        <v>3</v>
      </c>
      <c r="Q4192" t="s">
        <v>8727</v>
      </c>
    </row>
    <row r="4193" spans="1:17" x14ac:dyDescent="0.3">
      <c r="A4193" t="s">
        <v>17</v>
      </c>
      <c r="B4193" t="str">
        <f>"603101"</f>
        <v>603101</v>
      </c>
      <c r="C4193" t="s">
        <v>8728</v>
      </c>
      <c r="D4193" t="s">
        <v>638</v>
      </c>
      <c r="E4193">
        <v>56659026</v>
      </c>
      <c r="F4193">
        <v>47895051</v>
      </c>
      <c r="G4193">
        <v>77306439</v>
      </c>
      <c r="H4193">
        <v>183375254</v>
      </c>
      <c r="I4193">
        <v>32793299</v>
      </c>
      <c r="J4193">
        <v>46959392</v>
      </c>
      <c r="K4193">
        <v>36868275</v>
      </c>
      <c r="L4193">
        <v>0</v>
      </c>
      <c r="P4193">
        <v>69</v>
      </c>
      <c r="Q4193" t="s">
        <v>8729</v>
      </c>
    </row>
    <row r="4194" spans="1:17" x14ac:dyDescent="0.3">
      <c r="A4194" t="s">
        <v>17</v>
      </c>
      <c r="B4194" t="str">
        <f>"688337"</f>
        <v>688337</v>
      </c>
      <c r="C4194" t="s">
        <v>8730</v>
      </c>
      <c r="E4194">
        <v>56323547</v>
      </c>
      <c r="P4194">
        <v>3</v>
      </c>
      <c r="Q4194" t="s">
        <v>8731</v>
      </c>
    </row>
    <row r="4195" spans="1:17" x14ac:dyDescent="0.3">
      <c r="A4195" t="s">
        <v>73</v>
      </c>
      <c r="B4195" t="str">
        <f>"002833"</f>
        <v>002833</v>
      </c>
      <c r="C4195" t="s">
        <v>8732</v>
      </c>
      <c r="D4195" t="s">
        <v>1451</v>
      </c>
      <c r="E4195">
        <v>56254165</v>
      </c>
      <c r="F4195">
        <v>51383835</v>
      </c>
      <c r="G4195">
        <v>62341409</v>
      </c>
      <c r="H4195">
        <v>43994627</v>
      </c>
      <c r="I4195">
        <v>38959407</v>
      </c>
      <c r="J4195">
        <v>28477550</v>
      </c>
      <c r="P4195">
        <v>2869</v>
      </c>
      <c r="Q4195" t="s">
        <v>8733</v>
      </c>
    </row>
    <row r="4196" spans="1:17" x14ac:dyDescent="0.3">
      <c r="A4196" t="s">
        <v>73</v>
      </c>
      <c r="B4196" t="str">
        <f>"300985"</f>
        <v>300985</v>
      </c>
      <c r="C4196" t="s">
        <v>8734</v>
      </c>
      <c r="D4196" t="s">
        <v>146</v>
      </c>
      <c r="E4196">
        <v>56252754</v>
      </c>
      <c r="F4196">
        <v>230103365</v>
      </c>
      <c r="G4196">
        <v>219237451</v>
      </c>
      <c r="P4196">
        <v>32</v>
      </c>
      <c r="Q4196" t="s">
        <v>8735</v>
      </c>
    </row>
    <row r="4197" spans="1:17" x14ac:dyDescent="0.3">
      <c r="A4197" t="s">
        <v>17</v>
      </c>
      <c r="B4197" t="str">
        <f>"605296"</f>
        <v>605296</v>
      </c>
      <c r="C4197" t="s">
        <v>8736</v>
      </c>
      <c r="D4197" t="s">
        <v>1626</v>
      </c>
      <c r="E4197">
        <v>56168071</v>
      </c>
      <c r="F4197">
        <v>53392125</v>
      </c>
      <c r="P4197">
        <v>59</v>
      </c>
      <c r="Q4197" t="s">
        <v>8737</v>
      </c>
    </row>
    <row r="4198" spans="1:17" x14ac:dyDescent="0.3">
      <c r="A4198" t="s">
        <v>17</v>
      </c>
      <c r="B4198" t="str">
        <f>"600826"</f>
        <v>600826</v>
      </c>
      <c r="C4198" t="s">
        <v>8738</v>
      </c>
      <c r="D4198" t="s">
        <v>3335</v>
      </c>
      <c r="E4198">
        <v>56052492</v>
      </c>
      <c r="F4198">
        <v>47458350</v>
      </c>
      <c r="G4198">
        <v>109493449</v>
      </c>
      <c r="H4198">
        <v>121955891</v>
      </c>
      <c r="I4198">
        <v>132356422</v>
      </c>
      <c r="J4198">
        <v>165008310</v>
      </c>
      <c r="K4198">
        <v>131591112</v>
      </c>
      <c r="L4198">
        <v>140024863</v>
      </c>
      <c r="M4198">
        <v>43499318</v>
      </c>
      <c r="N4198">
        <v>10303523</v>
      </c>
      <c r="O4198">
        <v>41121601</v>
      </c>
      <c r="P4198">
        <v>145</v>
      </c>
      <c r="Q4198" t="s">
        <v>8739</v>
      </c>
    </row>
    <row r="4199" spans="1:17" x14ac:dyDescent="0.3">
      <c r="A4199" t="s">
        <v>73</v>
      </c>
      <c r="B4199" t="str">
        <f>"301065"</f>
        <v>301065</v>
      </c>
      <c r="C4199" t="s">
        <v>8740</v>
      </c>
      <c r="D4199" t="s">
        <v>588</v>
      </c>
      <c r="E4199">
        <v>55674982</v>
      </c>
      <c r="P4199">
        <v>12</v>
      </c>
      <c r="Q4199" t="s">
        <v>8741</v>
      </c>
    </row>
    <row r="4200" spans="1:17" x14ac:dyDescent="0.3">
      <c r="A4200" t="s">
        <v>17</v>
      </c>
      <c r="B4200" t="str">
        <f>"600246"</f>
        <v>600246</v>
      </c>
      <c r="C4200" t="s">
        <v>8742</v>
      </c>
      <c r="D4200" t="s">
        <v>27</v>
      </c>
      <c r="E4200">
        <v>55622497</v>
      </c>
      <c r="F4200">
        <v>46271143</v>
      </c>
      <c r="G4200">
        <v>41275435</v>
      </c>
      <c r="H4200">
        <v>26255811</v>
      </c>
      <c r="I4200">
        <v>14736815</v>
      </c>
      <c r="J4200">
        <v>9998739</v>
      </c>
      <c r="K4200">
        <v>57892749</v>
      </c>
      <c r="L4200">
        <v>51918693</v>
      </c>
      <c r="M4200">
        <v>37522543</v>
      </c>
      <c r="N4200">
        <v>5226822</v>
      </c>
      <c r="O4200">
        <v>3521462</v>
      </c>
      <c r="P4200">
        <v>122</v>
      </c>
      <c r="Q4200" t="s">
        <v>8743</v>
      </c>
    </row>
    <row r="4201" spans="1:17" x14ac:dyDescent="0.3">
      <c r="A4201" t="s">
        <v>17</v>
      </c>
      <c r="B4201" t="str">
        <f>"600421"</f>
        <v>600421</v>
      </c>
      <c r="C4201" t="s">
        <v>8744</v>
      </c>
      <c r="D4201" t="s">
        <v>146</v>
      </c>
      <c r="E4201">
        <v>55563028</v>
      </c>
      <c r="F4201">
        <v>44443280</v>
      </c>
      <c r="G4201">
        <v>29183762</v>
      </c>
      <c r="H4201">
        <v>762408</v>
      </c>
      <c r="I4201">
        <v>5490769</v>
      </c>
      <c r="J4201">
        <v>7683121</v>
      </c>
      <c r="K4201">
        <v>6212198</v>
      </c>
      <c r="L4201">
        <v>8681116</v>
      </c>
      <c r="M4201">
        <v>8264569</v>
      </c>
      <c r="N4201">
        <v>0</v>
      </c>
      <c r="O4201">
        <v>687826</v>
      </c>
      <c r="P4201">
        <v>44</v>
      </c>
      <c r="Q4201" t="s">
        <v>8745</v>
      </c>
    </row>
    <row r="4202" spans="1:17" x14ac:dyDescent="0.3">
      <c r="A4202" t="s">
        <v>17</v>
      </c>
      <c r="B4202" t="str">
        <f>"600470"</f>
        <v>600470</v>
      </c>
      <c r="C4202" t="s">
        <v>8746</v>
      </c>
      <c r="D4202" t="s">
        <v>1137</v>
      </c>
      <c r="E4202">
        <v>55438172</v>
      </c>
      <c r="F4202">
        <v>39972469</v>
      </c>
      <c r="G4202">
        <v>29177791</v>
      </c>
      <c r="H4202">
        <v>102751143</v>
      </c>
      <c r="I4202">
        <v>104002269</v>
      </c>
      <c r="J4202">
        <v>105746506</v>
      </c>
      <c r="K4202">
        <v>169973388</v>
      </c>
      <c r="L4202">
        <v>127988707</v>
      </c>
      <c r="M4202">
        <v>169545688</v>
      </c>
      <c r="N4202">
        <v>175133759</v>
      </c>
      <c r="O4202">
        <v>87804473</v>
      </c>
      <c r="P4202">
        <v>91</v>
      </c>
      <c r="Q4202" t="s">
        <v>8747</v>
      </c>
    </row>
    <row r="4203" spans="1:17" x14ac:dyDescent="0.3">
      <c r="A4203" t="s">
        <v>17</v>
      </c>
      <c r="B4203" t="str">
        <f>"603383"</f>
        <v>603383</v>
      </c>
      <c r="C4203" t="s">
        <v>8748</v>
      </c>
      <c r="D4203" t="s">
        <v>795</v>
      </c>
      <c r="E4203">
        <v>55433397</v>
      </c>
      <c r="F4203">
        <v>32709566</v>
      </c>
      <c r="G4203">
        <v>31631590</v>
      </c>
      <c r="H4203">
        <v>35655558</v>
      </c>
      <c r="I4203">
        <v>19793086</v>
      </c>
      <c r="J4203">
        <v>0</v>
      </c>
      <c r="P4203">
        <v>190</v>
      </c>
      <c r="Q4203" t="s">
        <v>8749</v>
      </c>
    </row>
    <row r="4204" spans="1:17" x14ac:dyDescent="0.3">
      <c r="A4204" t="s">
        <v>17</v>
      </c>
      <c r="B4204" t="str">
        <f>"688357"</f>
        <v>688357</v>
      </c>
      <c r="C4204" t="s">
        <v>8750</v>
      </c>
      <c r="D4204" t="s">
        <v>1674</v>
      </c>
      <c r="E4204">
        <v>55431909</v>
      </c>
      <c r="F4204">
        <v>37277379</v>
      </c>
      <c r="G4204">
        <v>38814637</v>
      </c>
      <c r="H4204">
        <v>0</v>
      </c>
      <c r="P4204">
        <v>157</v>
      </c>
      <c r="Q4204" t="s">
        <v>8751</v>
      </c>
    </row>
    <row r="4205" spans="1:17" x14ac:dyDescent="0.3">
      <c r="A4205" t="s">
        <v>73</v>
      </c>
      <c r="B4205" t="str">
        <f>"300987"</f>
        <v>300987</v>
      </c>
      <c r="C4205" t="s">
        <v>8752</v>
      </c>
      <c r="D4205" t="s">
        <v>4641</v>
      </c>
      <c r="E4205">
        <v>55205371</v>
      </c>
      <c r="F4205">
        <v>53947840</v>
      </c>
      <c r="P4205">
        <v>24</v>
      </c>
      <c r="Q4205" t="s">
        <v>8753</v>
      </c>
    </row>
    <row r="4206" spans="1:17" x14ac:dyDescent="0.3">
      <c r="A4206" t="s">
        <v>17</v>
      </c>
      <c r="B4206" t="str">
        <f>"688095"</f>
        <v>688095</v>
      </c>
      <c r="C4206" t="s">
        <v>8754</v>
      </c>
      <c r="D4206" t="s">
        <v>404</v>
      </c>
      <c r="E4206">
        <v>55103045</v>
      </c>
      <c r="F4206">
        <v>53511562</v>
      </c>
      <c r="G4206">
        <v>0</v>
      </c>
      <c r="P4206">
        <v>141</v>
      </c>
      <c r="Q4206" t="s">
        <v>8755</v>
      </c>
    </row>
    <row r="4207" spans="1:17" x14ac:dyDescent="0.3">
      <c r="A4207" t="s">
        <v>17</v>
      </c>
      <c r="B4207" t="str">
        <f>"603755"</f>
        <v>603755</v>
      </c>
      <c r="C4207" t="s">
        <v>8756</v>
      </c>
      <c r="D4207" t="s">
        <v>1851</v>
      </c>
      <c r="E4207">
        <v>55074180</v>
      </c>
      <c r="F4207">
        <v>50915253</v>
      </c>
      <c r="G4207">
        <v>54422856</v>
      </c>
      <c r="P4207">
        <v>370</v>
      </c>
      <c r="Q4207" t="s">
        <v>8757</v>
      </c>
    </row>
    <row r="4208" spans="1:17" x14ac:dyDescent="0.3">
      <c r="A4208" t="s">
        <v>17</v>
      </c>
      <c r="B4208" t="str">
        <f>"601005"</f>
        <v>601005</v>
      </c>
      <c r="C4208" t="s">
        <v>8758</v>
      </c>
      <c r="D4208" t="s">
        <v>221</v>
      </c>
      <c r="E4208">
        <v>55062000</v>
      </c>
      <c r="F4208">
        <v>115264000</v>
      </c>
      <c r="G4208">
        <v>6892000</v>
      </c>
      <c r="H4208">
        <v>53802000</v>
      </c>
      <c r="I4208">
        <v>118372000</v>
      </c>
      <c r="J4208">
        <v>618335000</v>
      </c>
      <c r="K4208">
        <v>549072000</v>
      </c>
      <c r="L4208">
        <v>635437000</v>
      </c>
      <c r="M4208">
        <v>492536000</v>
      </c>
      <c r="N4208">
        <v>884549000</v>
      </c>
      <c r="O4208">
        <v>1131502000</v>
      </c>
      <c r="P4208">
        <v>249</v>
      </c>
      <c r="Q4208" t="s">
        <v>8759</v>
      </c>
    </row>
    <row r="4209" spans="1:17" x14ac:dyDescent="0.3">
      <c r="A4209" t="s">
        <v>73</v>
      </c>
      <c r="B4209" t="str">
        <f>"300111"</f>
        <v>300111</v>
      </c>
      <c r="C4209" t="s">
        <v>8760</v>
      </c>
      <c r="D4209" t="s">
        <v>305</v>
      </c>
      <c r="E4209">
        <v>54933060</v>
      </c>
      <c r="F4209">
        <v>43194809</v>
      </c>
      <c r="G4209">
        <v>83685415</v>
      </c>
      <c r="H4209">
        <v>201171665</v>
      </c>
      <c r="I4209">
        <v>302005103</v>
      </c>
      <c r="J4209">
        <v>456037547</v>
      </c>
      <c r="K4209">
        <v>721023299</v>
      </c>
      <c r="L4209">
        <v>503302705</v>
      </c>
      <c r="M4209">
        <v>213585726</v>
      </c>
      <c r="N4209">
        <v>238821072</v>
      </c>
      <c r="O4209">
        <v>447476064</v>
      </c>
      <c r="P4209">
        <v>124</v>
      </c>
      <c r="Q4209" t="s">
        <v>8761</v>
      </c>
    </row>
    <row r="4210" spans="1:17" x14ac:dyDescent="0.3">
      <c r="A4210" t="s">
        <v>17</v>
      </c>
      <c r="B4210" t="str">
        <f>"600615"</f>
        <v>600615</v>
      </c>
      <c r="C4210" t="s">
        <v>8762</v>
      </c>
      <c r="D4210" t="s">
        <v>1240</v>
      </c>
      <c r="E4210">
        <v>54899501</v>
      </c>
      <c r="F4210">
        <v>26286797</v>
      </c>
      <c r="G4210">
        <v>18426755</v>
      </c>
      <c r="H4210">
        <v>12248469</v>
      </c>
      <c r="I4210">
        <v>26219667</v>
      </c>
      <c r="J4210">
        <v>36065546</v>
      </c>
      <c r="K4210">
        <v>34941712</v>
      </c>
      <c r="L4210">
        <v>24546118</v>
      </c>
      <c r="M4210">
        <v>14123849</v>
      </c>
      <c r="N4210">
        <v>0</v>
      </c>
      <c r="O4210">
        <v>3317169</v>
      </c>
      <c r="P4210">
        <v>66</v>
      </c>
      <c r="Q4210" t="s">
        <v>8763</v>
      </c>
    </row>
    <row r="4211" spans="1:17" x14ac:dyDescent="0.3">
      <c r="A4211" t="s">
        <v>73</v>
      </c>
      <c r="B4211" t="str">
        <f>"300189"</f>
        <v>300189</v>
      </c>
      <c r="C4211" t="s">
        <v>8764</v>
      </c>
      <c r="D4211" t="s">
        <v>3172</v>
      </c>
      <c r="E4211">
        <v>54775077</v>
      </c>
      <c r="F4211">
        <v>52479255</v>
      </c>
      <c r="G4211">
        <v>53237176</v>
      </c>
      <c r="H4211">
        <v>151798879</v>
      </c>
      <c r="I4211">
        <v>308971117</v>
      </c>
      <c r="J4211">
        <v>188613967</v>
      </c>
      <c r="K4211">
        <v>128350544</v>
      </c>
      <c r="L4211">
        <v>112836489</v>
      </c>
      <c r="M4211">
        <v>124898305</v>
      </c>
      <c r="N4211">
        <v>102164876</v>
      </c>
      <c r="O4211">
        <v>61369305</v>
      </c>
      <c r="P4211">
        <v>111</v>
      </c>
      <c r="Q4211" t="s">
        <v>8765</v>
      </c>
    </row>
    <row r="4212" spans="1:17" x14ac:dyDescent="0.3">
      <c r="A4212" t="s">
        <v>73</v>
      </c>
      <c r="B4212" t="str">
        <f>"301080"</f>
        <v>301080</v>
      </c>
      <c r="C4212" t="s">
        <v>8766</v>
      </c>
      <c r="D4212" t="s">
        <v>459</v>
      </c>
      <c r="E4212">
        <v>54705870</v>
      </c>
      <c r="P4212">
        <v>52</v>
      </c>
      <c r="Q4212" t="s">
        <v>8767</v>
      </c>
    </row>
    <row r="4213" spans="1:17" x14ac:dyDescent="0.3">
      <c r="A4213" t="s">
        <v>73</v>
      </c>
      <c r="B4213" t="str">
        <f>"002507"</f>
        <v>002507</v>
      </c>
      <c r="C4213" t="s">
        <v>8768</v>
      </c>
      <c r="D4213" t="s">
        <v>1851</v>
      </c>
      <c r="E4213">
        <v>54534492</v>
      </c>
      <c r="F4213">
        <v>52341057</v>
      </c>
      <c r="G4213">
        <v>31126616</v>
      </c>
      <c r="H4213">
        <v>42047106</v>
      </c>
      <c r="I4213">
        <v>30380262</v>
      </c>
      <c r="J4213">
        <v>16830129</v>
      </c>
      <c r="K4213">
        <v>12215855</v>
      </c>
      <c r="L4213">
        <v>7364010</v>
      </c>
      <c r="M4213">
        <v>7230407</v>
      </c>
      <c r="N4213">
        <v>3517770</v>
      </c>
      <c r="O4213">
        <v>15610308</v>
      </c>
      <c r="P4213">
        <v>4502</v>
      </c>
      <c r="Q4213" t="s">
        <v>8769</v>
      </c>
    </row>
    <row r="4214" spans="1:17" x14ac:dyDescent="0.3">
      <c r="A4214" t="s">
        <v>73</v>
      </c>
      <c r="B4214" t="str">
        <f>"000509"</f>
        <v>000509</v>
      </c>
      <c r="C4214" t="s">
        <v>8770</v>
      </c>
      <c r="D4214" t="s">
        <v>1255</v>
      </c>
      <c r="E4214">
        <v>54348279</v>
      </c>
      <c r="F4214">
        <v>8572628</v>
      </c>
      <c r="G4214">
        <v>5534200</v>
      </c>
      <c r="H4214">
        <v>48585869</v>
      </c>
      <c r="I4214">
        <v>15480810</v>
      </c>
      <c r="J4214">
        <v>10055759</v>
      </c>
      <c r="K4214">
        <v>42080211</v>
      </c>
      <c r="L4214">
        <v>71641564</v>
      </c>
      <c r="M4214">
        <v>50472582</v>
      </c>
      <c r="N4214">
        <v>58437823</v>
      </c>
      <c r="O4214">
        <v>61742830</v>
      </c>
      <c r="P4214">
        <v>84</v>
      </c>
      <c r="Q4214" t="s">
        <v>8771</v>
      </c>
    </row>
    <row r="4215" spans="1:17" x14ac:dyDescent="0.3">
      <c r="A4215" t="s">
        <v>17</v>
      </c>
      <c r="B4215" t="str">
        <f>"600641"</f>
        <v>600641</v>
      </c>
      <c r="C4215" t="s">
        <v>8772</v>
      </c>
      <c r="D4215" t="s">
        <v>27</v>
      </c>
      <c r="E4215">
        <v>54240376</v>
      </c>
      <c r="F4215">
        <v>39631799</v>
      </c>
      <c r="G4215">
        <v>77055801</v>
      </c>
      <c r="H4215">
        <v>70367630</v>
      </c>
      <c r="I4215">
        <v>2504535</v>
      </c>
      <c r="J4215">
        <v>748574</v>
      </c>
      <c r="K4215">
        <v>3422306</v>
      </c>
      <c r="L4215">
        <v>3484309</v>
      </c>
      <c r="M4215">
        <v>1758683</v>
      </c>
      <c r="N4215">
        <v>904764</v>
      </c>
      <c r="O4215">
        <v>726717</v>
      </c>
      <c r="P4215">
        <v>404</v>
      </c>
      <c r="Q4215" t="s">
        <v>8773</v>
      </c>
    </row>
    <row r="4216" spans="1:17" x14ac:dyDescent="0.3">
      <c r="A4216" t="s">
        <v>73</v>
      </c>
      <c r="B4216" t="str">
        <f>"000048"</f>
        <v>000048</v>
      </c>
      <c r="C4216" t="s">
        <v>8774</v>
      </c>
      <c r="D4216" t="s">
        <v>27</v>
      </c>
      <c r="E4216">
        <v>54057714</v>
      </c>
      <c r="F4216">
        <v>46772905</v>
      </c>
      <c r="G4216">
        <v>61407801</v>
      </c>
      <c r="H4216">
        <v>65439233</v>
      </c>
      <c r="I4216">
        <v>243907075</v>
      </c>
      <c r="J4216">
        <v>50014038</v>
      </c>
      <c r="K4216">
        <v>51280570</v>
      </c>
      <c r="L4216">
        <v>51249796</v>
      </c>
      <c r="M4216">
        <v>33400330</v>
      </c>
      <c r="N4216">
        <v>20747749</v>
      </c>
      <c r="O4216">
        <v>18842486</v>
      </c>
      <c r="P4216">
        <v>588</v>
      </c>
      <c r="Q4216" t="s">
        <v>8775</v>
      </c>
    </row>
    <row r="4217" spans="1:17" x14ac:dyDescent="0.3">
      <c r="A4217" t="s">
        <v>17</v>
      </c>
      <c r="B4217" t="str">
        <f>"603040"</f>
        <v>603040</v>
      </c>
      <c r="C4217" t="s">
        <v>8776</v>
      </c>
      <c r="D4217" t="s">
        <v>122</v>
      </c>
      <c r="E4217">
        <v>54047893</v>
      </c>
      <c r="F4217">
        <v>65691811</v>
      </c>
      <c r="G4217">
        <v>39063781</v>
      </c>
      <c r="H4217">
        <v>30738310</v>
      </c>
      <c r="I4217">
        <v>45328079</v>
      </c>
      <c r="J4217">
        <v>27266326</v>
      </c>
      <c r="P4217">
        <v>619</v>
      </c>
      <c r="Q4217" t="s">
        <v>8777</v>
      </c>
    </row>
    <row r="4218" spans="1:17" x14ac:dyDescent="0.3">
      <c r="A4218" t="s">
        <v>17</v>
      </c>
      <c r="B4218" t="str">
        <f>"603156"</f>
        <v>603156</v>
      </c>
      <c r="C4218" t="s">
        <v>8778</v>
      </c>
      <c r="D4218" t="s">
        <v>4013</v>
      </c>
      <c r="E4218">
        <v>53709919</v>
      </c>
      <c r="F4218">
        <v>71332185</v>
      </c>
      <c r="G4218">
        <v>53450539</v>
      </c>
      <c r="H4218">
        <v>70490350</v>
      </c>
      <c r="I4218">
        <v>59419977</v>
      </c>
      <c r="P4218">
        <v>1235</v>
      </c>
      <c r="Q4218" t="s">
        <v>8779</v>
      </c>
    </row>
    <row r="4219" spans="1:17" x14ac:dyDescent="0.3">
      <c r="A4219" t="s">
        <v>73</v>
      </c>
      <c r="B4219" t="str">
        <f>"301050"</f>
        <v>301050</v>
      </c>
      <c r="C4219" t="s">
        <v>8780</v>
      </c>
      <c r="D4219" t="s">
        <v>502</v>
      </c>
      <c r="E4219">
        <v>53600648</v>
      </c>
      <c r="G4219">
        <v>246148293</v>
      </c>
      <c r="P4219">
        <v>31</v>
      </c>
      <c r="Q4219" t="s">
        <v>8781</v>
      </c>
    </row>
    <row r="4220" spans="1:17" x14ac:dyDescent="0.3">
      <c r="A4220" t="s">
        <v>17</v>
      </c>
      <c r="B4220" t="str">
        <f>"600895"</f>
        <v>600895</v>
      </c>
      <c r="C4220" t="s">
        <v>8782</v>
      </c>
      <c r="D4220" t="s">
        <v>61</v>
      </c>
      <c r="E4220">
        <v>53255089</v>
      </c>
      <c r="F4220">
        <v>69521588</v>
      </c>
      <c r="G4220">
        <v>212647966</v>
      </c>
      <c r="H4220">
        <v>284914175</v>
      </c>
      <c r="I4220">
        <v>302998892</v>
      </c>
      <c r="J4220">
        <v>279659741</v>
      </c>
      <c r="K4220">
        <v>521293291</v>
      </c>
      <c r="L4220">
        <v>1091225660</v>
      </c>
      <c r="M4220">
        <v>1510701399</v>
      </c>
      <c r="N4220">
        <v>1335188056</v>
      </c>
      <c r="O4220">
        <v>1383071824</v>
      </c>
      <c r="P4220">
        <v>336</v>
      </c>
      <c r="Q4220" t="s">
        <v>8783</v>
      </c>
    </row>
    <row r="4221" spans="1:17" x14ac:dyDescent="0.3">
      <c r="A4221" t="s">
        <v>73</v>
      </c>
      <c r="B4221" t="str">
        <f>"002207"</f>
        <v>002207</v>
      </c>
      <c r="C4221" t="s">
        <v>8784</v>
      </c>
      <c r="D4221" t="s">
        <v>227</v>
      </c>
      <c r="E4221">
        <v>53132196</v>
      </c>
      <c r="F4221">
        <v>33568999</v>
      </c>
      <c r="G4221">
        <v>72765312</v>
      </c>
      <c r="H4221">
        <v>69127421</v>
      </c>
      <c r="I4221">
        <v>108380750</v>
      </c>
      <c r="J4221">
        <v>107921593</v>
      </c>
      <c r="K4221">
        <v>102115861</v>
      </c>
      <c r="L4221">
        <v>209621605</v>
      </c>
      <c r="M4221">
        <v>161906341</v>
      </c>
      <c r="N4221">
        <v>170055192</v>
      </c>
      <c r="O4221">
        <v>163734676</v>
      </c>
      <c r="P4221">
        <v>73</v>
      </c>
      <c r="Q4221" t="s">
        <v>8785</v>
      </c>
    </row>
    <row r="4222" spans="1:17" x14ac:dyDescent="0.3">
      <c r="A4222" t="s">
        <v>17</v>
      </c>
      <c r="B4222" t="str">
        <f>"600112"</f>
        <v>600112</v>
      </c>
      <c r="C4222" t="s">
        <v>8786</v>
      </c>
      <c r="D4222" t="s">
        <v>224</v>
      </c>
      <c r="E4222">
        <v>52993862</v>
      </c>
      <c r="F4222">
        <v>62718875</v>
      </c>
      <c r="G4222">
        <v>94323306</v>
      </c>
      <c r="H4222">
        <v>134218581</v>
      </c>
      <c r="I4222">
        <v>284874278</v>
      </c>
      <c r="J4222">
        <v>303419068</v>
      </c>
      <c r="K4222">
        <v>258139548</v>
      </c>
      <c r="L4222">
        <v>264303638</v>
      </c>
      <c r="M4222">
        <v>309893853</v>
      </c>
      <c r="N4222">
        <v>259669514</v>
      </c>
      <c r="O4222">
        <v>158705476</v>
      </c>
      <c r="P4222">
        <v>56</v>
      </c>
      <c r="Q4222" t="s">
        <v>8787</v>
      </c>
    </row>
    <row r="4223" spans="1:17" x14ac:dyDescent="0.3">
      <c r="A4223" t="s">
        <v>17</v>
      </c>
      <c r="B4223" t="str">
        <f>"601011"</f>
        <v>601011</v>
      </c>
      <c r="C4223" t="s">
        <v>8788</v>
      </c>
      <c r="D4223" t="s">
        <v>1651</v>
      </c>
      <c r="E4223">
        <v>52992449</v>
      </c>
      <c r="F4223">
        <v>48069263</v>
      </c>
      <c r="G4223">
        <v>69614735</v>
      </c>
      <c r="H4223">
        <v>67774311</v>
      </c>
      <c r="I4223">
        <v>69711280</v>
      </c>
      <c r="J4223">
        <v>148804471</v>
      </c>
      <c r="K4223">
        <v>290619356</v>
      </c>
      <c r="L4223">
        <v>251892334</v>
      </c>
      <c r="M4223">
        <v>229583993</v>
      </c>
      <c r="N4223">
        <v>135192194</v>
      </c>
      <c r="O4223">
        <v>64609134</v>
      </c>
      <c r="P4223">
        <v>134</v>
      </c>
      <c r="Q4223" t="s">
        <v>8789</v>
      </c>
    </row>
    <row r="4224" spans="1:17" x14ac:dyDescent="0.3">
      <c r="A4224" t="s">
        <v>17</v>
      </c>
      <c r="B4224" t="str">
        <f>"600361"</f>
        <v>600361</v>
      </c>
      <c r="C4224" t="s">
        <v>8790</v>
      </c>
      <c r="D4224" t="s">
        <v>3633</v>
      </c>
      <c r="E4224">
        <v>52987762</v>
      </c>
      <c r="F4224">
        <v>60491177</v>
      </c>
      <c r="G4224">
        <v>50418890</v>
      </c>
      <c r="H4224">
        <v>84980856</v>
      </c>
      <c r="I4224">
        <v>22275175</v>
      </c>
      <c r="J4224">
        <v>19060846</v>
      </c>
      <c r="K4224">
        <v>39281925</v>
      </c>
      <c r="L4224">
        <v>16463421</v>
      </c>
      <c r="M4224">
        <v>49246918</v>
      </c>
      <c r="N4224">
        <v>77749162</v>
      </c>
      <c r="O4224">
        <v>7974162</v>
      </c>
      <c r="P4224">
        <v>134</v>
      </c>
      <c r="Q4224" t="s">
        <v>8791</v>
      </c>
    </row>
    <row r="4225" spans="1:17" x14ac:dyDescent="0.3">
      <c r="A4225" t="s">
        <v>73</v>
      </c>
      <c r="B4225" t="str">
        <f>"300530"</f>
        <v>300530</v>
      </c>
      <c r="C4225" t="s">
        <v>8792</v>
      </c>
      <c r="D4225" t="s">
        <v>588</v>
      </c>
      <c r="E4225">
        <v>52951529</v>
      </c>
      <c r="F4225">
        <v>32462110</v>
      </c>
      <c r="G4225">
        <v>61862157</v>
      </c>
      <c r="H4225">
        <v>58119822</v>
      </c>
      <c r="I4225">
        <v>43401302</v>
      </c>
      <c r="J4225">
        <v>31344458</v>
      </c>
      <c r="K4225">
        <v>0</v>
      </c>
      <c r="L4225">
        <v>0</v>
      </c>
      <c r="P4225">
        <v>64</v>
      </c>
      <c r="Q4225" t="s">
        <v>8793</v>
      </c>
    </row>
    <row r="4226" spans="1:17" x14ac:dyDescent="0.3">
      <c r="A4226" t="s">
        <v>73</v>
      </c>
      <c r="B4226" t="str">
        <f>"301026"</f>
        <v>301026</v>
      </c>
      <c r="C4226" t="s">
        <v>8794</v>
      </c>
      <c r="D4226" t="s">
        <v>1240</v>
      </c>
      <c r="E4226">
        <v>52735138</v>
      </c>
      <c r="F4226">
        <v>12212248</v>
      </c>
      <c r="P4226">
        <v>41</v>
      </c>
      <c r="Q4226" t="s">
        <v>8795</v>
      </c>
    </row>
    <row r="4227" spans="1:17" x14ac:dyDescent="0.3">
      <c r="A4227" t="s">
        <v>73</v>
      </c>
      <c r="B4227" t="str">
        <f>"300235"</f>
        <v>300235</v>
      </c>
      <c r="C4227" t="s">
        <v>8796</v>
      </c>
      <c r="D4227" t="s">
        <v>795</v>
      </c>
      <c r="E4227">
        <v>52560718</v>
      </c>
      <c r="F4227">
        <v>56079666</v>
      </c>
      <c r="G4227">
        <v>50949474</v>
      </c>
      <c r="H4227">
        <v>58475450</v>
      </c>
      <c r="I4227">
        <v>66260667</v>
      </c>
      <c r="J4227">
        <v>52153421</v>
      </c>
      <c r="K4227">
        <v>42260890</v>
      </c>
      <c r="L4227">
        <v>37040356</v>
      </c>
      <c r="M4227">
        <v>31732547</v>
      </c>
      <c r="N4227">
        <v>21392545</v>
      </c>
      <c r="O4227">
        <v>20075297</v>
      </c>
      <c r="P4227">
        <v>114</v>
      </c>
      <c r="Q4227" t="s">
        <v>8797</v>
      </c>
    </row>
    <row r="4228" spans="1:17" x14ac:dyDescent="0.3">
      <c r="A4228" t="s">
        <v>73</v>
      </c>
      <c r="B4228" t="str">
        <f>"002746"</f>
        <v>002746</v>
      </c>
      <c r="C4228" t="s">
        <v>8798</v>
      </c>
      <c r="D4228" t="s">
        <v>3664</v>
      </c>
      <c r="E4228">
        <v>52538113</v>
      </c>
      <c r="F4228">
        <v>40673659</v>
      </c>
      <c r="G4228">
        <v>66467155</v>
      </c>
      <c r="H4228">
        <v>92293028</v>
      </c>
      <c r="I4228">
        <v>34208052</v>
      </c>
      <c r="J4228">
        <v>35834150</v>
      </c>
      <c r="K4228">
        <v>36988299</v>
      </c>
      <c r="L4228">
        <v>35129736</v>
      </c>
      <c r="M4228">
        <v>0</v>
      </c>
      <c r="P4228">
        <v>457</v>
      </c>
      <c r="Q4228" t="s">
        <v>8799</v>
      </c>
    </row>
    <row r="4229" spans="1:17" x14ac:dyDescent="0.3">
      <c r="A4229" t="s">
        <v>17</v>
      </c>
      <c r="B4229" t="str">
        <f>"603198"</f>
        <v>603198</v>
      </c>
      <c r="C4229" t="s">
        <v>8800</v>
      </c>
      <c r="D4229" t="s">
        <v>7050</v>
      </c>
      <c r="E4229">
        <v>52471654</v>
      </c>
      <c r="F4229">
        <v>55001707</v>
      </c>
      <c r="G4229">
        <v>79442295</v>
      </c>
      <c r="H4229">
        <v>66073615</v>
      </c>
      <c r="I4229">
        <v>82334587</v>
      </c>
      <c r="J4229">
        <v>60539478</v>
      </c>
      <c r="K4229">
        <v>74945604</v>
      </c>
      <c r="L4229">
        <v>0</v>
      </c>
      <c r="M4229">
        <v>0</v>
      </c>
      <c r="P4229">
        <v>5968</v>
      </c>
      <c r="Q4229" t="s">
        <v>8801</v>
      </c>
    </row>
    <row r="4230" spans="1:17" x14ac:dyDescent="0.3">
      <c r="A4230" t="s">
        <v>73</v>
      </c>
      <c r="B4230" t="str">
        <f>"300336"</f>
        <v>300336</v>
      </c>
      <c r="C4230" t="s">
        <v>8802</v>
      </c>
      <c r="D4230" t="s">
        <v>1175</v>
      </c>
      <c r="E4230">
        <v>52436728</v>
      </c>
      <c r="F4230">
        <v>136023936</v>
      </c>
      <c r="G4230">
        <v>232519164</v>
      </c>
      <c r="H4230">
        <v>520279146</v>
      </c>
      <c r="I4230">
        <v>854864812</v>
      </c>
      <c r="J4230">
        <v>841426264</v>
      </c>
      <c r="K4230">
        <v>1165636376</v>
      </c>
      <c r="L4230">
        <v>878825995</v>
      </c>
      <c r="M4230">
        <v>329755141</v>
      </c>
      <c r="N4230">
        <v>286826929</v>
      </c>
      <c r="O4230">
        <v>193076996</v>
      </c>
      <c r="P4230">
        <v>98</v>
      </c>
      <c r="Q4230" t="s">
        <v>8803</v>
      </c>
    </row>
    <row r="4231" spans="1:17" x14ac:dyDescent="0.3">
      <c r="A4231" t="s">
        <v>73</v>
      </c>
      <c r="B4231" t="str">
        <f>"002852"</f>
        <v>002852</v>
      </c>
      <c r="C4231" t="s">
        <v>8804</v>
      </c>
      <c r="D4231" t="s">
        <v>373</v>
      </c>
      <c r="E4231">
        <v>52078586</v>
      </c>
      <c r="F4231">
        <v>73449520</v>
      </c>
      <c r="G4231">
        <v>66821942</v>
      </c>
      <c r="H4231">
        <v>26128563</v>
      </c>
      <c r="I4231">
        <v>9179871</v>
      </c>
      <c r="J4231">
        <v>7100637</v>
      </c>
      <c r="P4231">
        <v>141</v>
      </c>
      <c r="Q4231" t="s">
        <v>8805</v>
      </c>
    </row>
    <row r="4232" spans="1:17" x14ac:dyDescent="0.3">
      <c r="A4232" t="s">
        <v>73</v>
      </c>
      <c r="B4232" t="str">
        <f>"000915"</f>
        <v>000915</v>
      </c>
      <c r="C4232" t="s">
        <v>8806</v>
      </c>
      <c r="D4232" t="s">
        <v>348</v>
      </c>
      <c r="E4232">
        <v>51825203</v>
      </c>
      <c r="F4232">
        <v>230342193</v>
      </c>
      <c r="G4232">
        <v>258199662</v>
      </c>
      <c r="H4232">
        <v>205284619</v>
      </c>
      <c r="I4232">
        <v>232640551</v>
      </c>
      <c r="J4232">
        <v>241420131</v>
      </c>
      <c r="K4232">
        <v>197033757</v>
      </c>
      <c r="L4232">
        <v>171588384</v>
      </c>
      <c r="M4232">
        <v>120056871</v>
      </c>
      <c r="N4232">
        <v>91142376</v>
      </c>
      <c r="O4232">
        <v>89302559</v>
      </c>
      <c r="P4232">
        <v>648</v>
      </c>
      <c r="Q4232" t="s">
        <v>8807</v>
      </c>
    </row>
    <row r="4233" spans="1:17" x14ac:dyDescent="0.3">
      <c r="A4233" t="s">
        <v>73</v>
      </c>
      <c r="B4233" t="str">
        <f>"002199"</f>
        <v>002199</v>
      </c>
      <c r="C4233" t="s">
        <v>8808</v>
      </c>
      <c r="D4233" t="s">
        <v>1944</v>
      </c>
      <c r="E4233">
        <v>51584644</v>
      </c>
      <c r="F4233">
        <v>73515294</v>
      </c>
      <c r="G4233">
        <v>65911401</v>
      </c>
      <c r="H4233">
        <v>59930635</v>
      </c>
      <c r="I4233">
        <v>62666376</v>
      </c>
      <c r="J4233">
        <v>57537061</v>
      </c>
      <c r="K4233">
        <v>160993887</v>
      </c>
      <c r="L4233">
        <v>108048921</v>
      </c>
      <c r="M4233">
        <v>69833850</v>
      </c>
      <c r="N4233">
        <v>74348647</v>
      </c>
      <c r="O4233">
        <v>67921175</v>
      </c>
      <c r="P4233">
        <v>111</v>
      </c>
      <c r="Q4233" t="s">
        <v>8809</v>
      </c>
    </row>
    <row r="4234" spans="1:17" x14ac:dyDescent="0.3">
      <c r="A4234" t="s">
        <v>17</v>
      </c>
      <c r="B4234" t="str">
        <f>"688092"</f>
        <v>688092</v>
      </c>
      <c r="C4234" t="s">
        <v>8810</v>
      </c>
      <c r="D4234" t="s">
        <v>1451</v>
      </c>
      <c r="E4234">
        <v>51420704</v>
      </c>
      <c r="F4234">
        <v>43816240</v>
      </c>
      <c r="P4234">
        <v>29</v>
      </c>
      <c r="Q4234" t="s">
        <v>8811</v>
      </c>
    </row>
    <row r="4235" spans="1:17" x14ac:dyDescent="0.3">
      <c r="A4235" t="s">
        <v>73</v>
      </c>
      <c r="B4235" t="str">
        <f>"002124"</f>
        <v>002124</v>
      </c>
      <c r="C4235" t="s">
        <v>8812</v>
      </c>
      <c r="D4235" t="s">
        <v>1626</v>
      </c>
      <c r="E4235">
        <v>51238853</v>
      </c>
      <c r="F4235">
        <v>114971882</v>
      </c>
      <c r="G4235">
        <v>83118922</v>
      </c>
      <c r="H4235">
        <v>69728224</v>
      </c>
      <c r="I4235">
        <v>71621380</v>
      </c>
      <c r="J4235">
        <v>143403509</v>
      </c>
      <c r="K4235">
        <v>146086093</v>
      </c>
      <c r="L4235">
        <v>104533355</v>
      </c>
      <c r="M4235">
        <v>94176135</v>
      </c>
      <c r="N4235">
        <v>120471822</v>
      </c>
      <c r="O4235">
        <v>85419337</v>
      </c>
      <c r="P4235">
        <v>922</v>
      </c>
      <c r="Q4235" t="s">
        <v>8813</v>
      </c>
    </row>
    <row r="4236" spans="1:17" x14ac:dyDescent="0.3">
      <c r="A4236" t="s">
        <v>73</v>
      </c>
      <c r="B4236" t="str">
        <f>"002618"</f>
        <v>002618</v>
      </c>
      <c r="C4236" t="s">
        <v>8814</v>
      </c>
      <c r="D4236" t="s">
        <v>418</v>
      </c>
      <c r="E4236">
        <v>51160477</v>
      </c>
      <c r="F4236">
        <v>7071782</v>
      </c>
      <c r="G4236">
        <v>297910998</v>
      </c>
      <c r="H4236">
        <v>290014489</v>
      </c>
      <c r="I4236">
        <v>166603935</v>
      </c>
      <c r="J4236">
        <v>308312309</v>
      </c>
      <c r="K4236">
        <v>293934393</v>
      </c>
      <c r="L4236">
        <v>219289711</v>
      </c>
      <c r="M4236">
        <v>102971309</v>
      </c>
      <c r="N4236">
        <v>81159136</v>
      </c>
      <c r="O4236">
        <v>82500272</v>
      </c>
      <c r="P4236">
        <v>135</v>
      </c>
      <c r="Q4236" t="s">
        <v>8815</v>
      </c>
    </row>
    <row r="4237" spans="1:17" x14ac:dyDescent="0.3">
      <c r="A4237" t="s">
        <v>17</v>
      </c>
      <c r="B4237" t="str">
        <f>"600107"</f>
        <v>600107</v>
      </c>
      <c r="C4237" t="s">
        <v>8816</v>
      </c>
      <c r="D4237" t="s">
        <v>991</v>
      </c>
      <c r="E4237">
        <v>50932924</v>
      </c>
      <c r="F4237">
        <v>64042558</v>
      </c>
      <c r="G4237">
        <v>38983389</v>
      </c>
      <c r="H4237">
        <v>49469393</v>
      </c>
      <c r="I4237">
        <v>61924605</v>
      </c>
      <c r="J4237">
        <v>39556423</v>
      </c>
      <c r="K4237">
        <v>46098199</v>
      </c>
      <c r="L4237">
        <v>39033714</v>
      </c>
      <c r="M4237">
        <v>45192068</v>
      </c>
      <c r="N4237">
        <v>33984102</v>
      </c>
      <c r="O4237">
        <v>52149598</v>
      </c>
      <c r="P4237">
        <v>73</v>
      </c>
      <c r="Q4237" t="s">
        <v>8817</v>
      </c>
    </row>
    <row r="4238" spans="1:17" x14ac:dyDescent="0.3">
      <c r="A4238" t="s">
        <v>73</v>
      </c>
      <c r="B4238" t="str">
        <f>"000655"</f>
        <v>000655</v>
      </c>
      <c r="C4238" t="s">
        <v>8818</v>
      </c>
      <c r="D4238" t="s">
        <v>2108</v>
      </c>
      <c r="E4238">
        <v>50914543</v>
      </c>
      <c r="F4238">
        <v>67725025</v>
      </c>
      <c r="G4238">
        <v>79200206</v>
      </c>
      <c r="H4238">
        <v>79722071</v>
      </c>
      <c r="I4238">
        <v>98389456</v>
      </c>
      <c r="J4238">
        <v>174821965</v>
      </c>
      <c r="K4238">
        <v>441699983</v>
      </c>
      <c r="L4238">
        <v>263562855</v>
      </c>
      <c r="M4238">
        <v>322768060</v>
      </c>
      <c r="N4238">
        <v>94566499</v>
      </c>
      <c r="O4238">
        <v>39214322</v>
      </c>
      <c r="P4238">
        <v>145</v>
      </c>
      <c r="Q4238" t="s">
        <v>8819</v>
      </c>
    </row>
    <row r="4239" spans="1:17" x14ac:dyDescent="0.3">
      <c r="A4239" t="s">
        <v>73</v>
      </c>
      <c r="B4239" t="str">
        <f>"200025"</f>
        <v>200025</v>
      </c>
      <c r="C4239" t="s">
        <v>8820</v>
      </c>
      <c r="E4239">
        <v>50786410.215999998</v>
      </c>
      <c r="F4239">
        <v>60241085.420999996</v>
      </c>
      <c r="G4239">
        <v>117237274.8099</v>
      </c>
      <c r="H4239">
        <v>113938788.4668</v>
      </c>
      <c r="I4239">
        <v>77925822.865999997</v>
      </c>
      <c r="J4239">
        <v>1448670.851</v>
      </c>
      <c r="K4239">
        <v>3226965.6963999998</v>
      </c>
      <c r="L4239">
        <v>3234330</v>
      </c>
      <c r="M4239">
        <v>5660523.9932000004</v>
      </c>
      <c r="N4239">
        <v>7522258.7460000003</v>
      </c>
      <c r="O4239">
        <v>8312445.8190000001</v>
      </c>
      <c r="P4239">
        <v>7</v>
      </c>
      <c r="Q4239" t="s">
        <v>8821</v>
      </c>
    </row>
    <row r="4240" spans="1:17" x14ac:dyDescent="0.3">
      <c r="A4240" t="s">
        <v>17</v>
      </c>
      <c r="B4240" t="str">
        <f>"603777"</f>
        <v>603777</v>
      </c>
      <c r="C4240" t="s">
        <v>8822</v>
      </c>
      <c r="D4240" t="s">
        <v>4657</v>
      </c>
      <c r="E4240">
        <v>50634233</v>
      </c>
      <c r="F4240">
        <v>29698359</v>
      </c>
      <c r="G4240">
        <v>26679203</v>
      </c>
      <c r="H4240">
        <v>41755759</v>
      </c>
      <c r="I4240">
        <v>27062303</v>
      </c>
      <c r="J4240">
        <v>12362785</v>
      </c>
      <c r="P4240">
        <v>259</v>
      </c>
      <c r="Q4240" t="s">
        <v>8823</v>
      </c>
    </row>
    <row r="4241" spans="1:17" x14ac:dyDescent="0.3">
      <c r="A4241" t="s">
        <v>17</v>
      </c>
      <c r="B4241" t="str">
        <f>"688389"</f>
        <v>688389</v>
      </c>
      <c r="C4241" t="s">
        <v>8824</v>
      </c>
      <c r="D4241" t="s">
        <v>773</v>
      </c>
      <c r="E4241">
        <v>50584176</v>
      </c>
      <c r="F4241">
        <v>24891701</v>
      </c>
      <c r="G4241">
        <v>15818497</v>
      </c>
      <c r="P4241">
        <v>161</v>
      </c>
      <c r="Q4241" t="s">
        <v>8825</v>
      </c>
    </row>
    <row r="4242" spans="1:17" x14ac:dyDescent="0.3">
      <c r="A4242" t="s">
        <v>73</v>
      </c>
      <c r="B4242" t="str">
        <f>"301185"</f>
        <v>301185</v>
      </c>
      <c r="C4242" t="s">
        <v>8826</v>
      </c>
      <c r="D4242" t="s">
        <v>302</v>
      </c>
      <c r="E4242">
        <v>50288777</v>
      </c>
      <c r="P4242">
        <v>20</v>
      </c>
      <c r="Q4242" t="s">
        <v>8827</v>
      </c>
    </row>
    <row r="4243" spans="1:17" x14ac:dyDescent="0.3">
      <c r="A4243" t="s">
        <v>73</v>
      </c>
      <c r="B4243" t="str">
        <f>"300653"</f>
        <v>300653</v>
      </c>
      <c r="C4243" t="s">
        <v>8828</v>
      </c>
      <c r="D4243" t="s">
        <v>1523</v>
      </c>
      <c r="E4243">
        <v>50156634</v>
      </c>
      <c r="F4243">
        <v>64819867</v>
      </c>
      <c r="G4243">
        <v>51327366</v>
      </c>
      <c r="H4243">
        <v>47769494</v>
      </c>
      <c r="I4243">
        <v>40828394</v>
      </c>
      <c r="J4243">
        <v>36374459</v>
      </c>
      <c r="K4243">
        <v>0</v>
      </c>
      <c r="P4243">
        <v>898</v>
      </c>
      <c r="Q4243" t="s">
        <v>8829</v>
      </c>
    </row>
    <row r="4244" spans="1:17" x14ac:dyDescent="0.3">
      <c r="A4244" t="s">
        <v>73</v>
      </c>
      <c r="B4244" t="str">
        <f>"301149"</f>
        <v>301149</v>
      </c>
      <c r="C4244" t="s">
        <v>8830</v>
      </c>
      <c r="D4244" t="s">
        <v>588</v>
      </c>
      <c r="E4244">
        <v>50115384</v>
      </c>
      <c r="P4244">
        <v>17</v>
      </c>
      <c r="Q4244" t="s">
        <v>8831</v>
      </c>
    </row>
    <row r="4245" spans="1:17" x14ac:dyDescent="0.3">
      <c r="A4245" t="s">
        <v>73</v>
      </c>
      <c r="B4245" t="str">
        <f>"000886"</f>
        <v>000886</v>
      </c>
      <c r="C4245" t="s">
        <v>8832</v>
      </c>
      <c r="D4245" t="s">
        <v>1592</v>
      </c>
      <c r="E4245">
        <v>50077687</v>
      </c>
      <c r="F4245">
        <v>10050389</v>
      </c>
      <c r="G4245">
        <v>8350723</v>
      </c>
      <c r="H4245">
        <v>10299227</v>
      </c>
      <c r="I4245">
        <v>20882756</v>
      </c>
      <c r="J4245">
        <v>10050129</v>
      </c>
      <c r="K4245">
        <v>18306285</v>
      </c>
      <c r="L4245">
        <v>22264139</v>
      </c>
      <c r="M4245">
        <v>10834411</v>
      </c>
      <c r="N4245">
        <v>15663985</v>
      </c>
      <c r="O4245">
        <v>16760391</v>
      </c>
      <c r="P4245">
        <v>130</v>
      </c>
      <c r="Q4245" t="s">
        <v>8833</v>
      </c>
    </row>
    <row r="4246" spans="1:17" x14ac:dyDescent="0.3">
      <c r="A4246" t="s">
        <v>73</v>
      </c>
      <c r="B4246" t="str">
        <f>"300436"</f>
        <v>300436</v>
      </c>
      <c r="C4246" t="s">
        <v>8834</v>
      </c>
      <c r="D4246" t="s">
        <v>348</v>
      </c>
      <c r="E4246">
        <v>49861761</v>
      </c>
      <c r="F4246">
        <v>41337977</v>
      </c>
      <c r="G4246">
        <v>47711054</v>
      </c>
      <c r="H4246">
        <v>59233088</v>
      </c>
      <c r="I4246">
        <v>39315265</v>
      </c>
      <c r="J4246">
        <v>22960422</v>
      </c>
      <c r="K4246">
        <v>11192016</v>
      </c>
      <c r="L4246">
        <v>5996142</v>
      </c>
      <c r="M4246">
        <v>0</v>
      </c>
      <c r="P4246">
        <v>135</v>
      </c>
      <c r="Q4246" t="s">
        <v>8835</v>
      </c>
    </row>
    <row r="4247" spans="1:17" x14ac:dyDescent="0.3">
      <c r="A4247" t="s">
        <v>73</v>
      </c>
      <c r="B4247" t="str">
        <f>"002188"</f>
        <v>002188</v>
      </c>
      <c r="C4247" t="s">
        <v>8836</v>
      </c>
      <c r="D4247" t="s">
        <v>425</v>
      </c>
      <c r="E4247">
        <v>49796742</v>
      </c>
      <c r="F4247">
        <v>1493734</v>
      </c>
      <c r="G4247">
        <v>1714877</v>
      </c>
      <c r="H4247">
        <v>25628500</v>
      </c>
      <c r="I4247">
        <v>380087004</v>
      </c>
      <c r="J4247">
        <v>399479122</v>
      </c>
      <c r="K4247">
        <v>228314981</v>
      </c>
      <c r="L4247">
        <v>23036605</v>
      </c>
      <c r="M4247">
        <v>24376511</v>
      </c>
      <c r="N4247">
        <v>36978110</v>
      </c>
      <c r="O4247">
        <v>81488995</v>
      </c>
      <c r="P4247">
        <v>69</v>
      </c>
      <c r="Q4247" t="s">
        <v>8837</v>
      </c>
    </row>
    <row r="4248" spans="1:17" x14ac:dyDescent="0.3">
      <c r="A4248" t="s">
        <v>73</v>
      </c>
      <c r="B4248" t="str">
        <f>"000502"</f>
        <v>000502</v>
      </c>
      <c r="C4248" t="s">
        <v>8838</v>
      </c>
      <c r="D4248" t="s">
        <v>1209</v>
      </c>
      <c r="E4248">
        <v>49780643</v>
      </c>
      <c r="F4248">
        <v>2640221</v>
      </c>
      <c r="G4248">
        <v>2738859</v>
      </c>
      <c r="H4248">
        <v>2347695</v>
      </c>
      <c r="I4248">
        <v>2884779</v>
      </c>
      <c r="J4248">
        <v>2412630</v>
      </c>
      <c r="K4248">
        <v>1821761</v>
      </c>
      <c r="L4248">
        <v>3037676</v>
      </c>
      <c r="M4248">
        <v>1697584</v>
      </c>
      <c r="N4248">
        <v>1966187</v>
      </c>
      <c r="O4248">
        <v>860518</v>
      </c>
      <c r="P4248">
        <v>85</v>
      </c>
      <c r="Q4248" t="s">
        <v>8839</v>
      </c>
    </row>
    <row r="4249" spans="1:17" x14ac:dyDescent="0.3">
      <c r="A4249" t="s">
        <v>17</v>
      </c>
      <c r="B4249" t="str">
        <f>"600137"</f>
        <v>600137</v>
      </c>
      <c r="C4249" t="s">
        <v>8840</v>
      </c>
      <c r="D4249" t="s">
        <v>2601</v>
      </c>
      <c r="E4249">
        <v>49694300</v>
      </c>
      <c r="F4249">
        <v>61642699</v>
      </c>
      <c r="G4249">
        <v>59331701</v>
      </c>
      <c r="H4249">
        <v>64426528</v>
      </c>
      <c r="I4249">
        <v>46653334</v>
      </c>
      <c r="J4249">
        <v>38993974</v>
      </c>
      <c r="K4249">
        <v>47242639</v>
      </c>
      <c r="L4249">
        <v>46968812</v>
      </c>
      <c r="M4249">
        <v>64014933</v>
      </c>
      <c r="N4249">
        <v>82688920</v>
      </c>
      <c r="O4249">
        <v>42738358</v>
      </c>
      <c r="P4249">
        <v>75</v>
      </c>
      <c r="Q4249" t="s">
        <v>8841</v>
      </c>
    </row>
    <row r="4250" spans="1:17" x14ac:dyDescent="0.3">
      <c r="A4250" t="s">
        <v>73</v>
      </c>
      <c r="B4250" t="str">
        <f>"003017"</f>
        <v>003017</v>
      </c>
      <c r="C4250" t="s">
        <v>8842</v>
      </c>
      <c r="D4250" t="s">
        <v>2246</v>
      </c>
      <c r="E4250">
        <v>49633850</v>
      </c>
      <c r="F4250">
        <v>44344288</v>
      </c>
      <c r="I4250">
        <v>54211754</v>
      </c>
      <c r="P4250">
        <v>39</v>
      </c>
      <c r="Q4250" t="s">
        <v>8843</v>
      </c>
    </row>
    <row r="4251" spans="1:17" x14ac:dyDescent="0.3">
      <c r="A4251" t="s">
        <v>17</v>
      </c>
      <c r="B4251" t="str">
        <f>"600671"</f>
        <v>600671</v>
      </c>
      <c r="C4251" t="s">
        <v>8844</v>
      </c>
      <c r="D4251" t="s">
        <v>215</v>
      </c>
      <c r="E4251">
        <v>49608639</v>
      </c>
      <c r="F4251">
        <v>51832749</v>
      </c>
      <c r="G4251">
        <v>58527279</v>
      </c>
      <c r="H4251">
        <v>71333050</v>
      </c>
      <c r="I4251">
        <v>58929106</v>
      </c>
      <c r="J4251">
        <v>31007323</v>
      </c>
      <c r="K4251">
        <v>26004228</v>
      </c>
      <c r="L4251">
        <v>30812850</v>
      </c>
      <c r="M4251">
        <v>41640387</v>
      </c>
      <c r="N4251">
        <v>59038253</v>
      </c>
      <c r="O4251">
        <v>71746474</v>
      </c>
      <c r="P4251">
        <v>104</v>
      </c>
      <c r="Q4251" t="s">
        <v>8845</v>
      </c>
    </row>
    <row r="4252" spans="1:17" x14ac:dyDescent="0.3">
      <c r="A4252" t="s">
        <v>73</v>
      </c>
      <c r="B4252" t="str">
        <f>"300191"</f>
        <v>300191</v>
      </c>
      <c r="C4252" t="s">
        <v>8846</v>
      </c>
      <c r="D4252" t="s">
        <v>275</v>
      </c>
      <c r="E4252">
        <v>49566672</v>
      </c>
      <c r="F4252">
        <v>83858772</v>
      </c>
      <c r="G4252">
        <v>128232522</v>
      </c>
      <c r="H4252">
        <v>53505226</v>
      </c>
      <c r="I4252">
        <v>45475984</v>
      </c>
      <c r="J4252">
        <v>69282309</v>
      </c>
      <c r="K4252">
        <v>68225608</v>
      </c>
      <c r="L4252">
        <v>121712893</v>
      </c>
      <c r="M4252">
        <v>226476599</v>
      </c>
      <c r="N4252">
        <v>202112687</v>
      </c>
      <c r="O4252">
        <v>156787702</v>
      </c>
      <c r="P4252">
        <v>75</v>
      </c>
      <c r="Q4252" t="s">
        <v>8847</v>
      </c>
    </row>
    <row r="4253" spans="1:17" x14ac:dyDescent="0.3">
      <c r="A4253" t="s">
        <v>17</v>
      </c>
      <c r="B4253" t="str">
        <f>"600935"</f>
        <v>600935</v>
      </c>
      <c r="C4253" t="s">
        <v>8848</v>
      </c>
      <c r="D4253" t="s">
        <v>641</v>
      </c>
      <c r="E4253">
        <v>49540999</v>
      </c>
      <c r="P4253">
        <v>16</v>
      </c>
      <c r="Q4253" t="s">
        <v>8849</v>
      </c>
    </row>
    <row r="4254" spans="1:17" x14ac:dyDescent="0.3">
      <c r="A4254" t="s">
        <v>17</v>
      </c>
      <c r="B4254" t="str">
        <f>"600208"</f>
        <v>600208</v>
      </c>
      <c r="C4254" t="s">
        <v>8850</v>
      </c>
      <c r="D4254" t="s">
        <v>27</v>
      </c>
      <c r="E4254">
        <v>49304769</v>
      </c>
      <c r="F4254">
        <v>91104454</v>
      </c>
      <c r="G4254">
        <v>53152833</v>
      </c>
      <c r="H4254">
        <v>827132566</v>
      </c>
      <c r="I4254">
        <v>34882779</v>
      </c>
      <c r="J4254">
        <v>52396520</v>
      </c>
      <c r="K4254">
        <v>145396523</v>
      </c>
      <c r="L4254">
        <v>921649083</v>
      </c>
      <c r="M4254">
        <v>3068199269</v>
      </c>
      <c r="N4254">
        <v>4265590803</v>
      </c>
      <c r="O4254">
        <v>6154227</v>
      </c>
      <c r="P4254">
        <v>331</v>
      </c>
      <c r="Q4254" t="s">
        <v>8851</v>
      </c>
    </row>
    <row r="4255" spans="1:17" x14ac:dyDescent="0.3">
      <c r="A4255" t="s">
        <v>73</v>
      </c>
      <c r="B4255" t="str">
        <f>"300553"</f>
        <v>300553</v>
      </c>
      <c r="C4255" t="s">
        <v>8852</v>
      </c>
      <c r="D4255" t="s">
        <v>2280</v>
      </c>
      <c r="E4255">
        <v>49173504</v>
      </c>
      <c r="F4255">
        <v>57635972</v>
      </c>
      <c r="G4255">
        <v>59838220</v>
      </c>
      <c r="H4255">
        <v>54039727</v>
      </c>
      <c r="I4255">
        <v>49027978</v>
      </c>
      <c r="J4255">
        <v>38493467</v>
      </c>
      <c r="K4255">
        <v>0</v>
      </c>
      <c r="P4255">
        <v>72</v>
      </c>
      <c r="Q4255" t="s">
        <v>8853</v>
      </c>
    </row>
    <row r="4256" spans="1:17" x14ac:dyDescent="0.3">
      <c r="A4256" t="s">
        <v>73</v>
      </c>
      <c r="B4256" t="str">
        <f>"300993"</f>
        <v>300993</v>
      </c>
      <c r="C4256" t="s">
        <v>8854</v>
      </c>
      <c r="D4256" t="s">
        <v>3902</v>
      </c>
      <c r="E4256">
        <v>49099304</v>
      </c>
      <c r="F4256">
        <v>41588401</v>
      </c>
      <c r="P4256">
        <v>31</v>
      </c>
      <c r="Q4256" t="s">
        <v>8855</v>
      </c>
    </row>
    <row r="4257" spans="1:17" x14ac:dyDescent="0.3">
      <c r="A4257" t="s">
        <v>73</v>
      </c>
      <c r="B4257" t="str">
        <f>"300508"</f>
        <v>300508</v>
      </c>
      <c r="C4257" t="s">
        <v>8856</v>
      </c>
      <c r="D4257" t="s">
        <v>158</v>
      </c>
      <c r="E4257">
        <v>49089301</v>
      </c>
      <c r="F4257">
        <v>42931073</v>
      </c>
      <c r="G4257">
        <v>22134716</v>
      </c>
      <c r="H4257">
        <v>57489761</v>
      </c>
      <c r="I4257">
        <v>30234531</v>
      </c>
      <c r="J4257">
        <v>17228756</v>
      </c>
      <c r="K4257">
        <v>13017020</v>
      </c>
      <c r="L4257">
        <v>0</v>
      </c>
      <c r="P4257">
        <v>130</v>
      </c>
      <c r="Q4257" t="s">
        <v>8857</v>
      </c>
    </row>
    <row r="4258" spans="1:17" x14ac:dyDescent="0.3">
      <c r="A4258" t="s">
        <v>73</v>
      </c>
      <c r="B4258" t="str">
        <f>"300930"</f>
        <v>300930</v>
      </c>
      <c r="C4258" t="s">
        <v>8858</v>
      </c>
      <c r="D4258" t="s">
        <v>1949</v>
      </c>
      <c r="E4258">
        <v>48963087</v>
      </c>
      <c r="F4258">
        <v>47994113</v>
      </c>
      <c r="P4258">
        <v>75</v>
      </c>
      <c r="Q4258" t="s">
        <v>8859</v>
      </c>
    </row>
    <row r="4259" spans="1:17" x14ac:dyDescent="0.3">
      <c r="A4259" t="s">
        <v>73</v>
      </c>
      <c r="B4259" t="str">
        <f>"000920"</f>
        <v>000920</v>
      </c>
      <c r="C4259" t="s">
        <v>8860</v>
      </c>
      <c r="D4259" t="s">
        <v>308</v>
      </c>
      <c r="E4259">
        <v>48931828</v>
      </c>
      <c r="F4259">
        <v>90609148</v>
      </c>
      <c r="G4259">
        <v>90535156</v>
      </c>
      <c r="H4259">
        <v>155101027</v>
      </c>
      <c r="I4259">
        <v>75540335</v>
      </c>
      <c r="J4259">
        <v>47899960</v>
      </c>
      <c r="K4259">
        <v>70729655</v>
      </c>
      <c r="L4259">
        <v>52092769</v>
      </c>
      <c r="M4259">
        <v>259834643</v>
      </c>
      <c r="N4259">
        <v>234643733</v>
      </c>
      <c r="O4259">
        <v>309975000</v>
      </c>
      <c r="P4259">
        <v>122</v>
      </c>
      <c r="Q4259" t="s">
        <v>8861</v>
      </c>
    </row>
    <row r="4260" spans="1:17" x14ac:dyDescent="0.3">
      <c r="A4260" t="s">
        <v>73</v>
      </c>
      <c r="B4260" t="str">
        <f>"000585"</f>
        <v>000585</v>
      </c>
      <c r="C4260" t="s">
        <v>8862</v>
      </c>
      <c r="D4260" t="s">
        <v>224</v>
      </c>
      <c r="E4260">
        <v>48880255</v>
      </c>
      <c r="F4260">
        <v>37683802</v>
      </c>
      <c r="G4260">
        <v>28929420</v>
      </c>
      <c r="H4260">
        <v>26186382</v>
      </c>
      <c r="I4260">
        <v>74398273</v>
      </c>
      <c r="J4260">
        <v>127646739</v>
      </c>
      <c r="K4260">
        <v>140094609</v>
      </c>
      <c r="L4260">
        <v>131636927</v>
      </c>
      <c r="M4260">
        <v>129269948</v>
      </c>
      <c r="N4260">
        <v>152791615</v>
      </c>
      <c r="O4260">
        <v>122427626</v>
      </c>
      <c r="P4260">
        <v>73</v>
      </c>
      <c r="Q4260" t="s">
        <v>8863</v>
      </c>
    </row>
    <row r="4261" spans="1:17" x14ac:dyDescent="0.3">
      <c r="A4261" t="s">
        <v>17</v>
      </c>
      <c r="B4261" t="str">
        <f>"600814"</f>
        <v>600814</v>
      </c>
      <c r="C4261" t="s">
        <v>8864</v>
      </c>
      <c r="D4261" t="s">
        <v>638</v>
      </c>
      <c r="E4261">
        <v>48862105</v>
      </c>
      <c r="F4261">
        <v>17208409</v>
      </c>
      <c r="G4261">
        <v>29381879</v>
      </c>
      <c r="H4261">
        <v>0</v>
      </c>
      <c r="I4261">
        <v>42630293</v>
      </c>
      <c r="J4261">
        <v>21811358</v>
      </c>
      <c r="K4261">
        <v>10030483</v>
      </c>
      <c r="L4261">
        <v>22577885</v>
      </c>
      <c r="M4261">
        <v>5472264</v>
      </c>
      <c r="N4261">
        <v>13860469</v>
      </c>
      <c r="O4261">
        <v>5526880</v>
      </c>
      <c r="P4261">
        <v>150</v>
      </c>
      <c r="Q4261" t="s">
        <v>8865</v>
      </c>
    </row>
    <row r="4262" spans="1:17" x14ac:dyDescent="0.3">
      <c r="A4262" t="s">
        <v>73</v>
      </c>
      <c r="B4262" t="str">
        <f>"300622"</f>
        <v>300622</v>
      </c>
      <c r="C4262" t="s">
        <v>8866</v>
      </c>
      <c r="D4262" t="s">
        <v>1206</v>
      </c>
      <c r="E4262">
        <v>48733032</v>
      </c>
      <c r="F4262">
        <v>49385001</v>
      </c>
      <c r="G4262">
        <v>25392540</v>
      </c>
      <c r="H4262">
        <v>31287788</v>
      </c>
      <c r="I4262">
        <v>23845905</v>
      </c>
      <c r="J4262">
        <v>15451306</v>
      </c>
      <c r="K4262">
        <v>0</v>
      </c>
      <c r="P4262">
        <v>123</v>
      </c>
      <c r="Q4262" t="s">
        <v>8867</v>
      </c>
    </row>
    <row r="4263" spans="1:17" x14ac:dyDescent="0.3">
      <c r="A4263" t="s">
        <v>73</v>
      </c>
      <c r="B4263" t="str">
        <f>"002186"</f>
        <v>002186</v>
      </c>
      <c r="C4263" t="s">
        <v>8868</v>
      </c>
      <c r="D4263" t="s">
        <v>8664</v>
      </c>
      <c r="E4263">
        <v>48583218</v>
      </c>
      <c r="F4263">
        <v>28213087</v>
      </c>
      <c r="G4263">
        <v>78873535</v>
      </c>
      <c r="H4263">
        <v>86779257</v>
      </c>
      <c r="I4263">
        <v>82293467</v>
      </c>
      <c r="J4263">
        <v>73266687</v>
      </c>
      <c r="K4263">
        <v>68434004</v>
      </c>
      <c r="L4263">
        <v>68738042</v>
      </c>
      <c r="M4263">
        <v>47358685</v>
      </c>
      <c r="N4263">
        <v>51567420</v>
      </c>
      <c r="O4263">
        <v>38459381</v>
      </c>
      <c r="P4263">
        <v>179</v>
      </c>
      <c r="Q4263" t="s">
        <v>8869</v>
      </c>
    </row>
    <row r="4264" spans="1:17" x14ac:dyDescent="0.3">
      <c r="A4264" t="s">
        <v>17</v>
      </c>
      <c r="B4264" t="str">
        <f>"688238"</f>
        <v>688238</v>
      </c>
      <c r="C4264" t="s">
        <v>8870</v>
      </c>
      <c r="E4264">
        <v>48529999</v>
      </c>
      <c r="P4264">
        <v>7</v>
      </c>
      <c r="Q4264" t="s">
        <v>8871</v>
      </c>
    </row>
    <row r="4265" spans="1:17" x14ac:dyDescent="0.3">
      <c r="A4265" t="s">
        <v>73</v>
      </c>
      <c r="B4265" t="str">
        <f>"000722"</f>
        <v>000722</v>
      </c>
      <c r="C4265" t="s">
        <v>8872</v>
      </c>
      <c r="D4265" t="s">
        <v>290</v>
      </c>
      <c r="E4265">
        <v>48521286</v>
      </c>
      <c r="F4265">
        <v>38186856</v>
      </c>
      <c r="G4265">
        <v>27687099</v>
      </c>
      <c r="H4265">
        <v>39628913</v>
      </c>
      <c r="I4265">
        <v>34660225</v>
      </c>
      <c r="J4265">
        <v>32816203</v>
      </c>
      <c r="K4265">
        <v>17210848</v>
      </c>
      <c r="L4265">
        <v>30258733</v>
      </c>
      <c r="M4265">
        <v>31018713</v>
      </c>
      <c r="N4265">
        <v>22461737</v>
      </c>
      <c r="O4265">
        <v>28340344</v>
      </c>
      <c r="P4265">
        <v>104</v>
      </c>
      <c r="Q4265" t="s">
        <v>8873</v>
      </c>
    </row>
    <row r="4266" spans="1:17" x14ac:dyDescent="0.3">
      <c r="A4266" t="s">
        <v>17</v>
      </c>
      <c r="B4266" t="str">
        <f>"600497"</f>
        <v>600497</v>
      </c>
      <c r="C4266" t="s">
        <v>8874</v>
      </c>
      <c r="D4266" t="s">
        <v>3053</v>
      </c>
      <c r="E4266">
        <v>48492450</v>
      </c>
      <c r="F4266">
        <v>60614038</v>
      </c>
      <c r="G4266">
        <v>38623646</v>
      </c>
      <c r="H4266">
        <v>101922768</v>
      </c>
      <c r="I4266">
        <v>100096490</v>
      </c>
      <c r="J4266">
        <v>111015236</v>
      </c>
      <c r="K4266">
        <v>165035530</v>
      </c>
      <c r="L4266">
        <v>154488030</v>
      </c>
      <c r="M4266">
        <v>122826001</v>
      </c>
      <c r="N4266">
        <v>197207875</v>
      </c>
      <c r="O4266">
        <v>207186948</v>
      </c>
      <c r="P4266">
        <v>286</v>
      </c>
      <c r="Q4266" t="s">
        <v>8875</v>
      </c>
    </row>
    <row r="4267" spans="1:17" x14ac:dyDescent="0.3">
      <c r="A4267" t="s">
        <v>73</v>
      </c>
      <c r="B4267" t="str">
        <f>"000573"</f>
        <v>000573</v>
      </c>
      <c r="C4267" t="s">
        <v>8876</v>
      </c>
      <c r="D4267" t="s">
        <v>27</v>
      </c>
      <c r="E4267">
        <v>48268874</v>
      </c>
      <c r="F4267">
        <v>29825749</v>
      </c>
      <c r="G4267">
        <v>2904571</v>
      </c>
      <c r="H4267">
        <v>1673514</v>
      </c>
      <c r="I4267">
        <v>12100499</v>
      </c>
      <c r="J4267">
        <v>25473950</v>
      </c>
      <c r="K4267">
        <v>43057149</v>
      </c>
      <c r="L4267">
        <v>45763724</v>
      </c>
      <c r="M4267">
        <v>38561546</v>
      </c>
      <c r="N4267">
        <v>94181924</v>
      </c>
      <c r="O4267">
        <v>26025821</v>
      </c>
      <c r="P4267">
        <v>130</v>
      </c>
      <c r="Q4267" t="s">
        <v>8877</v>
      </c>
    </row>
    <row r="4268" spans="1:17" x14ac:dyDescent="0.3">
      <c r="A4268" t="s">
        <v>73</v>
      </c>
      <c r="B4268" t="str">
        <f>"000610"</f>
        <v>000610</v>
      </c>
      <c r="C4268" t="s">
        <v>8878</v>
      </c>
      <c r="D4268" t="s">
        <v>1563</v>
      </c>
      <c r="E4268">
        <v>48140858</v>
      </c>
      <c r="F4268">
        <v>26187430</v>
      </c>
      <c r="G4268">
        <v>23460343</v>
      </c>
      <c r="H4268">
        <v>31600801</v>
      </c>
      <c r="I4268">
        <v>33828203</v>
      </c>
      <c r="J4268">
        <v>19059308</v>
      </c>
      <c r="K4268">
        <v>19904326</v>
      </c>
      <c r="L4268">
        <v>19628740</v>
      </c>
      <c r="M4268">
        <v>21182039</v>
      </c>
      <c r="N4268">
        <v>37806221</v>
      </c>
      <c r="O4268">
        <v>23132898</v>
      </c>
      <c r="P4268">
        <v>152</v>
      </c>
      <c r="Q4268" t="s">
        <v>8879</v>
      </c>
    </row>
    <row r="4269" spans="1:17" x14ac:dyDescent="0.3">
      <c r="A4269" t="s">
        <v>17</v>
      </c>
      <c r="B4269" t="str">
        <f>"605100"</f>
        <v>605100</v>
      </c>
      <c r="C4269" t="s">
        <v>8880</v>
      </c>
      <c r="D4269" t="s">
        <v>146</v>
      </c>
      <c r="E4269">
        <v>48080541</v>
      </c>
      <c r="F4269">
        <v>194694873</v>
      </c>
      <c r="G4269">
        <v>200905475</v>
      </c>
      <c r="H4269">
        <v>0</v>
      </c>
      <c r="P4269">
        <v>60</v>
      </c>
      <c r="Q4269" t="s">
        <v>8881</v>
      </c>
    </row>
    <row r="4270" spans="1:17" x14ac:dyDescent="0.3">
      <c r="A4270" t="s">
        <v>73</v>
      </c>
      <c r="B4270" t="str">
        <f>"000633"</f>
        <v>000633</v>
      </c>
      <c r="C4270" t="s">
        <v>8882</v>
      </c>
      <c r="D4270" t="s">
        <v>1949</v>
      </c>
      <c r="E4270">
        <v>47881004</v>
      </c>
      <c r="F4270">
        <v>30903600</v>
      </c>
      <c r="G4270">
        <v>27894873</v>
      </c>
      <c r="H4270">
        <v>26243183</v>
      </c>
      <c r="I4270">
        <v>19339050</v>
      </c>
      <c r="J4270">
        <v>16519582</v>
      </c>
      <c r="K4270">
        <v>18124635</v>
      </c>
      <c r="L4270">
        <v>25883751</v>
      </c>
      <c r="M4270">
        <v>27580068</v>
      </c>
      <c r="N4270">
        <v>43035949</v>
      </c>
      <c r="O4270">
        <v>19574329</v>
      </c>
      <c r="P4270">
        <v>72</v>
      </c>
      <c r="Q4270" t="s">
        <v>8883</v>
      </c>
    </row>
    <row r="4271" spans="1:17" x14ac:dyDescent="0.3">
      <c r="A4271" t="s">
        <v>17</v>
      </c>
      <c r="B4271" t="str">
        <f>"688607"</f>
        <v>688607</v>
      </c>
      <c r="C4271" t="s">
        <v>8884</v>
      </c>
      <c r="D4271" t="s">
        <v>692</v>
      </c>
      <c r="E4271">
        <v>47831346</v>
      </c>
      <c r="F4271">
        <v>61822266</v>
      </c>
      <c r="P4271">
        <v>55</v>
      </c>
      <c r="Q4271" t="s">
        <v>8885</v>
      </c>
    </row>
    <row r="4272" spans="1:17" x14ac:dyDescent="0.3">
      <c r="A4272" t="s">
        <v>73</v>
      </c>
      <c r="B4272" t="str">
        <f>"002458"</f>
        <v>002458</v>
      </c>
      <c r="C4272" t="s">
        <v>8886</v>
      </c>
      <c r="D4272" t="s">
        <v>3664</v>
      </c>
      <c r="E4272">
        <v>47803940</v>
      </c>
      <c r="F4272">
        <v>53821802</v>
      </c>
      <c r="G4272">
        <v>56035876</v>
      </c>
      <c r="H4272">
        <v>41636996</v>
      </c>
      <c r="I4272">
        <v>48461713</v>
      </c>
      <c r="J4272">
        <v>50753198</v>
      </c>
      <c r="K4272">
        <v>25752891</v>
      </c>
      <c r="L4272">
        <v>22611453</v>
      </c>
      <c r="M4272">
        <v>16627332</v>
      </c>
      <c r="N4272">
        <v>18255033</v>
      </c>
      <c r="O4272">
        <v>14766179</v>
      </c>
      <c r="P4272">
        <v>815</v>
      </c>
      <c r="Q4272" t="s">
        <v>8887</v>
      </c>
    </row>
    <row r="4273" spans="1:17" x14ac:dyDescent="0.3">
      <c r="A4273" t="s">
        <v>73</v>
      </c>
      <c r="B4273" t="str">
        <f>"200992"</f>
        <v>200992</v>
      </c>
      <c r="C4273" t="s">
        <v>8888</v>
      </c>
      <c r="E4273">
        <v>47794932.608000003</v>
      </c>
      <c r="F4273">
        <v>91680005.059499994</v>
      </c>
      <c r="G4273">
        <v>105336392.7198</v>
      </c>
      <c r="H4273">
        <v>71015099.587200001</v>
      </c>
      <c r="I4273">
        <v>74770124.841499999</v>
      </c>
      <c r="J4273">
        <v>54103444.740800001</v>
      </c>
      <c r="K4273">
        <v>69818545.706699997</v>
      </c>
      <c r="L4273">
        <v>28590060</v>
      </c>
      <c r="M4273">
        <v>24528911.503600001</v>
      </c>
      <c r="N4273">
        <v>62855280.2958</v>
      </c>
      <c r="O4273">
        <v>145965.00599999999</v>
      </c>
      <c r="P4273">
        <v>22</v>
      </c>
      <c r="Q4273" t="s">
        <v>8889</v>
      </c>
    </row>
    <row r="4274" spans="1:17" x14ac:dyDescent="0.3">
      <c r="A4274" t="s">
        <v>17</v>
      </c>
      <c r="B4274" t="str">
        <f>"600683"</f>
        <v>600683</v>
      </c>
      <c r="C4274" t="s">
        <v>8890</v>
      </c>
      <c r="D4274" t="s">
        <v>27</v>
      </c>
      <c r="E4274">
        <v>47770725</v>
      </c>
      <c r="F4274">
        <v>43071678</v>
      </c>
      <c r="G4274">
        <v>8536686</v>
      </c>
      <c r="H4274">
        <v>411480657</v>
      </c>
      <c r="I4274">
        <v>67566807</v>
      </c>
      <c r="J4274">
        <v>6880612</v>
      </c>
      <c r="K4274">
        <v>6440863</v>
      </c>
      <c r="L4274">
        <v>11239488</v>
      </c>
      <c r="M4274">
        <v>8419959</v>
      </c>
      <c r="N4274">
        <v>6699649</v>
      </c>
      <c r="O4274">
        <v>5821807</v>
      </c>
      <c r="P4274">
        <v>224</v>
      </c>
      <c r="Q4274" t="s">
        <v>8891</v>
      </c>
    </row>
    <row r="4275" spans="1:17" x14ac:dyDescent="0.3">
      <c r="A4275" t="s">
        <v>73</v>
      </c>
      <c r="B4275" t="str">
        <f>"000627"</f>
        <v>000627</v>
      </c>
      <c r="C4275" t="s">
        <v>8892</v>
      </c>
      <c r="D4275" t="s">
        <v>8893</v>
      </c>
      <c r="E4275">
        <v>47740264</v>
      </c>
      <c r="F4275">
        <v>37780179</v>
      </c>
      <c r="G4275">
        <v>45950840</v>
      </c>
      <c r="H4275">
        <v>0</v>
      </c>
      <c r="I4275">
        <v>61975577</v>
      </c>
      <c r="J4275">
        <v>56381762</v>
      </c>
      <c r="K4275">
        <v>58981694</v>
      </c>
      <c r="L4275">
        <v>54387187</v>
      </c>
      <c r="M4275">
        <v>57546903</v>
      </c>
      <c r="N4275">
        <v>68113642</v>
      </c>
      <c r="O4275">
        <v>74484380</v>
      </c>
      <c r="P4275">
        <v>288</v>
      </c>
      <c r="Q4275" t="s">
        <v>8894</v>
      </c>
    </row>
    <row r="4276" spans="1:17" x14ac:dyDescent="0.3">
      <c r="A4276" t="s">
        <v>73</v>
      </c>
      <c r="B4276" t="str">
        <f>"301038"</f>
        <v>301038</v>
      </c>
      <c r="C4276" t="s">
        <v>8895</v>
      </c>
      <c r="D4276" t="s">
        <v>661</v>
      </c>
      <c r="E4276">
        <v>47370126</v>
      </c>
      <c r="F4276">
        <v>31855076</v>
      </c>
      <c r="P4276">
        <v>21</v>
      </c>
      <c r="Q4276" t="s">
        <v>8896</v>
      </c>
    </row>
    <row r="4277" spans="1:17" x14ac:dyDescent="0.3">
      <c r="A4277" t="s">
        <v>73</v>
      </c>
      <c r="B4277" t="str">
        <f>"301089"</f>
        <v>301089</v>
      </c>
      <c r="C4277" t="s">
        <v>8897</v>
      </c>
      <c r="D4277" t="s">
        <v>908</v>
      </c>
      <c r="E4277">
        <v>47315336</v>
      </c>
      <c r="P4277">
        <v>37</v>
      </c>
      <c r="Q4277" t="s">
        <v>8898</v>
      </c>
    </row>
    <row r="4278" spans="1:17" x14ac:dyDescent="0.3">
      <c r="A4278" t="s">
        <v>73</v>
      </c>
      <c r="B4278" t="str">
        <f>"003025"</f>
        <v>003025</v>
      </c>
      <c r="C4278" t="s">
        <v>8899</v>
      </c>
      <c r="D4278" t="s">
        <v>2332</v>
      </c>
      <c r="E4278">
        <v>47240704</v>
      </c>
      <c r="F4278">
        <v>49758761</v>
      </c>
      <c r="P4278">
        <v>118</v>
      </c>
      <c r="Q4278" t="s">
        <v>8900</v>
      </c>
    </row>
    <row r="4279" spans="1:17" x14ac:dyDescent="0.3">
      <c r="A4279" t="s">
        <v>73</v>
      </c>
      <c r="B4279" t="str">
        <f>"002650"</f>
        <v>002650</v>
      </c>
      <c r="C4279" t="s">
        <v>8901</v>
      </c>
      <c r="D4279" t="s">
        <v>1851</v>
      </c>
      <c r="E4279">
        <v>47240086</v>
      </c>
      <c r="F4279">
        <v>52134409</v>
      </c>
      <c r="G4279">
        <v>74147829</v>
      </c>
      <c r="H4279">
        <v>90045678</v>
      </c>
      <c r="I4279">
        <v>103068143</v>
      </c>
      <c r="J4279">
        <v>82763008</v>
      </c>
      <c r="K4279">
        <v>66870871</v>
      </c>
      <c r="L4279">
        <v>53977568</v>
      </c>
      <c r="M4279">
        <v>38936741</v>
      </c>
      <c r="N4279">
        <v>59779792</v>
      </c>
      <c r="O4279">
        <v>24870508</v>
      </c>
      <c r="P4279">
        <v>207</v>
      </c>
      <c r="Q4279" t="s">
        <v>8902</v>
      </c>
    </row>
    <row r="4280" spans="1:17" x14ac:dyDescent="0.3">
      <c r="A4280" t="s">
        <v>17</v>
      </c>
      <c r="B4280" t="str">
        <f>"688049"</f>
        <v>688049</v>
      </c>
      <c r="C4280" t="s">
        <v>8903</v>
      </c>
      <c r="D4280" t="s">
        <v>890</v>
      </c>
      <c r="E4280">
        <v>47226550</v>
      </c>
      <c r="P4280">
        <v>21</v>
      </c>
      <c r="Q4280" t="s">
        <v>8904</v>
      </c>
    </row>
    <row r="4281" spans="1:17" x14ac:dyDescent="0.3">
      <c r="A4281" t="s">
        <v>73</v>
      </c>
      <c r="B4281" t="str">
        <f>"000088"</f>
        <v>000088</v>
      </c>
      <c r="C4281" t="s">
        <v>8905</v>
      </c>
      <c r="D4281" t="s">
        <v>706</v>
      </c>
      <c r="E4281">
        <v>47001649</v>
      </c>
      <c r="F4281">
        <v>21154303</v>
      </c>
      <c r="G4281">
        <v>54099017</v>
      </c>
      <c r="H4281">
        <v>23686540</v>
      </c>
      <c r="I4281">
        <v>24613867</v>
      </c>
      <c r="J4281">
        <v>26437423</v>
      </c>
      <c r="K4281">
        <v>18138682</v>
      </c>
      <c r="L4281">
        <v>27037820</v>
      </c>
      <c r="M4281">
        <v>23284483</v>
      </c>
      <c r="N4281">
        <v>22890215</v>
      </c>
      <c r="O4281">
        <v>18471286</v>
      </c>
      <c r="P4281">
        <v>170</v>
      </c>
      <c r="Q4281" t="s">
        <v>8906</v>
      </c>
    </row>
    <row r="4282" spans="1:17" x14ac:dyDescent="0.3">
      <c r="A4282" t="s">
        <v>17</v>
      </c>
      <c r="B4282" t="str">
        <f>"603587"</f>
        <v>603587</v>
      </c>
      <c r="C4282" t="s">
        <v>8907</v>
      </c>
      <c r="D4282" t="s">
        <v>991</v>
      </c>
      <c r="E4282">
        <v>46883742</v>
      </c>
      <c r="F4282">
        <v>51557971</v>
      </c>
      <c r="G4282">
        <v>48003820</v>
      </c>
      <c r="H4282">
        <v>53304112</v>
      </c>
      <c r="I4282">
        <v>46927577</v>
      </c>
      <c r="J4282">
        <v>0</v>
      </c>
      <c r="P4282">
        <v>1011</v>
      </c>
      <c r="Q4282" t="s">
        <v>8908</v>
      </c>
    </row>
    <row r="4283" spans="1:17" x14ac:dyDescent="0.3">
      <c r="A4283" t="s">
        <v>17</v>
      </c>
      <c r="B4283" t="str">
        <f>"688558"</f>
        <v>688558</v>
      </c>
      <c r="C4283" t="s">
        <v>8909</v>
      </c>
      <c r="D4283" t="s">
        <v>2332</v>
      </c>
      <c r="E4283">
        <v>46776234</v>
      </c>
      <c r="F4283">
        <v>53709880</v>
      </c>
      <c r="G4283">
        <v>46075683</v>
      </c>
      <c r="P4283">
        <v>95</v>
      </c>
      <c r="Q4283" t="s">
        <v>8910</v>
      </c>
    </row>
    <row r="4284" spans="1:17" x14ac:dyDescent="0.3">
      <c r="A4284" t="s">
        <v>17</v>
      </c>
      <c r="B4284" t="str">
        <f>"600714"</f>
        <v>600714</v>
      </c>
      <c r="C4284" t="s">
        <v>8911</v>
      </c>
      <c r="D4284" t="s">
        <v>2246</v>
      </c>
      <c r="E4284">
        <v>46600006</v>
      </c>
      <c r="F4284">
        <v>21146895</v>
      </c>
      <c r="G4284">
        <v>13352273</v>
      </c>
      <c r="H4284">
        <v>9593260</v>
      </c>
      <c r="I4284">
        <v>15354055</v>
      </c>
      <c r="J4284">
        <v>10541870</v>
      </c>
      <c r="K4284">
        <v>69196435</v>
      </c>
      <c r="L4284">
        <v>43785922</v>
      </c>
      <c r="M4284">
        <v>37385480</v>
      </c>
      <c r="N4284">
        <v>33753171</v>
      </c>
      <c r="O4284">
        <v>7303245</v>
      </c>
      <c r="P4284">
        <v>68</v>
      </c>
      <c r="Q4284" t="s">
        <v>8912</v>
      </c>
    </row>
    <row r="4285" spans="1:17" x14ac:dyDescent="0.3">
      <c r="A4285" t="s">
        <v>73</v>
      </c>
      <c r="B4285" t="str">
        <f>"000691"</f>
        <v>000691</v>
      </c>
      <c r="C4285" t="s">
        <v>8913</v>
      </c>
      <c r="D4285" t="s">
        <v>27</v>
      </c>
      <c r="E4285">
        <v>46499714</v>
      </c>
      <c r="F4285">
        <v>51292453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91</v>
      </c>
      <c r="Q4285" t="s">
        <v>8914</v>
      </c>
    </row>
    <row r="4286" spans="1:17" x14ac:dyDescent="0.3">
      <c r="A4286" t="s">
        <v>73</v>
      </c>
      <c r="B4286" t="str">
        <f>"000017"</f>
        <v>000017</v>
      </c>
      <c r="C4286" t="s">
        <v>8915</v>
      </c>
      <c r="D4286" t="s">
        <v>3193</v>
      </c>
      <c r="E4286">
        <v>46242686</v>
      </c>
      <c r="F4286">
        <v>47310280</v>
      </c>
      <c r="G4286">
        <v>41167474</v>
      </c>
      <c r="H4286">
        <v>35008606</v>
      </c>
      <c r="I4286">
        <v>32556168</v>
      </c>
      <c r="J4286">
        <v>14297372</v>
      </c>
      <c r="K4286">
        <v>9292076</v>
      </c>
      <c r="L4286">
        <v>3978568</v>
      </c>
      <c r="M4286">
        <v>3861641</v>
      </c>
      <c r="N4286">
        <v>1701675</v>
      </c>
      <c r="O4286">
        <v>1751123</v>
      </c>
      <c r="P4286">
        <v>64</v>
      </c>
      <c r="Q4286" t="s">
        <v>8916</v>
      </c>
    </row>
    <row r="4287" spans="1:17" x14ac:dyDescent="0.3">
      <c r="A4287" t="s">
        <v>73</v>
      </c>
      <c r="B4287" t="str">
        <f>"000617"</f>
        <v>000617</v>
      </c>
      <c r="C4287" t="s">
        <v>8917</v>
      </c>
      <c r="D4287" t="s">
        <v>3243</v>
      </c>
      <c r="E4287">
        <v>46110624</v>
      </c>
      <c r="F4287">
        <v>61910854</v>
      </c>
      <c r="G4287">
        <v>67395968</v>
      </c>
      <c r="H4287">
        <v>64161232</v>
      </c>
      <c r="I4287">
        <v>49673002</v>
      </c>
      <c r="J4287">
        <v>35025643</v>
      </c>
      <c r="K4287">
        <v>803266878</v>
      </c>
      <c r="L4287">
        <v>833384302</v>
      </c>
      <c r="M4287">
        <v>966988865</v>
      </c>
      <c r="N4287">
        <v>860305245</v>
      </c>
      <c r="O4287">
        <v>935677270</v>
      </c>
      <c r="P4287">
        <v>234</v>
      </c>
      <c r="Q4287" t="s">
        <v>8918</v>
      </c>
    </row>
    <row r="4288" spans="1:17" x14ac:dyDescent="0.3">
      <c r="A4288" t="s">
        <v>73</v>
      </c>
      <c r="B4288" t="str">
        <f>"002592"</f>
        <v>002592</v>
      </c>
      <c r="C4288" t="s">
        <v>8919</v>
      </c>
      <c r="D4288" t="s">
        <v>122</v>
      </c>
      <c r="E4288">
        <v>46028473</v>
      </c>
      <c r="F4288">
        <v>73816073</v>
      </c>
      <c r="G4288">
        <v>150850311</v>
      </c>
      <c r="H4288">
        <v>93818622</v>
      </c>
      <c r="I4288">
        <v>77918354</v>
      </c>
      <c r="J4288">
        <v>77273432</v>
      </c>
      <c r="K4288">
        <v>68195825</v>
      </c>
      <c r="L4288">
        <v>127633650</v>
      </c>
      <c r="M4288">
        <v>99201161</v>
      </c>
      <c r="N4288">
        <v>49256405</v>
      </c>
      <c r="O4288">
        <v>64746760</v>
      </c>
      <c r="P4288">
        <v>76</v>
      </c>
      <c r="Q4288" t="s">
        <v>8920</v>
      </c>
    </row>
    <row r="4289" spans="1:17" x14ac:dyDescent="0.3">
      <c r="A4289" t="s">
        <v>17</v>
      </c>
      <c r="B4289" t="str">
        <f>"600265"</f>
        <v>600265</v>
      </c>
      <c r="C4289" t="s">
        <v>8921</v>
      </c>
      <c r="D4289" t="s">
        <v>6046</v>
      </c>
      <c r="E4289">
        <v>46021166</v>
      </c>
      <c r="F4289">
        <v>3585838</v>
      </c>
      <c r="G4289">
        <v>12411707</v>
      </c>
      <c r="H4289">
        <v>23153323</v>
      </c>
      <c r="I4289">
        <v>427372</v>
      </c>
      <c r="J4289">
        <v>30239</v>
      </c>
      <c r="K4289">
        <v>476844</v>
      </c>
      <c r="L4289">
        <v>21041091</v>
      </c>
      <c r="M4289">
        <v>82679136</v>
      </c>
      <c r="N4289">
        <v>5906835</v>
      </c>
      <c r="O4289">
        <v>15701230</v>
      </c>
      <c r="P4289">
        <v>46</v>
      </c>
      <c r="Q4289" t="s">
        <v>8922</v>
      </c>
    </row>
    <row r="4290" spans="1:17" x14ac:dyDescent="0.3">
      <c r="A4290" t="s">
        <v>17</v>
      </c>
      <c r="B4290" t="str">
        <f>"600331"</f>
        <v>600331</v>
      </c>
      <c r="C4290" t="s">
        <v>8923</v>
      </c>
      <c r="D4290" t="s">
        <v>3053</v>
      </c>
      <c r="E4290">
        <v>45523444</v>
      </c>
      <c r="F4290">
        <v>38893654</v>
      </c>
      <c r="G4290">
        <v>17982468</v>
      </c>
      <c r="H4290">
        <v>43280656</v>
      </c>
      <c r="I4290">
        <v>31563810</v>
      </c>
      <c r="J4290">
        <v>43663590</v>
      </c>
      <c r="K4290">
        <v>44033855</v>
      </c>
      <c r="L4290">
        <v>38079404</v>
      </c>
      <c r="M4290">
        <v>20629165</v>
      </c>
      <c r="N4290">
        <v>12402407</v>
      </c>
      <c r="O4290">
        <v>118310956</v>
      </c>
      <c r="P4290">
        <v>117</v>
      </c>
      <c r="Q4290" t="s">
        <v>8924</v>
      </c>
    </row>
    <row r="4291" spans="1:17" x14ac:dyDescent="0.3">
      <c r="A4291" t="s">
        <v>73</v>
      </c>
      <c r="B4291" t="str">
        <f>"002749"</f>
        <v>002749</v>
      </c>
      <c r="C4291" t="s">
        <v>8925</v>
      </c>
      <c r="D4291" t="s">
        <v>272</v>
      </c>
      <c r="E4291">
        <v>45468160</v>
      </c>
      <c r="F4291">
        <v>20714362</v>
      </c>
      <c r="G4291">
        <v>29491123</v>
      </c>
      <c r="H4291">
        <v>23500227</v>
      </c>
      <c r="I4291">
        <v>29500914</v>
      </c>
      <c r="J4291">
        <v>25703750</v>
      </c>
      <c r="K4291">
        <v>26395642</v>
      </c>
      <c r="L4291">
        <v>29291484</v>
      </c>
      <c r="M4291">
        <v>0</v>
      </c>
      <c r="P4291">
        <v>9783</v>
      </c>
      <c r="Q4291" t="s">
        <v>8926</v>
      </c>
    </row>
    <row r="4292" spans="1:17" x14ac:dyDescent="0.3">
      <c r="A4292" t="s">
        <v>17</v>
      </c>
      <c r="B4292" t="str">
        <f>"900957"</f>
        <v>900957</v>
      </c>
      <c r="C4292" t="s">
        <v>8927</v>
      </c>
      <c r="E4292">
        <v>45334935.9793</v>
      </c>
      <c r="F4292">
        <v>35144852.290799998</v>
      </c>
      <c r="G4292">
        <v>26542772.602400001</v>
      </c>
      <c r="H4292">
        <v>25100369.245999999</v>
      </c>
      <c r="I4292">
        <v>18635122.926199999</v>
      </c>
      <c r="J4292">
        <v>22427350.241999999</v>
      </c>
      <c r="K4292">
        <v>13765305.4495</v>
      </c>
      <c r="L4292">
        <v>496410.91190000001</v>
      </c>
      <c r="M4292">
        <v>14037.84</v>
      </c>
      <c r="N4292">
        <v>0</v>
      </c>
      <c r="O4292">
        <v>0</v>
      </c>
      <c r="P4292">
        <v>2</v>
      </c>
      <c r="Q4292" t="s">
        <v>8928</v>
      </c>
    </row>
    <row r="4293" spans="1:17" x14ac:dyDescent="0.3">
      <c r="A4293" t="s">
        <v>73</v>
      </c>
      <c r="B4293" t="str">
        <f>"301113"</f>
        <v>301113</v>
      </c>
      <c r="C4293" t="s">
        <v>8929</v>
      </c>
      <c r="D4293" t="s">
        <v>3902</v>
      </c>
      <c r="E4293">
        <v>45271770</v>
      </c>
      <c r="P4293">
        <v>27</v>
      </c>
      <c r="Q4293" t="s">
        <v>8930</v>
      </c>
    </row>
    <row r="4294" spans="1:17" x14ac:dyDescent="0.3">
      <c r="A4294" t="s">
        <v>73</v>
      </c>
      <c r="B4294" t="str">
        <f>"002697"</f>
        <v>002697</v>
      </c>
      <c r="C4294" t="s">
        <v>8931</v>
      </c>
      <c r="D4294" t="s">
        <v>3633</v>
      </c>
      <c r="E4294">
        <v>45244066</v>
      </c>
      <c r="F4294">
        <v>52022508</v>
      </c>
      <c r="G4294">
        <v>41316736</v>
      </c>
      <c r="H4294">
        <v>31014779</v>
      </c>
      <c r="I4294">
        <v>27687221</v>
      </c>
      <c r="J4294">
        <v>18307072</v>
      </c>
      <c r="K4294">
        <v>16190624</v>
      </c>
      <c r="L4294">
        <v>6520104</v>
      </c>
      <c r="M4294">
        <v>3461900</v>
      </c>
      <c r="N4294">
        <v>3382030</v>
      </c>
      <c r="O4294">
        <v>0</v>
      </c>
      <c r="P4294">
        <v>503</v>
      </c>
      <c r="Q4294" t="s">
        <v>8932</v>
      </c>
    </row>
    <row r="4295" spans="1:17" x14ac:dyDescent="0.3">
      <c r="A4295" t="s">
        <v>73</v>
      </c>
      <c r="B4295" t="str">
        <f>"002187"</f>
        <v>002187</v>
      </c>
      <c r="C4295" t="s">
        <v>8933</v>
      </c>
      <c r="D4295" t="s">
        <v>638</v>
      </c>
      <c r="E4295">
        <v>44921909</v>
      </c>
      <c r="F4295">
        <v>47145454</v>
      </c>
      <c r="G4295">
        <v>105145111</v>
      </c>
      <c r="H4295">
        <v>137351133</v>
      </c>
      <c r="I4295">
        <v>149111262</v>
      </c>
      <c r="J4295">
        <v>148474114</v>
      </c>
      <c r="K4295">
        <v>36710537</v>
      </c>
      <c r="L4295">
        <v>66672407</v>
      </c>
      <c r="M4295">
        <v>67857810</v>
      </c>
      <c r="N4295">
        <v>77001548</v>
      </c>
      <c r="O4295">
        <v>48474844</v>
      </c>
      <c r="P4295">
        <v>147</v>
      </c>
      <c r="Q4295" t="s">
        <v>8934</v>
      </c>
    </row>
    <row r="4296" spans="1:17" x14ac:dyDescent="0.3">
      <c r="A4296" t="s">
        <v>73</v>
      </c>
      <c r="B4296" t="str">
        <f>"301083"</f>
        <v>301083</v>
      </c>
      <c r="C4296" t="s">
        <v>8935</v>
      </c>
      <c r="D4296" t="s">
        <v>1451</v>
      </c>
      <c r="E4296">
        <v>44650296</v>
      </c>
      <c r="P4296">
        <v>16</v>
      </c>
      <c r="Q4296" t="s">
        <v>8936</v>
      </c>
    </row>
    <row r="4297" spans="1:17" x14ac:dyDescent="0.3">
      <c r="A4297" t="s">
        <v>73</v>
      </c>
      <c r="B4297" t="str">
        <f>"000501"</f>
        <v>000501</v>
      </c>
      <c r="C4297" t="s">
        <v>8937</v>
      </c>
      <c r="D4297" t="s">
        <v>638</v>
      </c>
      <c r="E4297">
        <v>44524637</v>
      </c>
      <c r="F4297">
        <v>65723618</v>
      </c>
      <c r="G4297">
        <v>50761595</v>
      </c>
      <c r="H4297">
        <v>0</v>
      </c>
      <c r="I4297">
        <v>14505340</v>
      </c>
      <c r="J4297">
        <v>12991945</v>
      </c>
      <c r="K4297">
        <v>13506540</v>
      </c>
      <c r="L4297">
        <v>13167459</v>
      </c>
      <c r="M4297">
        <v>12993706</v>
      </c>
      <c r="N4297">
        <v>14146245</v>
      </c>
      <c r="O4297">
        <v>17674269</v>
      </c>
      <c r="P4297">
        <v>6225</v>
      </c>
      <c r="Q4297" t="s">
        <v>8938</v>
      </c>
    </row>
    <row r="4298" spans="1:17" x14ac:dyDescent="0.3">
      <c r="A4298" t="s">
        <v>73</v>
      </c>
      <c r="B4298" t="str">
        <f>"002858"</f>
        <v>002858</v>
      </c>
      <c r="C4298" t="s">
        <v>8939</v>
      </c>
      <c r="D4298" t="s">
        <v>3944</v>
      </c>
      <c r="E4298">
        <v>44523868</v>
      </c>
      <c r="F4298">
        <v>84448528</v>
      </c>
      <c r="G4298">
        <v>151897539</v>
      </c>
      <c r="H4298">
        <v>182919957</v>
      </c>
      <c r="I4298">
        <v>112219134</v>
      </c>
      <c r="J4298">
        <v>69416725</v>
      </c>
      <c r="P4298">
        <v>75</v>
      </c>
      <c r="Q4298" t="s">
        <v>8940</v>
      </c>
    </row>
    <row r="4299" spans="1:17" x14ac:dyDescent="0.3">
      <c r="A4299" t="s">
        <v>73</v>
      </c>
      <c r="B4299" t="str">
        <f>"000736"</f>
        <v>000736</v>
      </c>
      <c r="C4299" t="s">
        <v>8941</v>
      </c>
      <c r="D4299" t="s">
        <v>27</v>
      </c>
      <c r="E4299">
        <v>44210934</v>
      </c>
      <c r="F4299">
        <v>13598165</v>
      </c>
      <c r="G4299">
        <v>20391011</v>
      </c>
      <c r="H4299">
        <v>0</v>
      </c>
      <c r="I4299">
        <v>1203160</v>
      </c>
      <c r="J4299">
        <v>4880413</v>
      </c>
      <c r="K4299">
        <v>215787</v>
      </c>
      <c r="L4299">
        <v>657684</v>
      </c>
      <c r="M4299">
        <v>463128</v>
      </c>
      <c r="N4299">
        <v>1264604</v>
      </c>
      <c r="O4299">
        <v>1209879</v>
      </c>
      <c r="P4299">
        <v>189</v>
      </c>
      <c r="Q4299" t="s">
        <v>8942</v>
      </c>
    </row>
    <row r="4300" spans="1:17" x14ac:dyDescent="0.3">
      <c r="A4300" t="s">
        <v>73</v>
      </c>
      <c r="B4300" t="str">
        <f>"300288"</f>
        <v>300288</v>
      </c>
      <c r="C4300" t="s">
        <v>8943</v>
      </c>
      <c r="D4300" t="s">
        <v>302</v>
      </c>
      <c r="E4300">
        <v>43979605</v>
      </c>
      <c r="F4300">
        <v>47899846</v>
      </c>
      <c r="G4300">
        <v>56687999</v>
      </c>
      <c r="H4300">
        <v>93604724</v>
      </c>
      <c r="I4300">
        <v>77257364</v>
      </c>
      <c r="J4300">
        <v>79424596</v>
      </c>
      <c r="K4300">
        <v>77488971</v>
      </c>
      <c r="L4300">
        <v>65210662</v>
      </c>
      <c r="M4300">
        <v>64873369</v>
      </c>
      <c r="N4300">
        <v>58717379</v>
      </c>
      <c r="O4300">
        <v>42789423</v>
      </c>
      <c r="P4300">
        <v>221</v>
      </c>
      <c r="Q4300" t="s">
        <v>8944</v>
      </c>
    </row>
    <row r="4301" spans="1:17" x14ac:dyDescent="0.3">
      <c r="A4301" t="s">
        <v>17</v>
      </c>
      <c r="B4301" t="str">
        <f>"600738"</f>
        <v>600738</v>
      </c>
      <c r="C4301" t="s">
        <v>8945</v>
      </c>
      <c r="D4301" t="s">
        <v>638</v>
      </c>
      <c r="E4301">
        <v>43918779</v>
      </c>
      <c r="F4301">
        <v>708210</v>
      </c>
      <c r="G4301">
        <v>953445</v>
      </c>
      <c r="H4301">
        <v>2295325</v>
      </c>
      <c r="I4301">
        <v>1860271</v>
      </c>
      <c r="J4301">
        <v>1139708</v>
      </c>
      <c r="K4301">
        <v>1542733</v>
      </c>
      <c r="L4301">
        <v>131651</v>
      </c>
      <c r="M4301">
        <v>4091</v>
      </c>
      <c r="N4301">
        <v>0</v>
      </c>
      <c r="O4301">
        <v>155100</v>
      </c>
      <c r="P4301">
        <v>153</v>
      </c>
      <c r="Q4301" t="s">
        <v>8946</v>
      </c>
    </row>
    <row r="4302" spans="1:17" x14ac:dyDescent="0.3">
      <c r="A4302" t="s">
        <v>17</v>
      </c>
      <c r="B4302" t="str">
        <f>"688072"</f>
        <v>688072</v>
      </c>
      <c r="C4302" t="s">
        <v>8947</v>
      </c>
      <c r="E4302">
        <v>43810418</v>
      </c>
      <c r="F4302">
        <v>74637952</v>
      </c>
      <c r="P4302">
        <v>5</v>
      </c>
      <c r="Q4302" t="s">
        <v>8948</v>
      </c>
    </row>
    <row r="4303" spans="1:17" x14ac:dyDescent="0.3">
      <c r="A4303" t="s">
        <v>17</v>
      </c>
      <c r="B4303" t="str">
        <f>"688488"</f>
        <v>688488</v>
      </c>
      <c r="C4303" t="s">
        <v>8949</v>
      </c>
      <c r="D4303" t="s">
        <v>1505</v>
      </c>
      <c r="E4303">
        <v>43756846</v>
      </c>
      <c r="F4303">
        <v>106852371</v>
      </c>
      <c r="G4303">
        <v>108546167</v>
      </c>
      <c r="P4303">
        <v>44</v>
      </c>
      <c r="Q4303" t="s">
        <v>8950</v>
      </c>
    </row>
    <row r="4304" spans="1:17" x14ac:dyDescent="0.3">
      <c r="A4304" t="s">
        <v>17</v>
      </c>
      <c r="B4304" t="str">
        <f>"688259"</f>
        <v>688259</v>
      </c>
      <c r="C4304" t="s">
        <v>8951</v>
      </c>
      <c r="D4304" t="s">
        <v>890</v>
      </c>
      <c r="E4304">
        <v>43505239</v>
      </c>
      <c r="P4304">
        <v>17</v>
      </c>
      <c r="Q4304" t="s">
        <v>8952</v>
      </c>
    </row>
    <row r="4305" spans="1:17" x14ac:dyDescent="0.3">
      <c r="A4305" t="s">
        <v>17</v>
      </c>
      <c r="B4305" t="str">
        <f>"688112"</f>
        <v>688112</v>
      </c>
      <c r="C4305" t="s">
        <v>8953</v>
      </c>
      <c r="D4305" t="s">
        <v>2280</v>
      </c>
      <c r="E4305">
        <v>43261401</v>
      </c>
      <c r="P4305">
        <v>42</v>
      </c>
      <c r="Q4305" t="s">
        <v>8954</v>
      </c>
    </row>
    <row r="4306" spans="1:17" x14ac:dyDescent="0.3">
      <c r="A4306" t="s">
        <v>73</v>
      </c>
      <c r="B4306" t="str">
        <f>"000987"</f>
        <v>000987</v>
      </c>
      <c r="C4306" t="s">
        <v>8955</v>
      </c>
      <c r="D4306" t="s">
        <v>3243</v>
      </c>
      <c r="E4306">
        <v>43083146</v>
      </c>
      <c r="F4306">
        <v>53235573</v>
      </c>
      <c r="G4306">
        <v>39723472</v>
      </c>
      <c r="H4306">
        <v>541481451</v>
      </c>
      <c r="I4306">
        <v>182477377</v>
      </c>
      <c r="J4306">
        <v>171412588</v>
      </c>
      <c r="K4306">
        <v>725612</v>
      </c>
      <c r="L4306">
        <v>820525</v>
      </c>
      <c r="M4306">
        <v>1312503</v>
      </c>
      <c r="N4306">
        <v>620566</v>
      </c>
      <c r="O4306">
        <v>550695</v>
      </c>
      <c r="P4306">
        <v>520</v>
      </c>
      <c r="Q4306" t="s">
        <v>8956</v>
      </c>
    </row>
    <row r="4307" spans="1:17" x14ac:dyDescent="0.3">
      <c r="A4307" t="s">
        <v>73</v>
      </c>
      <c r="B4307" t="str">
        <f>"002622"</f>
        <v>002622</v>
      </c>
      <c r="C4307" t="s">
        <v>8957</v>
      </c>
      <c r="D4307" t="s">
        <v>224</v>
      </c>
      <c r="E4307">
        <v>42991129</v>
      </c>
      <c r="F4307">
        <v>44491531</v>
      </c>
      <c r="G4307">
        <v>71120419</v>
      </c>
      <c r="H4307">
        <v>123059442</v>
      </c>
      <c r="I4307">
        <v>81448941</v>
      </c>
      <c r="J4307">
        <v>54147466</v>
      </c>
      <c r="K4307">
        <v>43701185</v>
      </c>
      <c r="L4307">
        <v>37314802</v>
      </c>
      <c r="M4307">
        <v>36438070</v>
      </c>
      <c r="N4307">
        <v>42777338</v>
      </c>
      <c r="O4307">
        <v>58592460</v>
      </c>
      <c r="P4307">
        <v>120</v>
      </c>
      <c r="Q4307" t="s">
        <v>8958</v>
      </c>
    </row>
    <row r="4308" spans="1:17" x14ac:dyDescent="0.3">
      <c r="A4308" t="s">
        <v>73</v>
      </c>
      <c r="B4308" t="str">
        <f>"002133"</f>
        <v>002133</v>
      </c>
      <c r="C4308" t="s">
        <v>8959</v>
      </c>
      <c r="D4308" t="s">
        <v>27</v>
      </c>
      <c r="E4308">
        <v>42715889</v>
      </c>
      <c r="F4308">
        <v>51092969</v>
      </c>
      <c r="G4308">
        <v>48185451</v>
      </c>
      <c r="H4308">
        <v>60604678</v>
      </c>
      <c r="I4308">
        <v>25408713</v>
      </c>
      <c r="J4308">
        <v>24516732</v>
      </c>
      <c r="K4308">
        <v>13442677</v>
      </c>
      <c r="L4308">
        <v>28461817</v>
      </c>
      <c r="M4308">
        <v>7564365</v>
      </c>
      <c r="N4308">
        <v>580482</v>
      </c>
      <c r="O4308">
        <v>22538</v>
      </c>
      <c r="P4308">
        <v>132</v>
      </c>
      <c r="Q4308" t="s">
        <v>8960</v>
      </c>
    </row>
    <row r="4309" spans="1:17" x14ac:dyDescent="0.3">
      <c r="A4309" t="s">
        <v>73</v>
      </c>
      <c r="B4309" t="str">
        <f>"000717"</f>
        <v>000717</v>
      </c>
      <c r="C4309" t="s">
        <v>8961</v>
      </c>
      <c r="D4309" t="s">
        <v>5603</v>
      </c>
      <c r="E4309">
        <v>42674599</v>
      </c>
      <c r="F4309">
        <v>148203885</v>
      </c>
      <c r="G4309">
        <v>46227741</v>
      </c>
      <c r="H4309">
        <v>78909569</v>
      </c>
      <c r="I4309">
        <v>632308881</v>
      </c>
      <c r="J4309">
        <v>368940811</v>
      </c>
      <c r="K4309">
        <v>128120286</v>
      </c>
      <c r="L4309">
        <v>118162281</v>
      </c>
      <c r="M4309">
        <v>306969316</v>
      </c>
      <c r="N4309">
        <v>202090625</v>
      </c>
      <c r="O4309">
        <v>199357484</v>
      </c>
      <c r="P4309">
        <v>681</v>
      </c>
      <c r="Q4309" t="s">
        <v>8962</v>
      </c>
    </row>
    <row r="4310" spans="1:17" x14ac:dyDescent="0.3">
      <c r="A4310" t="s">
        <v>73</v>
      </c>
      <c r="B4310" t="str">
        <f>"002910"</f>
        <v>002910</v>
      </c>
      <c r="C4310" t="s">
        <v>8963</v>
      </c>
      <c r="D4310" t="s">
        <v>1027</v>
      </c>
      <c r="E4310">
        <v>42628898</v>
      </c>
      <c r="F4310">
        <v>46578034</v>
      </c>
      <c r="G4310">
        <v>28565075</v>
      </c>
      <c r="H4310">
        <v>36907924</v>
      </c>
      <c r="I4310">
        <v>25082996</v>
      </c>
      <c r="P4310">
        <v>147</v>
      </c>
      <c r="Q4310" t="s">
        <v>8964</v>
      </c>
    </row>
    <row r="4311" spans="1:17" x14ac:dyDescent="0.3">
      <c r="A4311" t="s">
        <v>17</v>
      </c>
      <c r="B4311" t="str">
        <f>"600408"</f>
        <v>600408</v>
      </c>
      <c r="C4311" t="s">
        <v>8965</v>
      </c>
      <c r="D4311" t="s">
        <v>1651</v>
      </c>
      <c r="E4311">
        <v>42373557</v>
      </c>
      <c r="F4311">
        <v>769316064</v>
      </c>
      <c r="G4311">
        <v>1185172767</v>
      </c>
      <c r="H4311">
        <v>1188684069</v>
      </c>
      <c r="I4311">
        <v>1107134480</v>
      </c>
      <c r="J4311">
        <v>1666981240</v>
      </c>
      <c r="K4311">
        <v>1677294092</v>
      </c>
      <c r="L4311">
        <v>2012345600</v>
      </c>
      <c r="M4311">
        <v>1223352372</v>
      </c>
      <c r="N4311">
        <v>722005336</v>
      </c>
      <c r="O4311">
        <v>777147792</v>
      </c>
      <c r="P4311">
        <v>93</v>
      </c>
      <c r="Q4311" t="s">
        <v>8966</v>
      </c>
    </row>
    <row r="4312" spans="1:17" x14ac:dyDescent="0.3">
      <c r="A4312" t="s">
        <v>17</v>
      </c>
      <c r="B4312" t="str">
        <f>"688198"</f>
        <v>688198</v>
      </c>
      <c r="C4312" t="s">
        <v>8967</v>
      </c>
      <c r="D4312" t="s">
        <v>1523</v>
      </c>
      <c r="E4312">
        <v>42234628</v>
      </c>
      <c r="F4312">
        <v>30064341</v>
      </c>
      <c r="G4312">
        <v>816097</v>
      </c>
      <c r="P4312">
        <v>190</v>
      </c>
      <c r="Q4312" t="s">
        <v>8968</v>
      </c>
    </row>
    <row r="4313" spans="1:17" x14ac:dyDescent="0.3">
      <c r="A4313" t="s">
        <v>17</v>
      </c>
      <c r="B4313" t="str">
        <f>"600052"</f>
        <v>600052</v>
      </c>
      <c r="C4313" t="s">
        <v>8969</v>
      </c>
      <c r="D4313" t="s">
        <v>1306</v>
      </c>
      <c r="E4313">
        <v>42032890</v>
      </c>
      <c r="F4313">
        <v>20520361</v>
      </c>
      <c r="G4313">
        <v>71698726</v>
      </c>
      <c r="H4313">
        <v>166913075</v>
      </c>
      <c r="I4313">
        <v>73894832</v>
      </c>
      <c r="J4313">
        <v>60550992</v>
      </c>
      <c r="K4313">
        <v>10372508</v>
      </c>
      <c r="L4313">
        <v>18790263</v>
      </c>
      <c r="M4313">
        <v>19030357</v>
      </c>
      <c r="N4313">
        <v>11131960</v>
      </c>
      <c r="O4313">
        <v>40992010</v>
      </c>
      <c r="P4313">
        <v>133</v>
      </c>
      <c r="Q4313" t="s">
        <v>8970</v>
      </c>
    </row>
    <row r="4314" spans="1:17" x14ac:dyDescent="0.3">
      <c r="A4314" t="s">
        <v>17</v>
      </c>
      <c r="B4314" t="str">
        <f>"688056"</f>
        <v>688056</v>
      </c>
      <c r="C4314" t="s">
        <v>8971</v>
      </c>
      <c r="D4314" t="s">
        <v>2280</v>
      </c>
      <c r="E4314">
        <v>41991957</v>
      </c>
      <c r="F4314">
        <v>31354604</v>
      </c>
      <c r="G4314">
        <v>0</v>
      </c>
      <c r="P4314">
        <v>50</v>
      </c>
      <c r="Q4314" t="s">
        <v>8972</v>
      </c>
    </row>
    <row r="4315" spans="1:17" x14ac:dyDescent="0.3">
      <c r="A4315" t="s">
        <v>17</v>
      </c>
      <c r="B4315" t="str">
        <f>"600825"</f>
        <v>600825</v>
      </c>
      <c r="C4315" t="s">
        <v>8973</v>
      </c>
      <c r="D4315" t="s">
        <v>1921</v>
      </c>
      <c r="E4315">
        <v>41813380</v>
      </c>
      <c r="F4315">
        <v>40079710</v>
      </c>
      <c r="G4315">
        <v>34939221</v>
      </c>
      <c r="H4315">
        <v>42851047</v>
      </c>
      <c r="I4315">
        <v>37186383</v>
      </c>
      <c r="J4315">
        <v>70924667</v>
      </c>
      <c r="K4315">
        <v>97415022</v>
      </c>
      <c r="L4315">
        <v>147329057</v>
      </c>
      <c r="M4315">
        <v>268892581</v>
      </c>
      <c r="N4315">
        <v>298261359</v>
      </c>
      <c r="O4315">
        <v>302554445</v>
      </c>
      <c r="P4315">
        <v>84</v>
      </c>
      <c r="Q4315" t="s">
        <v>8974</v>
      </c>
    </row>
    <row r="4316" spans="1:17" x14ac:dyDescent="0.3">
      <c r="A4316" t="s">
        <v>73</v>
      </c>
      <c r="B4316" t="str">
        <f>"002903"</f>
        <v>002903</v>
      </c>
      <c r="C4316" t="s">
        <v>8975</v>
      </c>
      <c r="D4316" t="s">
        <v>2332</v>
      </c>
      <c r="E4316">
        <v>41463921</v>
      </c>
      <c r="F4316">
        <v>67280338</v>
      </c>
      <c r="G4316">
        <v>73658643</v>
      </c>
      <c r="H4316">
        <v>110446578</v>
      </c>
      <c r="I4316">
        <v>78705358</v>
      </c>
      <c r="P4316">
        <v>143</v>
      </c>
      <c r="Q4316" t="s">
        <v>8976</v>
      </c>
    </row>
    <row r="4317" spans="1:17" x14ac:dyDescent="0.3">
      <c r="A4317" t="s">
        <v>73</v>
      </c>
      <c r="B4317" t="str">
        <f>"000622"</f>
        <v>000622</v>
      </c>
      <c r="C4317" t="s">
        <v>8977</v>
      </c>
      <c r="D4317" t="s">
        <v>466</v>
      </c>
      <c r="E4317">
        <v>41276106</v>
      </c>
      <c r="F4317">
        <v>107500592</v>
      </c>
      <c r="G4317">
        <v>35642597</v>
      </c>
      <c r="H4317">
        <v>152805527</v>
      </c>
      <c r="I4317">
        <v>29539775</v>
      </c>
      <c r="J4317">
        <v>12501697</v>
      </c>
      <c r="K4317">
        <v>24079971</v>
      </c>
      <c r="L4317">
        <v>29516358</v>
      </c>
      <c r="M4317">
        <v>33715922</v>
      </c>
      <c r="N4317">
        <v>44500728</v>
      </c>
      <c r="O4317">
        <v>29279179</v>
      </c>
      <c r="P4317">
        <v>101</v>
      </c>
      <c r="Q4317" t="s">
        <v>8978</v>
      </c>
    </row>
    <row r="4318" spans="1:17" x14ac:dyDescent="0.3">
      <c r="A4318" t="s">
        <v>73</v>
      </c>
      <c r="B4318" t="str">
        <f>"000025"</f>
        <v>000025</v>
      </c>
      <c r="C4318" t="s">
        <v>8979</v>
      </c>
      <c r="D4318" t="s">
        <v>415</v>
      </c>
      <c r="E4318">
        <v>41155924</v>
      </c>
      <c r="F4318">
        <v>50857818</v>
      </c>
      <c r="G4318">
        <v>107271731</v>
      </c>
      <c r="H4318">
        <v>97458548</v>
      </c>
      <c r="I4318">
        <v>62315732</v>
      </c>
      <c r="J4318">
        <v>1284055</v>
      </c>
      <c r="K4318">
        <v>2686228</v>
      </c>
      <c r="L4318">
        <v>2587464</v>
      </c>
      <c r="M4318">
        <v>4534223</v>
      </c>
      <c r="N4318">
        <v>6018770</v>
      </c>
      <c r="O4318">
        <v>6741643</v>
      </c>
      <c r="P4318">
        <v>140</v>
      </c>
      <c r="Q4318" t="s">
        <v>8980</v>
      </c>
    </row>
    <row r="4319" spans="1:17" x14ac:dyDescent="0.3">
      <c r="A4319" t="s">
        <v>73</v>
      </c>
      <c r="B4319" t="str">
        <f>"000752"</f>
        <v>000752</v>
      </c>
      <c r="C4319" t="s">
        <v>8981</v>
      </c>
      <c r="D4319" t="s">
        <v>5451</v>
      </c>
      <c r="E4319">
        <v>41131582</v>
      </c>
      <c r="F4319">
        <v>0</v>
      </c>
      <c r="G4319">
        <v>18257964</v>
      </c>
      <c r="H4319">
        <v>468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661224</v>
      </c>
      <c r="O4319">
        <v>16063641</v>
      </c>
      <c r="P4319">
        <v>103</v>
      </c>
      <c r="Q4319" t="s">
        <v>8982</v>
      </c>
    </row>
    <row r="4320" spans="1:17" x14ac:dyDescent="0.3">
      <c r="A4320" t="s">
        <v>73</v>
      </c>
      <c r="B4320" t="str">
        <f>"300417"</f>
        <v>300417</v>
      </c>
      <c r="C4320" t="s">
        <v>8983</v>
      </c>
      <c r="D4320" t="s">
        <v>2280</v>
      </c>
      <c r="E4320">
        <v>41103648</v>
      </c>
      <c r="F4320">
        <v>59321705</v>
      </c>
      <c r="G4320">
        <v>58895084</v>
      </c>
      <c r="H4320">
        <v>26792883</v>
      </c>
      <c r="I4320">
        <v>32327579</v>
      </c>
      <c r="J4320">
        <v>42590449</v>
      </c>
      <c r="K4320">
        <v>40506174</v>
      </c>
      <c r="L4320">
        <v>44265810</v>
      </c>
      <c r="M4320">
        <v>0</v>
      </c>
      <c r="P4320">
        <v>196</v>
      </c>
      <c r="Q4320" t="s">
        <v>8984</v>
      </c>
    </row>
    <row r="4321" spans="1:17" x14ac:dyDescent="0.3">
      <c r="A4321" t="s">
        <v>17</v>
      </c>
      <c r="B4321" t="str">
        <f>"600719"</f>
        <v>600719</v>
      </c>
      <c r="C4321" t="s">
        <v>8985</v>
      </c>
      <c r="D4321" t="s">
        <v>1106</v>
      </c>
      <c r="E4321">
        <v>41092984</v>
      </c>
      <c r="F4321">
        <v>48109855</v>
      </c>
      <c r="G4321">
        <v>46362977</v>
      </c>
      <c r="H4321">
        <v>107181336</v>
      </c>
      <c r="I4321">
        <v>70751558</v>
      </c>
      <c r="J4321">
        <v>62870547</v>
      </c>
      <c r="K4321">
        <v>87819700</v>
      </c>
      <c r="L4321">
        <v>78065761</v>
      </c>
      <c r="M4321">
        <v>164209844</v>
      </c>
      <c r="N4321">
        <v>312706520</v>
      </c>
      <c r="O4321">
        <v>315601972</v>
      </c>
      <c r="P4321">
        <v>68</v>
      </c>
      <c r="Q4321" t="s">
        <v>8986</v>
      </c>
    </row>
    <row r="4322" spans="1:17" x14ac:dyDescent="0.3">
      <c r="A4322" t="s">
        <v>73</v>
      </c>
      <c r="B4322" t="str">
        <f>"002495"</f>
        <v>002495</v>
      </c>
      <c r="C4322" t="s">
        <v>8987</v>
      </c>
      <c r="D4322" t="s">
        <v>1851</v>
      </c>
      <c r="E4322">
        <v>40928259</v>
      </c>
      <c r="F4322">
        <v>47387831</v>
      </c>
      <c r="G4322">
        <v>19179499</v>
      </c>
      <c r="H4322">
        <v>11319200</v>
      </c>
      <c r="I4322">
        <v>17770197</v>
      </c>
      <c r="J4322">
        <v>11850186</v>
      </c>
      <c r="K4322">
        <v>14959258</v>
      </c>
      <c r="L4322">
        <v>25914479</v>
      </c>
      <c r="M4322">
        <v>75798782</v>
      </c>
      <c r="N4322">
        <v>74051324</v>
      </c>
      <c r="O4322">
        <v>90465516</v>
      </c>
      <c r="P4322">
        <v>113</v>
      </c>
      <c r="Q4322" t="s">
        <v>8988</v>
      </c>
    </row>
    <row r="4323" spans="1:17" x14ac:dyDescent="0.3">
      <c r="A4323" t="s">
        <v>73</v>
      </c>
      <c r="B4323" t="str">
        <f>"000638"</f>
        <v>000638</v>
      </c>
      <c r="C4323" t="s">
        <v>8989</v>
      </c>
      <c r="D4323" t="s">
        <v>302</v>
      </c>
      <c r="E4323">
        <v>40867531</v>
      </c>
      <c r="F4323">
        <v>69044325</v>
      </c>
      <c r="G4323">
        <v>73028776</v>
      </c>
      <c r="H4323">
        <v>73765728</v>
      </c>
      <c r="I4323">
        <v>56190469</v>
      </c>
      <c r="J4323">
        <v>759719</v>
      </c>
      <c r="K4323">
        <v>5914472</v>
      </c>
      <c r="L4323">
        <v>11595255</v>
      </c>
      <c r="M4323">
        <v>13713777</v>
      </c>
      <c r="N4323">
        <v>10335501</v>
      </c>
      <c r="O4323">
        <v>187409506</v>
      </c>
      <c r="P4323">
        <v>87</v>
      </c>
      <c r="Q4323" t="s">
        <v>8990</v>
      </c>
    </row>
    <row r="4324" spans="1:17" x14ac:dyDescent="0.3">
      <c r="A4324" t="s">
        <v>17</v>
      </c>
      <c r="B4324" t="str">
        <f>"688578"</f>
        <v>688578</v>
      </c>
      <c r="C4324" t="s">
        <v>8991</v>
      </c>
      <c r="D4324" t="s">
        <v>348</v>
      </c>
      <c r="E4324">
        <v>40043304</v>
      </c>
      <c r="F4324">
        <v>37355457</v>
      </c>
      <c r="G4324">
        <v>0</v>
      </c>
      <c r="P4324">
        <v>47</v>
      </c>
      <c r="Q4324" t="s">
        <v>8992</v>
      </c>
    </row>
    <row r="4325" spans="1:17" x14ac:dyDescent="0.3">
      <c r="A4325" t="s">
        <v>17</v>
      </c>
      <c r="B4325" t="str">
        <f>"600543"</f>
        <v>600543</v>
      </c>
      <c r="C4325" t="s">
        <v>8993</v>
      </c>
      <c r="D4325" t="s">
        <v>7055</v>
      </c>
      <c r="E4325">
        <v>40036514</v>
      </c>
      <c r="F4325">
        <v>66579186</v>
      </c>
      <c r="G4325">
        <v>86007674</v>
      </c>
      <c r="H4325">
        <v>75529296</v>
      </c>
      <c r="I4325">
        <v>37631081</v>
      </c>
      <c r="J4325">
        <v>10252917</v>
      </c>
      <c r="K4325">
        <v>27515251</v>
      </c>
      <c r="L4325">
        <v>38141083</v>
      </c>
      <c r="M4325">
        <v>62456822</v>
      </c>
      <c r="N4325">
        <v>67392852</v>
      </c>
      <c r="O4325">
        <v>51946928</v>
      </c>
      <c r="P4325">
        <v>150</v>
      </c>
      <c r="Q4325" t="s">
        <v>8994</v>
      </c>
    </row>
    <row r="4326" spans="1:17" x14ac:dyDescent="0.3">
      <c r="A4326" t="s">
        <v>73</v>
      </c>
      <c r="B4326" t="str">
        <f>"002494"</f>
        <v>002494</v>
      </c>
      <c r="C4326" t="s">
        <v>8995</v>
      </c>
      <c r="D4326" t="s">
        <v>991</v>
      </c>
      <c r="E4326">
        <v>40005884</v>
      </c>
      <c r="F4326">
        <v>49164077</v>
      </c>
      <c r="G4326">
        <v>90919660</v>
      </c>
      <c r="H4326">
        <v>96622622</v>
      </c>
      <c r="I4326">
        <v>109107799</v>
      </c>
      <c r="J4326">
        <v>93361762</v>
      </c>
      <c r="K4326">
        <v>113883478</v>
      </c>
      <c r="L4326">
        <v>133434479</v>
      </c>
      <c r="M4326">
        <v>68128741</v>
      </c>
      <c r="N4326">
        <v>27536589</v>
      </c>
      <c r="O4326">
        <v>18435015</v>
      </c>
      <c r="P4326">
        <v>81</v>
      </c>
      <c r="Q4326" t="s">
        <v>8996</v>
      </c>
    </row>
    <row r="4327" spans="1:17" x14ac:dyDescent="0.3">
      <c r="A4327" t="s">
        <v>73</v>
      </c>
      <c r="B4327" t="str">
        <f>"002780"</f>
        <v>002780</v>
      </c>
      <c r="C4327" t="s">
        <v>8997</v>
      </c>
      <c r="D4327" t="s">
        <v>4435</v>
      </c>
      <c r="E4327">
        <v>39995016</v>
      </c>
      <c r="F4327">
        <v>63455509</v>
      </c>
      <c r="G4327">
        <v>47712929</v>
      </c>
      <c r="H4327">
        <v>13228845</v>
      </c>
      <c r="I4327">
        <v>46536198</v>
      </c>
      <c r="J4327">
        <v>48633539</v>
      </c>
      <c r="K4327">
        <v>37872116</v>
      </c>
      <c r="L4327">
        <v>0</v>
      </c>
      <c r="M4327">
        <v>0</v>
      </c>
      <c r="P4327">
        <v>85</v>
      </c>
      <c r="Q4327" t="s">
        <v>8998</v>
      </c>
    </row>
    <row r="4328" spans="1:17" x14ac:dyDescent="0.3">
      <c r="A4328" t="s">
        <v>73</v>
      </c>
      <c r="B4328" t="str">
        <f>"002607"</f>
        <v>002607</v>
      </c>
      <c r="C4328" t="s">
        <v>8999</v>
      </c>
      <c r="D4328" t="s">
        <v>4778</v>
      </c>
      <c r="E4328">
        <v>39875288</v>
      </c>
      <c r="F4328">
        <v>26029435</v>
      </c>
      <c r="G4328">
        <v>8414292</v>
      </c>
      <c r="H4328">
        <v>9583918</v>
      </c>
      <c r="I4328">
        <v>55915211</v>
      </c>
      <c r="J4328">
        <v>41674989</v>
      </c>
      <c r="K4328">
        <v>29158313</v>
      </c>
      <c r="L4328">
        <v>37937731</v>
      </c>
      <c r="M4328">
        <v>17370868</v>
      </c>
      <c r="N4328">
        <v>14815965</v>
      </c>
      <c r="O4328">
        <v>15055794</v>
      </c>
      <c r="P4328">
        <v>1791</v>
      </c>
      <c r="Q4328" t="s">
        <v>9000</v>
      </c>
    </row>
    <row r="4329" spans="1:17" x14ac:dyDescent="0.3">
      <c r="A4329" t="s">
        <v>73</v>
      </c>
      <c r="B4329" t="str">
        <f>"300624"</f>
        <v>300624</v>
      </c>
      <c r="C4329" t="s">
        <v>9001</v>
      </c>
      <c r="D4329" t="s">
        <v>404</v>
      </c>
      <c r="E4329">
        <v>39437862</v>
      </c>
      <c r="F4329">
        <v>24201692</v>
      </c>
      <c r="G4329">
        <v>17214015</v>
      </c>
      <c r="H4329">
        <v>28046420</v>
      </c>
      <c r="I4329">
        <v>13717784</v>
      </c>
      <c r="J4329">
        <v>0</v>
      </c>
      <c r="P4329">
        <v>332</v>
      </c>
      <c r="Q4329" t="s">
        <v>9002</v>
      </c>
    </row>
    <row r="4330" spans="1:17" x14ac:dyDescent="0.3">
      <c r="A4330" t="s">
        <v>73</v>
      </c>
      <c r="B4330" t="str">
        <f>"300813"</f>
        <v>300813</v>
      </c>
      <c r="C4330" t="s">
        <v>9003</v>
      </c>
      <c r="D4330" t="s">
        <v>1451</v>
      </c>
      <c r="E4330">
        <v>39318764</v>
      </c>
      <c r="F4330">
        <v>18189447</v>
      </c>
      <c r="G4330">
        <v>25820437</v>
      </c>
      <c r="H4330">
        <v>0</v>
      </c>
      <c r="P4330">
        <v>106</v>
      </c>
      <c r="Q4330" t="s">
        <v>9004</v>
      </c>
    </row>
    <row r="4331" spans="1:17" x14ac:dyDescent="0.3">
      <c r="A4331" t="s">
        <v>73</v>
      </c>
      <c r="B4331" t="str">
        <f>"301097"</f>
        <v>301097</v>
      </c>
      <c r="C4331" t="s">
        <v>9005</v>
      </c>
      <c r="E4331">
        <v>39234822</v>
      </c>
      <c r="P4331">
        <v>2</v>
      </c>
      <c r="Q4331" t="s">
        <v>9006</v>
      </c>
    </row>
    <row r="4332" spans="1:17" x14ac:dyDescent="0.3">
      <c r="A4332" t="s">
        <v>17</v>
      </c>
      <c r="B4332" t="str">
        <f>"605155"</f>
        <v>605155</v>
      </c>
      <c r="C4332" t="s">
        <v>9007</v>
      </c>
      <c r="D4332" t="s">
        <v>3902</v>
      </c>
      <c r="E4332">
        <v>38925393</v>
      </c>
      <c r="F4332">
        <v>33690360</v>
      </c>
      <c r="P4332">
        <v>45</v>
      </c>
      <c r="Q4332" t="s">
        <v>9008</v>
      </c>
    </row>
    <row r="4333" spans="1:17" x14ac:dyDescent="0.3">
      <c r="A4333" t="s">
        <v>17</v>
      </c>
      <c r="B4333" t="str">
        <f>"600539"</f>
        <v>600539</v>
      </c>
      <c r="C4333" t="s">
        <v>9009</v>
      </c>
      <c r="D4333" t="s">
        <v>466</v>
      </c>
      <c r="E4333">
        <v>38659124</v>
      </c>
      <c r="F4333">
        <v>26970835</v>
      </c>
      <c r="G4333">
        <v>15919256</v>
      </c>
      <c r="H4333">
        <v>14914105</v>
      </c>
      <c r="I4333">
        <v>9742927</v>
      </c>
      <c r="J4333">
        <v>5341613</v>
      </c>
      <c r="K4333">
        <v>31815726</v>
      </c>
      <c r="L4333">
        <v>30677398</v>
      </c>
      <c r="M4333">
        <v>37468988</v>
      </c>
      <c r="N4333">
        <v>47919113</v>
      </c>
      <c r="O4333">
        <v>51329837</v>
      </c>
      <c r="P4333">
        <v>51</v>
      </c>
      <c r="Q4333" t="s">
        <v>9010</v>
      </c>
    </row>
    <row r="4334" spans="1:17" x14ac:dyDescent="0.3">
      <c r="A4334" t="s">
        <v>17</v>
      </c>
      <c r="B4334" t="str">
        <f>"600749"</f>
        <v>600749</v>
      </c>
      <c r="C4334" t="s">
        <v>9011</v>
      </c>
      <c r="D4334" t="s">
        <v>8651</v>
      </c>
      <c r="E4334">
        <v>38151329</v>
      </c>
      <c r="F4334">
        <v>25479353</v>
      </c>
      <c r="G4334">
        <v>21652186</v>
      </c>
      <c r="H4334">
        <v>17260085</v>
      </c>
      <c r="I4334">
        <v>5553337</v>
      </c>
      <c r="J4334">
        <v>10615828</v>
      </c>
      <c r="K4334">
        <v>13487451</v>
      </c>
      <c r="L4334">
        <v>23344721</v>
      </c>
      <c r="M4334">
        <v>20124610</v>
      </c>
      <c r="N4334">
        <v>20477414</v>
      </c>
      <c r="O4334">
        <v>37154605</v>
      </c>
      <c r="P4334">
        <v>106</v>
      </c>
      <c r="Q4334" t="s">
        <v>9012</v>
      </c>
    </row>
    <row r="4335" spans="1:17" x14ac:dyDescent="0.3">
      <c r="A4335" t="s">
        <v>17</v>
      </c>
      <c r="B4335" t="str">
        <f>"600743"</f>
        <v>600743</v>
      </c>
      <c r="C4335" t="s">
        <v>9013</v>
      </c>
      <c r="D4335" t="s">
        <v>27</v>
      </c>
      <c r="E4335">
        <v>37942548</v>
      </c>
      <c r="F4335">
        <v>40081366</v>
      </c>
      <c r="G4335">
        <v>35746429</v>
      </c>
      <c r="H4335">
        <v>246688009</v>
      </c>
      <c r="I4335">
        <v>112529939</v>
      </c>
      <c r="J4335">
        <v>427650711</v>
      </c>
      <c r="K4335">
        <v>100526974</v>
      </c>
      <c r="L4335">
        <v>334079689</v>
      </c>
      <c r="M4335">
        <v>1029856</v>
      </c>
      <c r="N4335">
        <v>13150</v>
      </c>
      <c r="O4335">
        <v>321807</v>
      </c>
      <c r="P4335">
        <v>603</v>
      </c>
      <c r="Q4335" t="s">
        <v>9014</v>
      </c>
    </row>
    <row r="4336" spans="1:17" x14ac:dyDescent="0.3">
      <c r="A4336" t="s">
        <v>17</v>
      </c>
      <c r="B4336" t="str">
        <f>"688230"</f>
        <v>688230</v>
      </c>
      <c r="C4336" t="s">
        <v>9015</v>
      </c>
      <c r="D4336" t="s">
        <v>1479</v>
      </c>
      <c r="E4336">
        <v>37639358</v>
      </c>
      <c r="P4336">
        <v>24</v>
      </c>
      <c r="Q4336" t="s">
        <v>9016</v>
      </c>
    </row>
    <row r="4337" spans="1:17" x14ac:dyDescent="0.3">
      <c r="A4337" t="s">
        <v>73</v>
      </c>
      <c r="B4337" t="str">
        <f>"002840"</f>
        <v>002840</v>
      </c>
      <c r="C4337" t="s">
        <v>9017</v>
      </c>
      <c r="D4337" t="s">
        <v>1381</v>
      </c>
      <c r="E4337">
        <v>37637804</v>
      </c>
      <c r="F4337">
        <v>34318914</v>
      </c>
      <c r="G4337">
        <v>33046198</v>
      </c>
      <c r="H4337">
        <v>29808718</v>
      </c>
      <c r="I4337">
        <v>23957301</v>
      </c>
      <c r="J4337">
        <v>24204776</v>
      </c>
      <c r="P4337">
        <v>600</v>
      </c>
      <c r="Q4337" t="s">
        <v>9018</v>
      </c>
    </row>
    <row r="4338" spans="1:17" x14ac:dyDescent="0.3">
      <c r="A4338" t="s">
        <v>17</v>
      </c>
      <c r="B4338" t="str">
        <f>"605189"</f>
        <v>605189</v>
      </c>
      <c r="C4338" t="s">
        <v>9019</v>
      </c>
      <c r="D4338" t="s">
        <v>1099</v>
      </c>
      <c r="E4338">
        <v>37568075</v>
      </c>
      <c r="F4338">
        <v>21305992</v>
      </c>
      <c r="P4338">
        <v>44</v>
      </c>
      <c r="Q4338" t="s">
        <v>9020</v>
      </c>
    </row>
    <row r="4339" spans="1:17" x14ac:dyDescent="0.3">
      <c r="A4339" t="s">
        <v>17</v>
      </c>
      <c r="B4339" t="str">
        <f>"600101"</f>
        <v>600101</v>
      </c>
      <c r="C4339" t="s">
        <v>9021</v>
      </c>
      <c r="D4339" t="s">
        <v>314</v>
      </c>
      <c r="E4339">
        <v>37535458</v>
      </c>
      <c r="F4339">
        <v>26948040</v>
      </c>
      <c r="G4339">
        <v>28809914</v>
      </c>
      <c r="H4339">
        <v>12942694</v>
      </c>
      <c r="I4339">
        <v>28188940</v>
      </c>
      <c r="J4339">
        <v>16946223</v>
      </c>
      <c r="K4339">
        <v>10248539</v>
      </c>
      <c r="L4339">
        <v>10898207</v>
      </c>
      <c r="M4339">
        <v>5839429</v>
      </c>
      <c r="N4339">
        <v>8160936</v>
      </c>
      <c r="O4339">
        <v>18957531</v>
      </c>
      <c r="P4339">
        <v>123</v>
      </c>
      <c r="Q4339" t="s">
        <v>9022</v>
      </c>
    </row>
    <row r="4340" spans="1:17" x14ac:dyDescent="0.3">
      <c r="A4340" t="s">
        <v>73</v>
      </c>
      <c r="B4340" t="str">
        <f>"000669"</f>
        <v>000669</v>
      </c>
      <c r="C4340" t="s">
        <v>9023</v>
      </c>
      <c r="D4340" t="s">
        <v>469</v>
      </c>
      <c r="E4340">
        <v>37525078</v>
      </c>
      <c r="F4340">
        <v>51567470</v>
      </c>
      <c r="G4340">
        <v>353022622</v>
      </c>
      <c r="H4340">
        <v>610758272</v>
      </c>
      <c r="I4340">
        <v>699929051</v>
      </c>
      <c r="J4340">
        <v>595968226</v>
      </c>
      <c r="K4340">
        <v>398779627</v>
      </c>
      <c r="L4340">
        <v>323406270</v>
      </c>
      <c r="M4340">
        <v>235129677</v>
      </c>
      <c r="N4340">
        <v>154813971</v>
      </c>
      <c r="O4340">
        <v>12172048</v>
      </c>
      <c r="P4340">
        <v>83</v>
      </c>
      <c r="Q4340" t="s">
        <v>9024</v>
      </c>
    </row>
    <row r="4341" spans="1:17" x14ac:dyDescent="0.3">
      <c r="A4341" t="s">
        <v>17</v>
      </c>
      <c r="B4341" t="str">
        <f>"600462"</f>
        <v>600462</v>
      </c>
      <c r="C4341" t="s">
        <v>9025</v>
      </c>
      <c r="D4341" t="s">
        <v>332</v>
      </c>
      <c r="E4341">
        <v>37261874</v>
      </c>
      <c r="F4341">
        <v>42139533</v>
      </c>
      <c r="G4341">
        <v>59054863</v>
      </c>
      <c r="H4341">
        <v>102933132</v>
      </c>
      <c r="I4341">
        <v>482540174</v>
      </c>
      <c r="J4341">
        <v>170937942</v>
      </c>
      <c r="K4341">
        <v>35574902</v>
      </c>
      <c r="L4341">
        <v>20594869</v>
      </c>
      <c r="M4341">
        <v>14162961</v>
      </c>
      <c r="N4341">
        <v>16990083</v>
      </c>
      <c r="O4341">
        <v>9835085</v>
      </c>
      <c r="P4341">
        <v>51</v>
      </c>
      <c r="Q4341" t="s">
        <v>9026</v>
      </c>
    </row>
    <row r="4342" spans="1:17" x14ac:dyDescent="0.3">
      <c r="A4342" t="s">
        <v>17</v>
      </c>
      <c r="B4342" t="str">
        <f>"603226"</f>
        <v>603226</v>
      </c>
      <c r="C4342" t="s">
        <v>9027</v>
      </c>
      <c r="D4342" t="s">
        <v>972</v>
      </c>
      <c r="E4342">
        <v>37218802</v>
      </c>
      <c r="F4342">
        <v>15197502</v>
      </c>
      <c r="G4342">
        <v>15612594</v>
      </c>
      <c r="H4342">
        <v>2329176</v>
      </c>
      <c r="I4342">
        <v>1433338</v>
      </c>
      <c r="J4342">
        <v>135380</v>
      </c>
      <c r="K4342">
        <v>0</v>
      </c>
      <c r="P4342">
        <v>113</v>
      </c>
      <c r="Q4342" t="s">
        <v>9028</v>
      </c>
    </row>
    <row r="4343" spans="1:17" x14ac:dyDescent="0.3">
      <c r="A4343" t="s">
        <v>73</v>
      </c>
      <c r="B4343" t="str">
        <f>"002175"</f>
        <v>002175</v>
      </c>
      <c r="C4343" t="s">
        <v>9029</v>
      </c>
      <c r="D4343" t="s">
        <v>466</v>
      </c>
      <c r="E4343">
        <v>37197566</v>
      </c>
      <c r="F4343">
        <v>47639475</v>
      </c>
      <c r="G4343">
        <v>52356770</v>
      </c>
      <c r="H4343">
        <v>86333504</v>
      </c>
      <c r="I4343">
        <v>116116853</v>
      </c>
      <c r="J4343">
        <v>325142621</v>
      </c>
      <c r="K4343">
        <v>202946285</v>
      </c>
      <c r="L4343">
        <v>108820578</v>
      </c>
      <c r="M4343">
        <v>78413946</v>
      </c>
      <c r="N4343">
        <v>69580059</v>
      </c>
      <c r="O4343">
        <v>50919627</v>
      </c>
      <c r="P4343">
        <v>79</v>
      </c>
      <c r="Q4343" t="s">
        <v>9030</v>
      </c>
    </row>
    <row r="4344" spans="1:17" x14ac:dyDescent="0.3">
      <c r="A4344" t="s">
        <v>73</v>
      </c>
      <c r="B4344" t="str">
        <f>"300458"</f>
        <v>300458</v>
      </c>
      <c r="C4344" t="s">
        <v>9031</v>
      </c>
      <c r="D4344" t="s">
        <v>890</v>
      </c>
      <c r="E4344">
        <v>37157439</v>
      </c>
      <c r="F4344">
        <v>27817969</v>
      </c>
      <c r="G4344">
        <v>38656986</v>
      </c>
      <c r="H4344">
        <v>66966220</v>
      </c>
      <c r="I4344">
        <v>61865231</v>
      </c>
      <c r="J4344">
        <v>75624691</v>
      </c>
      <c r="K4344">
        <v>7059303</v>
      </c>
      <c r="L4344">
        <v>0</v>
      </c>
      <c r="M4344">
        <v>0</v>
      </c>
      <c r="P4344">
        <v>561</v>
      </c>
      <c r="Q4344" t="s">
        <v>9032</v>
      </c>
    </row>
    <row r="4345" spans="1:17" x14ac:dyDescent="0.3">
      <c r="A4345" t="s">
        <v>73</v>
      </c>
      <c r="B4345" t="str">
        <f>"300295"</f>
        <v>300295</v>
      </c>
      <c r="C4345" t="s">
        <v>9033</v>
      </c>
      <c r="D4345" t="s">
        <v>4641</v>
      </c>
      <c r="E4345">
        <v>37024831</v>
      </c>
      <c r="F4345">
        <v>29108490</v>
      </c>
      <c r="G4345">
        <v>57420476</v>
      </c>
      <c r="H4345">
        <v>53431511</v>
      </c>
      <c r="I4345">
        <v>26254845</v>
      </c>
      <c r="J4345">
        <v>31084375</v>
      </c>
      <c r="K4345">
        <v>29968465</v>
      </c>
      <c r="L4345">
        <v>31895538</v>
      </c>
      <c r="M4345">
        <v>28874657</v>
      </c>
      <c r="N4345">
        <v>23134120</v>
      </c>
      <c r="O4345">
        <v>26126368</v>
      </c>
      <c r="P4345">
        <v>100</v>
      </c>
      <c r="Q4345" t="s">
        <v>9034</v>
      </c>
    </row>
    <row r="4346" spans="1:17" x14ac:dyDescent="0.3">
      <c r="A4346" t="s">
        <v>73</v>
      </c>
      <c r="B4346" t="str">
        <f>"000687"</f>
        <v>000687</v>
      </c>
      <c r="C4346" t="s">
        <v>9035</v>
      </c>
      <c r="D4346" t="s">
        <v>130</v>
      </c>
      <c r="E4346">
        <v>36815281</v>
      </c>
      <c r="F4346">
        <v>279087959</v>
      </c>
      <c r="G4346">
        <v>628416668</v>
      </c>
      <c r="H4346">
        <v>1429020978</v>
      </c>
      <c r="I4346">
        <v>883930896</v>
      </c>
      <c r="J4346">
        <v>498677546</v>
      </c>
      <c r="K4346">
        <v>368024030</v>
      </c>
      <c r="L4346">
        <v>25879828</v>
      </c>
      <c r="M4346">
        <v>42864144</v>
      </c>
      <c r="N4346">
        <v>62482530</v>
      </c>
      <c r="O4346">
        <v>50945936</v>
      </c>
      <c r="P4346">
        <v>86</v>
      </c>
      <c r="Q4346" t="s">
        <v>9036</v>
      </c>
    </row>
    <row r="4347" spans="1:17" x14ac:dyDescent="0.3">
      <c r="A4347" t="s">
        <v>73</v>
      </c>
      <c r="B4347" t="str">
        <f>"300446"</f>
        <v>300446</v>
      </c>
      <c r="C4347" t="s">
        <v>9037</v>
      </c>
      <c r="D4347" t="s">
        <v>2178</v>
      </c>
      <c r="E4347">
        <v>36699804</v>
      </c>
      <c r="F4347">
        <v>41386657</v>
      </c>
      <c r="G4347">
        <v>60009492</v>
      </c>
      <c r="H4347">
        <v>92146368</v>
      </c>
      <c r="I4347">
        <v>91351071</v>
      </c>
      <c r="J4347">
        <v>92814164</v>
      </c>
      <c r="K4347">
        <v>75451182</v>
      </c>
      <c r="L4347">
        <v>58449547</v>
      </c>
      <c r="M4347">
        <v>0</v>
      </c>
      <c r="P4347">
        <v>980</v>
      </c>
      <c r="Q4347" t="s">
        <v>9038</v>
      </c>
    </row>
    <row r="4348" spans="1:17" x14ac:dyDescent="0.3">
      <c r="A4348" t="s">
        <v>73</v>
      </c>
      <c r="B4348" t="str">
        <f>"300338"</f>
        <v>300338</v>
      </c>
      <c r="C4348" t="s">
        <v>9039</v>
      </c>
      <c r="D4348" t="s">
        <v>4778</v>
      </c>
      <c r="E4348">
        <v>36679455</v>
      </c>
      <c r="F4348">
        <v>93141928</v>
      </c>
      <c r="G4348">
        <v>84360542</v>
      </c>
      <c r="H4348">
        <v>236490258</v>
      </c>
      <c r="I4348">
        <v>317409837</v>
      </c>
      <c r="J4348">
        <v>236408158</v>
      </c>
      <c r="K4348">
        <v>234102473</v>
      </c>
      <c r="L4348">
        <v>197058179</v>
      </c>
      <c r="M4348">
        <v>173511433</v>
      </c>
      <c r="N4348">
        <v>151416337</v>
      </c>
      <c r="O4348">
        <v>0</v>
      </c>
      <c r="P4348">
        <v>118</v>
      </c>
      <c r="Q4348" t="s">
        <v>9040</v>
      </c>
    </row>
    <row r="4349" spans="1:17" x14ac:dyDescent="0.3">
      <c r="A4349" t="s">
        <v>17</v>
      </c>
      <c r="B4349" t="str">
        <f>"688617"</f>
        <v>688617</v>
      </c>
      <c r="C4349" t="s">
        <v>9041</v>
      </c>
      <c r="D4349" t="s">
        <v>1523</v>
      </c>
      <c r="E4349">
        <v>36663714</v>
      </c>
      <c r="F4349">
        <v>33135927</v>
      </c>
      <c r="P4349">
        <v>137</v>
      </c>
      <c r="Q4349" t="s">
        <v>9042</v>
      </c>
    </row>
    <row r="4350" spans="1:17" x14ac:dyDescent="0.3">
      <c r="A4350" t="s">
        <v>17</v>
      </c>
      <c r="B4350" t="str">
        <f>"600697"</f>
        <v>600697</v>
      </c>
      <c r="C4350" t="s">
        <v>9043</v>
      </c>
      <c r="D4350" t="s">
        <v>3897</v>
      </c>
      <c r="E4350">
        <v>36587613</v>
      </c>
      <c r="F4350">
        <v>43917690</v>
      </c>
      <c r="G4350">
        <v>23010682</v>
      </c>
      <c r="H4350">
        <v>39723481</v>
      </c>
      <c r="I4350">
        <v>72167851</v>
      </c>
      <c r="J4350">
        <v>14869859</v>
      </c>
      <c r="K4350">
        <v>14410923</v>
      </c>
      <c r="L4350">
        <v>6732856</v>
      </c>
      <c r="M4350">
        <v>1045757</v>
      </c>
      <c r="N4350">
        <v>1880335</v>
      </c>
      <c r="O4350">
        <v>1776487</v>
      </c>
      <c r="P4350">
        <v>275</v>
      </c>
      <c r="Q4350" t="s">
        <v>9044</v>
      </c>
    </row>
    <row r="4351" spans="1:17" x14ac:dyDescent="0.3">
      <c r="A4351" t="s">
        <v>17</v>
      </c>
      <c r="B4351" t="str">
        <f>"600684"</f>
        <v>600684</v>
      </c>
      <c r="C4351" t="s">
        <v>9045</v>
      </c>
      <c r="D4351" t="s">
        <v>27</v>
      </c>
      <c r="E4351">
        <v>36548035</v>
      </c>
      <c r="F4351">
        <v>34119422</v>
      </c>
      <c r="G4351">
        <v>12255361</v>
      </c>
      <c r="H4351">
        <v>16922143</v>
      </c>
      <c r="I4351">
        <v>9221309</v>
      </c>
      <c r="J4351">
        <v>925258</v>
      </c>
      <c r="K4351">
        <v>181007</v>
      </c>
      <c r="L4351">
        <v>165427</v>
      </c>
      <c r="M4351">
        <v>55362</v>
      </c>
      <c r="N4351">
        <v>0</v>
      </c>
      <c r="O4351">
        <v>0</v>
      </c>
      <c r="P4351">
        <v>124</v>
      </c>
      <c r="Q4351" t="s">
        <v>9046</v>
      </c>
    </row>
    <row r="4352" spans="1:17" x14ac:dyDescent="0.3">
      <c r="A4352" t="s">
        <v>73</v>
      </c>
      <c r="B4352" t="str">
        <f>"002315"</f>
        <v>002315</v>
      </c>
      <c r="C4352" t="s">
        <v>9047</v>
      </c>
      <c r="D4352" t="s">
        <v>3100</v>
      </c>
      <c r="E4352">
        <v>36542815</v>
      </c>
      <c r="F4352">
        <v>42054368</v>
      </c>
      <c r="G4352">
        <v>48305593</v>
      </c>
      <c r="H4352">
        <v>73343620</v>
      </c>
      <c r="I4352">
        <v>37898986</v>
      </c>
      <c r="J4352">
        <v>73861443</v>
      </c>
      <c r="K4352">
        <v>33829874</v>
      </c>
      <c r="L4352">
        <v>10719032</v>
      </c>
      <c r="M4352">
        <v>10357921</v>
      </c>
      <c r="N4352">
        <v>8200294</v>
      </c>
      <c r="O4352">
        <v>2917649</v>
      </c>
      <c r="P4352">
        <v>221</v>
      </c>
      <c r="Q4352" t="s">
        <v>9048</v>
      </c>
    </row>
    <row r="4353" spans="1:17" x14ac:dyDescent="0.3">
      <c r="A4353" t="s">
        <v>73</v>
      </c>
      <c r="B4353" t="str">
        <f>"301118"</f>
        <v>301118</v>
      </c>
      <c r="C4353" t="s">
        <v>9049</v>
      </c>
      <c r="D4353" t="s">
        <v>4692</v>
      </c>
      <c r="E4353">
        <v>36417576</v>
      </c>
      <c r="P4353">
        <v>16</v>
      </c>
      <c r="Q4353" t="s">
        <v>9050</v>
      </c>
    </row>
    <row r="4354" spans="1:17" x14ac:dyDescent="0.3">
      <c r="A4354" t="s">
        <v>73</v>
      </c>
      <c r="B4354" t="str">
        <f>"300511"</f>
        <v>300511</v>
      </c>
      <c r="C4354" t="s">
        <v>9051</v>
      </c>
      <c r="D4354" t="s">
        <v>9052</v>
      </c>
      <c r="E4354">
        <v>36243454</v>
      </c>
      <c r="F4354">
        <v>29701928</v>
      </c>
      <c r="G4354">
        <v>32216229</v>
      </c>
      <c r="H4354">
        <v>20806261</v>
      </c>
      <c r="I4354">
        <v>16045786</v>
      </c>
      <c r="J4354">
        <v>23280938</v>
      </c>
      <c r="K4354">
        <v>24685613</v>
      </c>
      <c r="L4354">
        <v>0</v>
      </c>
      <c r="P4354">
        <v>301</v>
      </c>
      <c r="Q4354" t="s">
        <v>9053</v>
      </c>
    </row>
    <row r="4355" spans="1:17" x14ac:dyDescent="0.3">
      <c r="A4355" t="s">
        <v>17</v>
      </c>
      <c r="B4355" t="str">
        <f>"603339"</f>
        <v>603339</v>
      </c>
      <c r="C4355" t="s">
        <v>9054</v>
      </c>
      <c r="D4355" t="s">
        <v>2227</v>
      </c>
      <c r="E4355">
        <v>36239499</v>
      </c>
      <c r="F4355">
        <v>47380554</v>
      </c>
      <c r="G4355">
        <v>38177768</v>
      </c>
      <c r="H4355">
        <v>80251823</v>
      </c>
      <c r="I4355">
        <v>57629509</v>
      </c>
      <c r="J4355">
        <v>83449731</v>
      </c>
      <c r="K4355">
        <v>57513033</v>
      </c>
      <c r="L4355">
        <v>0</v>
      </c>
      <c r="P4355">
        <v>163</v>
      </c>
      <c r="Q4355" t="s">
        <v>9055</v>
      </c>
    </row>
    <row r="4356" spans="1:17" x14ac:dyDescent="0.3">
      <c r="A4356" t="s">
        <v>73</v>
      </c>
      <c r="B4356" t="str">
        <f>"002515"</f>
        <v>002515</v>
      </c>
      <c r="C4356" t="s">
        <v>9056</v>
      </c>
      <c r="D4356" t="s">
        <v>1381</v>
      </c>
      <c r="E4356">
        <v>36182089</v>
      </c>
      <c r="F4356">
        <v>49134658</v>
      </c>
      <c r="G4356">
        <v>34993011</v>
      </c>
      <c r="H4356">
        <v>32710925</v>
      </c>
      <c r="I4356">
        <v>87682148</v>
      </c>
      <c r="J4356">
        <v>39824748</v>
      </c>
      <c r="K4356">
        <v>14259604</v>
      </c>
      <c r="L4356">
        <v>19553593</v>
      </c>
      <c r="M4356">
        <v>31363551</v>
      </c>
      <c r="N4356">
        <v>22997039</v>
      </c>
      <c r="O4356">
        <v>20468434</v>
      </c>
      <c r="P4356">
        <v>296</v>
      </c>
      <c r="Q4356" t="s">
        <v>9057</v>
      </c>
    </row>
    <row r="4357" spans="1:17" x14ac:dyDescent="0.3">
      <c r="A4357" t="s">
        <v>73</v>
      </c>
      <c r="B4357" t="str">
        <f>"300840"</f>
        <v>300840</v>
      </c>
      <c r="C4357" t="s">
        <v>9058</v>
      </c>
      <c r="D4357" t="s">
        <v>991</v>
      </c>
      <c r="E4357">
        <v>36149638</v>
      </c>
      <c r="F4357">
        <v>37993414</v>
      </c>
      <c r="G4357">
        <v>31710872</v>
      </c>
      <c r="P4357">
        <v>64</v>
      </c>
      <c r="Q4357" t="s">
        <v>9059</v>
      </c>
    </row>
    <row r="4358" spans="1:17" x14ac:dyDescent="0.3">
      <c r="A4358" t="s">
        <v>73</v>
      </c>
      <c r="B4358" t="str">
        <f>"000735"</f>
        <v>000735</v>
      </c>
      <c r="C4358" t="s">
        <v>9060</v>
      </c>
      <c r="D4358" t="s">
        <v>1626</v>
      </c>
      <c r="E4358">
        <v>36099192</v>
      </c>
      <c r="F4358">
        <v>33956088</v>
      </c>
      <c r="G4358">
        <v>67165224</v>
      </c>
      <c r="H4358">
        <v>33560773</v>
      </c>
      <c r="I4358">
        <v>26849781</v>
      </c>
      <c r="J4358">
        <v>30988220</v>
      </c>
      <c r="K4358">
        <v>60601000</v>
      </c>
      <c r="L4358">
        <v>52160792</v>
      </c>
      <c r="M4358">
        <v>71306705</v>
      </c>
      <c r="N4358">
        <v>19368555</v>
      </c>
      <c r="O4358">
        <v>15159390</v>
      </c>
      <c r="P4358">
        <v>290</v>
      </c>
      <c r="Q4358" t="s">
        <v>9061</v>
      </c>
    </row>
    <row r="4359" spans="1:17" x14ac:dyDescent="0.3">
      <c r="A4359" t="s">
        <v>73</v>
      </c>
      <c r="B4359" t="str">
        <f>"002289"</f>
        <v>002289</v>
      </c>
      <c r="C4359" t="s">
        <v>9062</v>
      </c>
      <c r="D4359" t="s">
        <v>97</v>
      </c>
      <c r="E4359">
        <v>35833533</v>
      </c>
      <c r="F4359">
        <v>41827366</v>
      </c>
      <c r="G4359">
        <v>24220205</v>
      </c>
      <c r="H4359">
        <v>58142534</v>
      </c>
      <c r="I4359">
        <v>77396263</v>
      </c>
      <c r="J4359">
        <v>200312653</v>
      </c>
      <c r="K4359">
        <v>581363937</v>
      </c>
      <c r="L4359">
        <v>669159658</v>
      </c>
      <c r="M4359">
        <v>377930839</v>
      </c>
      <c r="N4359">
        <v>286967437</v>
      </c>
      <c r="O4359">
        <v>137956281</v>
      </c>
      <c r="P4359">
        <v>70</v>
      </c>
      <c r="Q4359" t="s">
        <v>9063</v>
      </c>
    </row>
    <row r="4360" spans="1:17" x14ac:dyDescent="0.3">
      <c r="A4360" t="s">
        <v>73</v>
      </c>
      <c r="B4360" t="str">
        <f>"002395"</f>
        <v>002395</v>
      </c>
      <c r="C4360" t="s">
        <v>9064</v>
      </c>
      <c r="D4360" t="s">
        <v>1557</v>
      </c>
      <c r="E4360">
        <v>35793757</v>
      </c>
      <c r="F4360">
        <v>63656878</v>
      </c>
      <c r="G4360">
        <v>91912242</v>
      </c>
      <c r="H4360">
        <v>84808215</v>
      </c>
      <c r="I4360">
        <v>93951980</v>
      </c>
      <c r="J4360">
        <v>105993237</v>
      </c>
      <c r="K4360">
        <v>105225228</v>
      </c>
      <c r="L4360">
        <v>112128850</v>
      </c>
      <c r="M4360">
        <v>129077382</v>
      </c>
      <c r="N4360">
        <v>129165182</v>
      </c>
      <c r="O4360">
        <v>113310383</v>
      </c>
      <c r="P4360">
        <v>59</v>
      </c>
      <c r="Q4360" t="s">
        <v>9065</v>
      </c>
    </row>
    <row r="4361" spans="1:17" x14ac:dyDescent="0.3">
      <c r="A4361" t="s">
        <v>73</v>
      </c>
      <c r="B4361" t="str">
        <f>"000567"</f>
        <v>000567</v>
      </c>
      <c r="C4361" t="s">
        <v>9066</v>
      </c>
      <c r="D4361" t="s">
        <v>7212</v>
      </c>
      <c r="E4361">
        <v>35720000</v>
      </c>
      <c r="F4361">
        <v>35625000</v>
      </c>
      <c r="G4361">
        <v>0</v>
      </c>
      <c r="H4361">
        <v>0</v>
      </c>
      <c r="I4361">
        <v>65027500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117</v>
      </c>
      <c r="Q4361" t="s">
        <v>9067</v>
      </c>
    </row>
    <row r="4362" spans="1:17" x14ac:dyDescent="0.3">
      <c r="A4362" t="s">
        <v>73</v>
      </c>
      <c r="B4362" t="str">
        <f>"000428"</f>
        <v>000428</v>
      </c>
      <c r="C4362" t="s">
        <v>9068</v>
      </c>
      <c r="D4362" t="s">
        <v>1563</v>
      </c>
      <c r="E4362">
        <v>35494178</v>
      </c>
      <c r="F4362">
        <v>39150226</v>
      </c>
      <c r="G4362">
        <v>43708603</v>
      </c>
      <c r="H4362">
        <v>68304135</v>
      </c>
      <c r="I4362">
        <v>62350100</v>
      </c>
      <c r="J4362">
        <v>68907062</v>
      </c>
      <c r="K4362">
        <v>114409703</v>
      </c>
      <c r="L4362">
        <v>102496531</v>
      </c>
      <c r="M4362">
        <v>97227428</v>
      </c>
      <c r="N4362">
        <v>105682253</v>
      </c>
      <c r="O4362">
        <v>122314565</v>
      </c>
      <c r="P4362">
        <v>104</v>
      </c>
      <c r="Q4362" t="s">
        <v>9069</v>
      </c>
    </row>
    <row r="4363" spans="1:17" x14ac:dyDescent="0.3">
      <c r="A4363" t="s">
        <v>73</v>
      </c>
      <c r="B4363" t="str">
        <f>"002772"</f>
        <v>002772</v>
      </c>
      <c r="C4363" t="s">
        <v>9070</v>
      </c>
      <c r="D4363" t="s">
        <v>9052</v>
      </c>
      <c r="E4363">
        <v>35486702</v>
      </c>
      <c r="F4363">
        <v>26240727</v>
      </c>
      <c r="G4363">
        <v>21031808</v>
      </c>
      <c r="H4363">
        <v>17457642</v>
      </c>
      <c r="I4363">
        <v>11324187</v>
      </c>
      <c r="J4363">
        <v>9689810</v>
      </c>
      <c r="K4363">
        <v>8031665</v>
      </c>
      <c r="L4363">
        <v>0</v>
      </c>
      <c r="M4363">
        <v>0</v>
      </c>
      <c r="P4363">
        <v>202</v>
      </c>
      <c r="Q4363" t="s">
        <v>9071</v>
      </c>
    </row>
    <row r="4364" spans="1:17" x14ac:dyDescent="0.3">
      <c r="A4364" t="s">
        <v>73</v>
      </c>
      <c r="B4364" t="str">
        <f>"300033"</f>
        <v>300033</v>
      </c>
      <c r="C4364" t="s">
        <v>9072</v>
      </c>
      <c r="D4364" t="s">
        <v>795</v>
      </c>
      <c r="E4364">
        <v>35475398</v>
      </c>
      <c r="F4364">
        <v>39975334</v>
      </c>
      <c r="G4364">
        <v>27172864</v>
      </c>
      <c r="H4364">
        <v>14432774</v>
      </c>
      <c r="I4364">
        <v>9980253</v>
      </c>
      <c r="J4364">
        <v>7216040</v>
      </c>
      <c r="K4364">
        <v>14631156</v>
      </c>
      <c r="L4364">
        <v>6584874</v>
      </c>
      <c r="M4364">
        <v>7302661</v>
      </c>
      <c r="N4364">
        <v>7548005</v>
      </c>
      <c r="O4364">
        <v>11236896</v>
      </c>
      <c r="P4364">
        <v>2726</v>
      </c>
      <c r="Q4364" t="s">
        <v>9073</v>
      </c>
    </row>
    <row r="4365" spans="1:17" x14ac:dyDescent="0.3">
      <c r="A4365" t="s">
        <v>17</v>
      </c>
      <c r="B4365" t="str">
        <f>"600889"</f>
        <v>600889</v>
      </c>
      <c r="C4365" t="s">
        <v>9074</v>
      </c>
      <c r="D4365" t="s">
        <v>3596</v>
      </c>
      <c r="E4365">
        <v>35405302</v>
      </c>
      <c r="F4365">
        <v>47134339</v>
      </c>
      <c r="G4365">
        <v>30090198</v>
      </c>
      <c r="H4365">
        <v>30966493</v>
      </c>
      <c r="I4365">
        <v>38897007</v>
      </c>
      <c r="J4365">
        <v>30753567</v>
      </c>
      <c r="K4365">
        <v>42457530</v>
      </c>
      <c r="L4365">
        <v>48447361</v>
      </c>
      <c r="M4365">
        <v>72025982</v>
      </c>
      <c r="N4365">
        <v>49795470</v>
      </c>
      <c r="O4365">
        <v>35722553</v>
      </c>
      <c r="P4365">
        <v>77</v>
      </c>
      <c r="Q4365" t="s">
        <v>9075</v>
      </c>
    </row>
    <row r="4366" spans="1:17" x14ac:dyDescent="0.3">
      <c r="A4366" t="s">
        <v>73</v>
      </c>
      <c r="B4366" t="str">
        <f>"002813"</f>
        <v>002813</v>
      </c>
      <c r="C4366" t="s">
        <v>9076</v>
      </c>
      <c r="D4366" t="s">
        <v>442</v>
      </c>
      <c r="E4366">
        <v>35232395</v>
      </c>
      <c r="F4366">
        <v>58495953</v>
      </c>
      <c r="G4366">
        <v>142485950</v>
      </c>
      <c r="H4366">
        <v>271239004</v>
      </c>
      <c r="I4366">
        <v>366238631</v>
      </c>
      <c r="J4366">
        <v>275510184</v>
      </c>
      <c r="P4366">
        <v>113</v>
      </c>
      <c r="Q4366" t="s">
        <v>9077</v>
      </c>
    </row>
    <row r="4367" spans="1:17" x14ac:dyDescent="0.3">
      <c r="A4367" t="s">
        <v>17</v>
      </c>
      <c r="B4367" t="str">
        <f>"603023"</f>
        <v>603023</v>
      </c>
      <c r="C4367" t="s">
        <v>9078</v>
      </c>
      <c r="D4367" t="s">
        <v>442</v>
      </c>
      <c r="E4367">
        <v>35222639</v>
      </c>
      <c r="F4367">
        <v>36855097</v>
      </c>
      <c r="G4367">
        <v>53656287</v>
      </c>
      <c r="H4367">
        <v>95688611</v>
      </c>
      <c r="I4367">
        <v>108028643</v>
      </c>
      <c r="J4367">
        <v>67664413</v>
      </c>
      <c r="K4367">
        <v>80751705</v>
      </c>
      <c r="L4367">
        <v>0</v>
      </c>
      <c r="M4367">
        <v>0</v>
      </c>
      <c r="P4367">
        <v>150</v>
      </c>
      <c r="Q4367" t="s">
        <v>9079</v>
      </c>
    </row>
    <row r="4368" spans="1:17" x14ac:dyDescent="0.3">
      <c r="A4368" t="s">
        <v>73</v>
      </c>
      <c r="B4368" t="str">
        <f>"300089"</f>
        <v>300089</v>
      </c>
      <c r="C4368" t="s">
        <v>9080</v>
      </c>
      <c r="D4368" t="s">
        <v>4778</v>
      </c>
      <c r="E4368">
        <v>35139370</v>
      </c>
      <c r="F4368">
        <v>123088078</v>
      </c>
      <c r="G4368">
        <v>228389678</v>
      </c>
      <c r="H4368">
        <v>212835952</v>
      </c>
      <c r="I4368">
        <v>175121988</v>
      </c>
      <c r="J4368">
        <v>249166802</v>
      </c>
      <c r="K4368">
        <v>208103839</v>
      </c>
      <c r="L4368">
        <v>215222007</v>
      </c>
      <c r="M4368">
        <v>177719037</v>
      </c>
      <c r="N4368">
        <v>134138712</v>
      </c>
      <c r="O4368">
        <v>80869839</v>
      </c>
      <c r="P4368">
        <v>101</v>
      </c>
      <c r="Q4368" t="s">
        <v>9081</v>
      </c>
    </row>
    <row r="4369" spans="1:17" x14ac:dyDescent="0.3">
      <c r="A4369" t="s">
        <v>73</v>
      </c>
      <c r="B4369" t="str">
        <f>"002868"</f>
        <v>002868</v>
      </c>
      <c r="C4369" t="s">
        <v>9082</v>
      </c>
      <c r="D4369" t="s">
        <v>2849</v>
      </c>
      <c r="E4369">
        <v>34865209</v>
      </c>
      <c r="F4369">
        <v>58039389</v>
      </c>
      <c r="G4369">
        <v>53736956</v>
      </c>
      <c r="H4369">
        <v>42873529</v>
      </c>
      <c r="I4369">
        <v>57953466</v>
      </c>
      <c r="J4369">
        <v>51081034</v>
      </c>
      <c r="P4369">
        <v>88</v>
      </c>
      <c r="Q4369" t="s">
        <v>9083</v>
      </c>
    </row>
    <row r="4370" spans="1:17" x14ac:dyDescent="0.3">
      <c r="A4370" t="s">
        <v>17</v>
      </c>
      <c r="B4370" t="str">
        <f>"601010"</f>
        <v>601010</v>
      </c>
      <c r="C4370" t="s">
        <v>9084</v>
      </c>
      <c r="D4370" t="s">
        <v>3897</v>
      </c>
      <c r="E4370">
        <v>34710831</v>
      </c>
      <c r="F4370">
        <v>25908806</v>
      </c>
      <c r="G4370">
        <v>26762637</v>
      </c>
      <c r="H4370">
        <v>21646667</v>
      </c>
      <c r="I4370">
        <v>23152008</v>
      </c>
      <c r="J4370">
        <v>17831179</v>
      </c>
      <c r="K4370">
        <v>25893885</v>
      </c>
      <c r="L4370">
        <v>50572366</v>
      </c>
      <c r="M4370">
        <v>24329131</v>
      </c>
      <c r="N4370">
        <v>13173740</v>
      </c>
      <c r="O4370">
        <v>20398512</v>
      </c>
      <c r="P4370">
        <v>94</v>
      </c>
      <c r="Q4370" t="s">
        <v>9085</v>
      </c>
    </row>
    <row r="4371" spans="1:17" x14ac:dyDescent="0.3">
      <c r="A4371" t="s">
        <v>17</v>
      </c>
      <c r="B4371" t="str">
        <f>"603389"</f>
        <v>603389</v>
      </c>
      <c r="C4371" t="s">
        <v>9086</v>
      </c>
      <c r="D4371" t="s">
        <v>1111</v>
      </c>
      <c r="E4371">
        <v>34683451</v>
      </c>
      <c r="F4371">
        <v>29214975</v>
      </c>
      <c r="G4371">
        <v>16792570</v>
      </c>
      <c r="H4371">
        <v>0</v>
      </c>
      <c r="I4371">
        <v>27548250</v>
      </c>
      <c r="J4371">
        <v>23805219</v>
      </c>
      <c r="P4371">
        <v>80</v>
      </c>
      <c r="Q4371" t="s">
        <v>9087</v>
      </c>
    </row>
    <row r="4372" spans="1:17" x14ac:dyDescent="0.3">
      <c r="A4372" t="s">
        <v>73</v>
      </c>
      <c r="B4372" t="str">
        <f>"000096"</f>
        <v>000096</v>
      </c>
      <c r="C4372" t="s">
        <v>9088</v>
      </c>
      <c r="D4372" t="s">
        <v>1267</v>
      </c>
      <c r="E4372">
        <v>34590066</v>
      </c>
      <c r="F4372">
        <v>14814692</v>
      </c>
      <c r="G4372">
        <v>2055225</v>
      </c>
      <c r="H4372">
        <v>7921538</v>
      </c>
      <c r="I4372">
        <v>8498856</v>
      </c>
      <c r="J4372">
        <v>5689236</v>
      </c>
      <c r="K4372">
        <v>5007520</v>
      </c>
      <c r="L4372">
        <v>2628662</v>
      </c>
      <c r="M4372">
        <v>3089656</v>
      </c>
      <c r="N4372">
        <v>3122846</v>
      </c>
      <c r="O4372">
        <v>4516753</v>
      </c>
      <c r="P4372">
        <v>86</v>
      </c>
      <c r="Q4372" t="s">
        <v>9089</v>
      </c>
    </row>
    <row r="4373" spans="1:17" x14ac:dyDescent="0.3">
      <c r="A4373" t="s">
        <v>17</v>
      </c>
      <c r="B4373" t="str">
        <f>"603133"</f>
        <v>603133</v>
      </c>
      <c r="C4373" t="s">
        <v>9090</v>
      </c>
      <c r="D4373" t="s">
        <v>42</v>
      </c>
      <c r="E4373">
        <v>34524881</v>
      </c>
      <c r="F4373">
        <v>142376210</v>
      </c>
      <c r="G4373">
        <v>122481078</v>
      </c>
      <c r="H4373">
        <v>91472557</v>
      </c>
      <c r="I4373">
        <v>96868656</v>
      </c>
      <c r="J4373">
        <v>102615291</v>
      </c>
      <c r="P4373">
        <v>138</v>
      </c>
      <c r="Q4373" t="s">
        <v>9091</v>
      </c>
    </row>
    <row r="4374" spans="1:17" x14ac:dyDescent="0.3">
      <c r="A4374" t="s">
        <v>73</v>
      </c>
      <c r="B4374" t="str">
        <f>"002875"</f>
        <v>002875</v>
      </c>
      <c r="C4374" t="s">
        <v>9092</v>
      </c>
      <c r="D4374" t="s">
        <v>991</v>
      </c>
      <c r="E4374">
        <v>34003007</v>
      </c>
      <c r="F4374">
        <v>49339310</v>
      </c>
      <c r="G4374">
        <v>70843032</v>
      </c>
      <c r="H4374">
        <v>71733392</v>
      </c>
      <c r="I4374">
        <v>68112638</v>
      </c>
      <c r="J4374">
        <v>0</v>
      </c>
      <c r="P4374">
        <v>92</v>
      </c>
      <c r="Q4374" t="s">
        <v>9093</v>
      </c>
    </row>
    <row r="4375" spans="1:17" x14ac:dyDescent="0.3">
      <c r="A4375" t="s">
        <v>17</v>
      </c>
      <c r="B4375" t="str">
        <f>"688179"</f>
        <v>688179</v>
      </c>
      <c r="C4375" t="s">
        <v>9094</v>
      </c>
      <c r="D4375" t="s">
        <v>588</v>
      </c>
      <c r="E4375">
        <v>33752757</v>
      </c>
      <c r="F4375">
        <v>22935664</v>
      </c>
      <c r="H4375">
        <v>0</v>
      </c>
      <c r="I4375">
        <v>15931015</v>
      </c>
      <c r="P4375">
        <v>156</v>
      </c>
      <c r="Q4375" t="s">
        <v>9095</v>
      </c>
    </row>
    <row r="4376" spans="1:17" x14ac:dyDescent="0.3">
      <c r="A4376" t="s">
        <v>17</v>
      </c>
      <c r="B4376" t="str">
        <f>"603779"</f>
        <v>603779</v>
      </c>
      <c r="C4376" t="s">
        <v>9096</v>
      </c>
      <c r="D4376" t="s">
        <v>7055</v>
      </c>
      <c r="E4376">
        <v>33595560</v>
      </c>
      <c r="F4376">
        <v>35793830</v>
      </c>
      <c r="G4376">
        <v>95612857</v>
      </c>
      <c r="H4376">
        <v>125261449</v>
      </c>
      <c r="I4376">
        <v>93757419</v>
      </c>
      <c r="J4376">
        <v>80151563</v>
      </c>
      <c r="K4376">
        <v>78600893</v>
      </c>
      <c r="L4376">
        <v>0</v>
      </c>
      <c r="P4376">
        <v>101</v>
      </c>
      <c r="Q4376" t="s">
        <v>9097</v>
      </c>
    </row>
    <row r="4377" spans="1:17" x14ac:dyDescent="0.3">
      <c r="A4377" t="s">
        <v>73</v>
      </c>
      <c r="B4377" t="str">
        <f>"301070"</f>
        <v>301070</v>
      </c>
      <c r="C4377" t="s">
        <v>9098</v>
      </c>
      <c r="D4377" t="s">
        <v>873</v>
      </c>
      <c r="E4377">
        <v>33425065</v>
      </c>
      <c r="P4377">
        <v>19</v>
      </c>
      <c r="Q4377" t="s">
        <v>9099</v>
      </c>
    </row>
    <row r="4378" spans="1:17" x14ac:dyDescent="0.3">
      <c r="A4378" t="s">
        <v>17</v>
      </c>
      <c r="B4378" t="str">
        <f>"688468"</f>
        <v>688468</v>
      </c>
      <c r="C4378" t="s">
        <v>9100</v>
      </c>
      <c r="D4378" t="s">
        <v>773</v>
      </c>
      <c r="E4378">
        <v>33074579</v>
      </c>
      <c r="F4378">
        <v>36320102</v>
      </c>
      <c r="P4378">
        <v>39</v>
      </c>
      <c r="Q4378" t="s">
        <v>9101</v>
      </c>
    </row>
    <row r="4379" spans="1:17" x14ac:dyDescent="0.3">
      <c r="A4379" t="s">
        <v>73</v>
      </c>
      <c r="B4379" t="str">
        <f>"000828"</f>
        <v>000828</v>
      </c>
      <c r="C4379" t="s">
        <v>9102</v>
      </c>
      <c r="D4379" t="s">
        <v>1592</v>
      </c>
      <c r="E4379">
        <v>33054194</v>
      </c>
      <c r="F4379">
        <v>35115259</v>
      </c>
      <c r="G4379">
        <v>12761753</v>
      </c>
      <c r="H4379">
        <v>21638614</v>
      </c>
      <c r="I4379">
        <v>18111515</v>
      </c>
      <c r="J4379">
        <v>25237679</v>
      </c>
      <c r="K4379">
        <v>24047466</v>
      </c>
      <c r="L4379">
        <v>31693156</v>
      </c>
      <c r="M4379">
        <v>30321459</v>
      </c>
      <c r="N4379">
        <v>23565480</v>
      </c>
      <c r="O4379">
        <v>25700869</v>
      </c>
      <c r="P4379">
        <v>961</v>
      </c>
      <c r="Q4379" t="s">
        <v>9103</v>
      </c>
    </row>
    <row r="4380" spans="1:17" x14ac:dyDescent="0.3">
      <c r="A4380" t="s">
        <v>73</v>
      </c>
      <c r="B4380" t="str">
        <f>"301055"</f>
        <v>301055</v>
      </c>
      <c r="C4380" t="s">
        <v>9104</v>
      </c>
      <c r="D4380" t="s">
        <v>3902</v>
      </c>
      <c r="E4380">
        <v>32970375</v>
      </c>
      <c r="P4380">
        <v>28</v>
      </c>
      <c r="Q4380" t="s">
        <v>9105</v>
      </c>
    </row>
    <row r="4381" spans="1:17" x14ac:dyDescent="0.3">
      <c r="A4381" t="s">
        <v>17</v>
      </c>
      <c r="B4381" t="str">
        <f>"688079"</f>
        <v>688079</v>
      </c>
      <c r="C4381" t="s">
        <v>9106</v>
      </c>
      <c r="D4381" t="s">
        <v>477</v>
      </c>
      <c r="E4381">
        <v>32875142</v>
      </c>
      <c r="F4381">
        <v>44114906</v>
      </c>
      <c r="P4381">
        <v>36</v>
      </c>
      <c r="Q4381" t="s">
        <v>9107</v>
      </c>
    </row>
    <row r="4382" spans="1:17" x14ac:dyDescent="0.3">
      <c r="A4382" t="s">
        <v>17</v>
      </c>
      <c r="B4382" t="str">
        <f>"688798"</f>
        <v>688798</v>
      </c>
      <c r="C4382" t="s">
        <v>9108</v>
      </c>
      <c r="D4382" t="s">
        <v>3360</v>
      </c>
      <c r="E4382">
        <v>32578236</v>
      </c>
      <c r="F4382">
        <v>21824921</v>
      </c>
      <c r="P4382">
        <v>67</v>
      </c>
      <c r="Q4382" t="s">
        <v>9109</v>
      </c>
    </row>
    <row r="4383" spans="1:17" x14ac:dyDescent="0.3">
      <c r="A4383" t="s">
        <v>17</v>
      </c>
      <c r="B4383" t="str">
        <f>"600822"</f>
        <v>600822</v>
      </c>
      <c r="C4383" t="s">
        <v>9110</v>
      </c>
      <c r="D4383" t="s">
        <v>415</v>
      </c>
      <c r="E4383">
        <v>32564634</v>
      </c>
      <c r="F4383">
        <v>38676750</v>
      </c>
      <c r="G4383">
        <v>49078525</v>
      </c>
      <c r="H4383">
        <v>93161815</v>
      </c>
      <c r="I4383">
        <v>130004645</v>
      </c>
      <c r="J4383">
        <v>71834598</v>
      </c>
      <c r="K4383">
        <v>137926472</v>
      </c>
      <c r="L4383">
        <v>421366914</v>
      </c>
      <c r="M4383">
        <v>681618398</v>
      </c>
      <c r="N4383">
        <v>600685938</v>
      </c>
      <c r="O4383">
        <v>616930995</v>
      </c>
      <c r="P4383">
        <v>75</v>
      </c>
      <c r="Q4383" t="s">
        <v>9111</v>
      </c>
    </row>
    <row r="4384" spans="1:17" x14ac:dyDescent="0.3">
      <c r="A4384" t="s">
        <v>17</v>
      </c>
      <c r="B4384" t="str">
        <f>"600426"</f>
        <v>600426</v>
      </c>
      <c r="C4384" t="s">
        <v>9112</v>
      </c>
      <c r="D4384" t="s">
        <v>1145</v>
      </c>
      <c r="E4384">
        <v>32132970</v>
      </c>
      <c r="F4384">
        <v>45625799</v>
      </c>
      <c r="G4384">
        <v>26568022</v>
      </c>
      <c r="H4384">
        <v>20614421</v>
      </c>
      <c r="I4384">
        <v>11140298</v>
      </c>
      <c r="J4384">
        <v>35773879</v>
      </c>
      <c r="K4384">
        <v>18471538</v>
      </c>
      <c r="L4384">
        <v>22060849</v>
      </c>
      <c r="M4384">
        <v>33748748</v>
      </c>
      <c r="N4384">
        <v>23155897</v>
      </c>
      <c r="O4384">
        <v>24567348</v>
      </c>
      <c r="P4384">
        <v>1013</v>
      </c>
      <c r="Q4384" t="s">
        <v>9113</v>
      </c>
    </row>
    <row r="4385" spans="1:17" x14ac:dyDescent="0.3">
      <c r="A4385" t="s">
        <v>17</v>
      </c>
      <c r="B4385" t="str">
        <f>"688626"</f>
        <v>688626</v>
      </c>
      <c r="C4385" t="s">
        <v>9114</v>
      </c>
      <c r="D4385" t="s">
        <v>692</v>
      </c>
      <c r="E4385">
        <v>32041987</v>
      </c>
      <c r="F4385">
        <v>28133504</v>
      </c>
      <c r="P4385">
        <v>82</v>
      </c>
      <c r="Q4385" t="s">
        <v>9115</v>
      </c>
    </row>
    <row r="4386" spans="1:17" x14ac:dyDescent="0.3">
      <c r="A4386" t="s">
        <v>73</v>
      </c>
      <c r="B4386" t="str">
        <f>"301256"</f>
        <v>301256</v>
      </c>
      <c r="C4386" t="s">
        <v>9116</v>
      </c>
      <c r="E4386">
        <v>31986437</v>
      </c>
      <c r="P4386">
        <v>3</v>
      </c>
      <c r="Q4386" t="s">
        <v>9117</v>
      </c>
    </row>
    <row r="4387" spans="1:17" x14ac:dyDescent="0.3">
      <c r="A4387" t="s">
        <v>17</v>
      </c>
      <c r="B4387" t="str">
        <f>"603196"</f>
        <v>603196</v>
      </c>
      <c r="C4387" t="s">
        <v>9118</v>
      </c>
      <c r="D4387" t="s">
        <v>991</v>
      </c>
      <c r="E4387">
        <v>31570944</v>
      </c>
      <c r="F4387">
        <v>34715011</v>
      </c>
      <c r="G4387">
        <v>59219600</v>
      </c>
      <c r="H4387">
        <v>85849911</v>
      </c>
      <c r="I4387">
        <v>71416645</v>
      </c>
      <c r="J4387">
        <v>0</v>
      </c>
      <c r="P4387">
        <v>70</v>
      </c>
      <c r="Q4387" t="s">
        <v>9119</v>
      </c>
    </row>
    <row r="4388" spans="1:17" x14ac:dyDescent="0.3">
      <c r="A4388" t="s">
        <v>73</v>
      </c>
      <c r="B4388" t="str">
        <f>"002750"</f>
        <v>002750</v>
      </c>
      <c r="C4388" t="s">
        <v>9120</v>
      </c>
      <c r="D4388" t="s">
        <v>215</v>
      </c>
      <c r="E4388">
        <v>31285236</v>
      </c>
      <c r="F4388">
        <v>124661546</v>
      </c>
      <c r="G4388">
        <v>30466361</v>
      </c>
      <c r="H4388">
        <v>33713122</v>
      </c>
      <c r="I4388">
        <v>45979659</v>
      </c>
      <c r="J4388">
        <v>11907542</v>
      </c>
      <c r="K4388">
        <v>2889049</v>
      </c>
      <c r="L4388">
        <v>1813877</v>
      </c>
      <c r="M4388">
        <v>0</v>
      </c>
      <c r="P4388">
        <v>142</v>
      </c>
      <c r="Q4388" t="s">
        <v>9121</v>
      </c>
    </row>
    <row r="4389" spans="1:17" x14ac:dyDescent="0.3">
      <c r="A4389" t="s">
        <v>17</v>
      </c>
      <c r="B4389" t="str">
        <f>"688656"</f>
        <v>688656</v>
      </c>
      <c r="C4389" t="s">
        <v>9122</v>
      </c>
      <c r="D4389" t="s">
        <v>773</v>
      </c>
      <c r="E4389">
        <v>31231979</v>
      </c>
      <c r="F4389">
        <v>25391223</v>
      </c>
      <c r="P4389">
        <v>59</v>
      </c>
      <c r="Q4389" t="s">
        <v>9123</v>
      </c>
    </row>
    <row r="4390" spans="1:17" x14ac:dyDescent="0.3">
      <c r="A4390" t="s">
        <v>73</v>
      </c>
      <c r="B4390" t="str">
        <f>"000975"</f>
        <v>000975</v>
      </c>
      <c r="C4390" t="s">
        <v>9124</v>
      </c>
      <c r="D4390" t="s">
        <v>6198</v>
      </c>
      <c r="E4390">
        <v>31211032</v>
      </c>
      <c r="F4390">
        <v>32141583</v>
      </c>
      <c r="G4390">
        <v>40976444</v>
      </c>
      <c r="H4390">
        <v>47978286</v>
      </c>
      <c r="I4390">
        <v>660476</v>
      </c>
      <c r="J4390">
        <v>0</v>
      </c>
      <c r="K4390">
        <v>679886</v>
      </c>
      <c r="L4390">
        <v>0</v>
      </c>
      <c r="M4390">
        <v>3859516</v>
      </c>
      <c r="N4390">
        <v>408405</v>
      </c>
      <c r="O4390">
        <v>6987731</v>
      </c>
      <c r="P4390">
        <v>391</v>
      </c>
      <c r="Q4390" t="s">
        <v>9125</v>
      </c>
    </row>
    <row r="4391" spans="1:17" x14ac:dyDescent="0.3">
      <c r="A4391" t="s">
        <v>73</v>
      </c>
      <c r="B4391" t="str">
        <f>"300333"</f>
        <v>300333</v>
      </c>
      <c r="C4391" t="s">
        <v>9126</v>
      </c>
      <c r="D4391" t="s">
        <v>158</v>
      </c>
      <c r="E4391">
        <v>31192460</v>
      </c>
      <c r="F4391">
        <v>28039088</v>
      </c>
      <c r="G4391">
        <v>31748970</v>
      </c>
      <c r="H4391">
        <v>35644817</v>
      </c>
      <c r="I4391">
        <v>31827268</v>
      </c>
      <c r="J4391">
        <v>24676372</v>
      </c>
      <c r="K4391">
        <v>14751432</v>
      </c>
      <c r="L4391">
        <v>13234762</v>
      </c>
      <c r="M4391">
        <v>8305287</v>
      </c>
      <c r="N4391">
        <v>10071608</v>
      </c>
      <c r="O4391">
        <v>14124611</v>
      </c>
      <c r="P4391">
        <v>94</v>
      </c>
      <c r="Q4391" t="s">
        <v>9127</v>
      </c>
    </row>
    <row r="4392" spans="1:17" x14ac:dyDescent="0.3">
      <c r="A4392" t="s">
        <v>17</v>
      </c>
      <c r="B4392" t="str">
        <f>"605388"</f>
        <v>605388</v>
      </c>
      <c r="C4392" t="s">
        <v>9128</v>
      </c>
      <c r="D4392" t="s">
        <v>1027</v>
      </c>
      <c r="E4392">
        <v>31073017</v>
      </c>
      <c r="F4392">
        <v>2110742</v>
      </c>
      <c r="P4392">
        <v>103</v>
      </c>
      <c r="Q4392" t="s">
        <v>9129</v>
      </c>
    </row>
    <row r="4393" spans="1:17" x14ac:dyDescent="0.3">
      <c r="A4393" t="s">
        <v>17</v>
      </c>
      <c r="B4393" t="str">
        <f>"600818"</f>
        <v>600818</v>
      </c>
      <c r="C4393" t="s">
        <v>9130</v>
      </c>
      <c r="D4393" t="s">
        <v>1324</v>
      </c>
      <c r="E4393">
        <v>30969663</v>
      </c>
      <c r="F4393">
        <v>35688623</v>
      </c>
      <c r="G4393">
        <v>30337923</v>
      </c>
      <c r="H4393">
        <v>37354341</v>
      </c>
      <c r="I4393">
        <v>60839675</v>
      </c>
      <c r="J4393">
        <v>52597760</v>
      </c>
      <c r="K4393">
        <v>67550009</v>
      </c>
      <c r="L4393">
        <v>53030090</v>
      </c>
      <c r="M4393">
        <v>46804231</v>
      </c>
      <c r="N4393">
        <v>44911905</v>
      </c>
      <c r="O4393">
        <v>34168883</v>
      </c>
      <c r="P4393">
        <v>82</v>
      </c>
      <c r="Q4393" t="s">
        <v>9131</v>
      </c>
    </row>
    <row r="4394" spans="1:17" x14ac:dyDescent="0.3">
      <c r="A4394" t="s">
        <v>17</v>
      </c>
      <c r="B4394" t="str">
        <f>"600608"</f>
        <v>600608</v>
      </c>
      <c r="C4394" t="s">
        <v>9132</v>
      </c>
      <c r="D4394" t="s">
        <v>299</v>
      </c>
      <c r="E4394">
        <v>30941024</v>
      </c>
      <c r="F4394">
        <v>152396996</v>
      </c>
      <c r="G4394">
        <v>40202818</v>
      </c>
      <c r="H4394">
        <v>56988472</v>
      </c>
      <c r="I4394">
        <v>1537253</v>
      </c>
      <c r="J4394">
        <v>54868637</v>
      </c>
      <c r="K4394">
        <v>56003201</v>
      </c>
      <c r="L4394">
        <v>68443523</v>
      </c>
      <c r="M4394">
        <v>78778714</v>
      </c>
      <c r="N4394">
        <v>79778782</v>
      </c>
      <c r="O4394">
        <v>87612012</v>
      </c>
      <c r="P4394">
        <v>47</v>
      </c>
      <c r="Q4394" t="s">
        <v>9133</v>
      </c>
    </row>
    <row r="4395" spans="1:17" x14ac:dyDescent="0.3">
      <c r="A4395" t="s">
        <v>17</v>
      </c>
      <c r="B4395" t="str">
        <f>"600767"</f>
        <v>600767</v>
      </c>
      <c r="C4395" t="s">
        <v>9134</v>
      </c>
      <c r="D4395" t="s">
        <v>50</v>
      </c>
      <c r="E4395">
        <v>30840564</v>
      </c>
      <c r="F4395">
        <v>21875753</v>
      </c>
      <c r="G4395">
        <v>46348290</v>
      </c>
      <c r="H4395">
        <v>92162349</v>
      </c>
      <c r="I4395">
        <v>35926215</v>
      </c>
      <c r="J4395">
        <v>12534717</v>
      </c>
      <c r="K4395">
        <v>44940457</v>
      </c>
      <c r="L4395">
        <v>98022391</v>
      </c>
      <c r="M4395">
        <v>96280457</v>
      </c>
      <c r="N4395">
        <v>109954434</v>
      </c>
      <c r="O4395">
        <v>70948990</v>
      </c>
      <c r="P4395">
        <v>62</v>
      </c>
      <c r="Q4395" t="s">
        <v>9135</v>
      </c>
    </row>
    <row r="4396" spans="1:17" x14ac:dyDescent="0.3">
      <c r="A4396" t="s">
        <v>17</v>
      </c>
      <c r="B4396" t="str">
        <f>"603216"</f>
        <v>603216</v>
      </c>
      <c r="C4396" t="s">
        <v>9136</v>
      </c>
      <c r="D4396" t="s">
        <v>2533</v>
      </c>
      <c r="E4396">
        <v>30716518</v>
      </c>
      <c r="P4396">
        <v>22</v>
      </c>
      <c r="Q4396" t="s">
        <v>9137</v>
      </c>
    </row>
    <row r="4397" spans="1:17" x14ac:dyDescent="0.3">
      <c r="A4397" t="s">
        <v>17</v>
      </c>
      <c r="B4397" t="str">
        <f>"605499"</f>
        <v>605499</v>
      </c>
      <c r="C4397" t="s">
        <v>9138</v>
      </c>
      <c r="D4397" t="s">
        <v>4013</v>
      </c>
      <c r="E4397">
        <v>30533110</v>
      </c>
      <c r="F4397">
        <v>22366827</v>
      </c>
      <c r="P4397">
        <v>282</v>
      </c>
      <c r="Q4397" t="s">
        <v>9139</v>
      </c>
    </row>
    <row r="4398" spans="1:17" x14ac:dyDescent="0.3">
      <c r="A4398" t="s">
        <v>17</v>
      </c>
      <c r="B4398" t="str">
        <f>"600828"</f>
        <v>600828</v>
      </c>
      <c r="C4398" t="s">
        <v>9140</v>
      </c>
      <c r="D4398" t="s">
        <v>638</v>
      </c>
      <c r="E4398">
        <v>30419128</v>
      </c>
      <c r="F4398">
        <v>34375906</v>
      </c>
      <c r="G4398">
        <v>25067591</v>
      </c>
      <c r="H4398">
        <v>120766824</v>
      </c>
      <c r="I4398">
        <v>78799515</v>
      </c>
      <c r="J4398">
        <v>44176374</v>
      </c>
      <c r="K4398">
        <v>15833244</v>
      </c>
      <c r="L4398">
        <v>7823883</v>
      </c>
      <c r="M4398">
        <v>8680045</v>
      </c>
      <c r="N4398">
        <v>9805732</v>
      </c>
      <c r="O4398">
        <v>6407884</v>
      </c>
      <c r="P4398">
        <v>628</v>
      </c>
      <c r="Q4398" t="s">
        <v>9141</v>
      </c>
    </row>
    <row r="4399" spans="1:17" x14ac:dyDescent="0.3">
      <c r="A4399" t="s">
        <v>73</v>
      </c>
      <c r="B4399" t="str">
        <f>"300962"</f>
        <v>300962</v>
      </c>
      <c r="C4399" t="s">
        <v>9142</v>
      </c>
      <c r="D4399" t="s">
        <v>8490</v>
      </c>
      <c r="E4399">
        <v>30407601</v>
      </c>
      <c r="F4399">
        <v>25420909</v>
      </c>
      <c r="P4399">
        <v>32</v>
      </c>
      <c r="Q4399" t="s">
        <v>9143</v>
      </c>
    </row>
    <row r="4400" spans="1:17" x14ac:dyDescent="0.3">
      <c r="A4400" t="s">
        <v>73</v>
      </c>
      <c r="B4400" t="str">
        <f>"301179"</f>
        <v>301179</v>
      </c>
      <c r="C4400" t="s">
        <v>9144</v>
      </c>
      <c r="D4400" t="s">
        <v>161</v>
      </c>
      <c r="E4400">
        <v>30143598</v>
      </c>
      <c r="P4400">
        <v>17</v>
      </c>
      <c r="Q4400" t="s">
        <v>9145</v>
      </c>
    </row>
    <row r="4401" spans="1:17" x14ac:dyDescent="0.3">
      <c r="A4401" t="s">
        <v>73</v>
      </c>
      <c r="B4401" t="str">
        <f>"301130"</f>
        <v>301130</v>
      </c>
      <c r="C4401" t="s">
        <v>9146</v>
      </c>
      <c r="E4401">
        <v>29962621</v>
      </c>
      <c r="P4401">
        <v>7</v>
      </c>
      <c r="Q4401" t="s">
        <v>9147</v>
      </c>
    </row>
    <row r="4402" spans="1:17" x14ac:dyDescent="0.3">
      <c r="A4402" t="s">
        <v>17</v>
      </c>
      <c r="B4402" t="str">
        <f>"600844"</f>
        <v>600844</v>
      </c>
      <c r="C4402" t="s">
        <v>9148</v>
      </c>
      <c r="D4402" t="s">
        <v>1145</v>
      </c>
      <c r="E4402">
        <v>29894116</v>
      </c>
      <c r="F4402">
        <v>53284188</v>
      </c>
      <c r="G4402">
        <v>50928495</v>
      </c>
      <c r="H4402">
        <v>63762687</v>
      </c>
      <c r="I4402">
        <v>24606964</v>
      </c>
      <c r="J4402">
        <v>34779503</v>
      </c>
      <c r="K4402">
        <v>26315413</v>
      </c>
      <c r="L4402">
        <v>5219705</v>
      </c>
      <c r="M4402">
        <v>11893088</v>
      </c>
      <c r="N4402">
        <v>11733142</v>
      </c>
      <c r="O4402">
        <v>17930865</v>
      </c>
      <c r="P4402">
        <v>106</v>
      </c>
      <c r="Q4402" t="s">
        <v>9149</v>
      </c>
    </row>
    <row r="4403" spans="1:17" x14ac:dyDescent="0.3">
      <c r="A4403" t="s">
        <v>17</v>
      </c>
      <c r="B4403" t="str">
        <f>"688188"</f>
        <v>688188</v>
      </c>
      <c r="C4403" t="s">
        <v>9150</v>
      </c>
      <c r="D4403" t="s">
        <v>158</v>
      </c>
      <c r="E4403">
        <v>29875922</v>
      </c>
      <c r="F4403">
        <v>27624223</v>
      </c>
      <c r="G4403">
        <v>19597167</v>
      </c>
      <c r="H4403">
        <v>13542522</v>
      </c>
      <c r="P4403">
        <v>363</v>
      </c>
      <c r="Q4403" t="s">
        <v>9151</v>
      </c>
    </row>
    <row r="4404" spans="1:17" x14ac:dyDescent="0.3">
      <c r="A4404" t="s">
        <v>73</v>
      </c>
      <c r="B4404" t="str">
        <f>"300970"</f>
        <v>300970</v>
      </c>
      <c r="C4404" t="s">
        <v>9152</v>
      </c>
      <c r="D4404" t="s">
        <v>9052</v>
      </c>
      <c r="E4404">
        <v>29749721</v>
      </c>
      <c r="F4404">
        <v>27265577</v>
      </c>
      <c r="P4404">
        <v>25</v>
      </c>
      <c r="Q4404" t="s">
        <v>9153</v>
      </c>
    </row>
    <row r="4405" spans="1:17" x14ac:dyDescent="0.3">
      <c r="A4405" t="s">
        <v>73</v>
      </c>
      <c r="B4405" t="str">
        <f>"301103"</f>
        <v>301103</v>
      </c>
      <c r="C4405" t="s">
        <v>9154</v>
      </c>
      <c r="E4405">
        <v>29713992</v>
      </c>
      <c r="P4405">
        <v>5</v>
      </c>
      <c r="Q4405" t="s">
        <v>9155</v>
      </c>
    </row>
    <row r="4406" spans="1:17" x14ac:dyDescent="0.3">
      <c r="A4406" t="s">
        <v>73</v>
      </c>
      <c r="B4406" t="str">
        <f>"300306"</f>
        <v>300306</v>
      </c>
      <c r="C4406" t="s">
        <v>9156</v>
      </c>
      <c r="D4406" t="s">
        <v>2280</v>
      </c>
      <c r="E4406">
        <v>29248404</v>
      </c>
      <c r="F4406">
        <v>52982931</v>
      </c>
      <c r="G4406">
        <v>52628844</v>
      </c>
      <c r="H4406">
        <v>56803229</v>
      </c>
      <c r="I4406">
        <v>172281349</v>
      </c>
      <c r="J4406">
        <v>73045220</v>
      </c>
      <c r="K4406">
        <v>5297687</v>
      </c>
      <c r="L4406">
        <v>5434976</v>
      </c>
      <c r="M4406">
        <v>2816373</v>
      </c>
      <c r="N4406">
        <v>2483536</v>
      </c>
      <c r="O4406">
        <v>3922705</v>
      </c>
      <c r="P4406">
        <v>169</v>
      </c>
      <c r="Q4406" t="s">
        <v>9157</v>
      </c>
    </row>
    <row r="4407" spans="1:17" x14ac:dyDescent="0.3">
      <c r="A4407" t="s">
        <v>17</v>
      </c>
      <c r="B4407" t="str">
        <f>"600162"</f>
        <v>600162</v>
      </c>
      <c r="C4407" t="s">
        <v>9158</v>
      </c>
      <c r="D4407" t="s">
        <v>27</v>
      </c>
      <c r="E4407">
        <v>29114578</v>
      </c>
      <c r="F4407">
        <v>14188836</v>
      </c>
      <c r="G4407">
        <v>77927303</v>
      </c>
      <c r="H4407">
        <v>71309369</v>
      </c>
      <c r="I4407">
        <v>142543833</v>
      </c>
      <c r="J4407">
        <v>36842375</v>
      </c>
      <c r="K4407">
        <v>78221228</v>
      </c>
      <c r="L4407">
        <v>42162191</v>
      </c>
      <c r="M4407">
        <v>12430024</v>
      </c>
      <c r="N4407">
        <v>58175408</v>
      </c>
      <c r="O4407">
        <v>47498921</v>
      </c>
      <c r="P4407">
        <v>170</v>
      </c>
      <c r="Q4407" t="s">
        <v>9159</v>
      </c>
    </row>
    <row r="4408" spans="1:17" x14ac:dyDescent="0.3">
      <c r="A4408" t="s">
        <v>73</v>
      </c>
      <c r="B4408" t="str">
        <f>"002417"</f>
        <v>002417</v>
      </c>
      <c r="C4408" t="s">
        <v>9160</v>
      </c>
      <c r="D4408" t="s">
        <v>302</v>
      </c>
      <c r="E4408">
        <v>28969062</v>
      </c>
      <c r="F4408">
        <v>72877757</v>
      </c>
      <c r="G4408">
        <v>38011999</v>
      </c>
      <c r="H4408">
        <v>29696069</v>
      </c>
      <c r="I4408">
        <v>192556202</v>
      </c>
      <c r="J4408">
        <v>23597679</v>
      </c>
      <c r="K4408">
        <v>394071254</v>
      </c>
      <c r="L4408">
        <v>409923364</v>
      </c>
      <c r="M4408">
        <v>616286209</v>
      </c>
      <c r="N4408">
        <v>652130785</v>
      </c>
      <c r="O4408">
        <v>376187508</v>
      </c>
      <c r="P4408">
        <v>140</v>
      </c>
      <c r="Q4408" t="s">
        <v>9161</v>
      </c>
    </row>
    <row r="4409" spans="1:17" x14ac:dyDescent="0.3">
      <c r="A4409" t="s">
        <v>73</v>
      </c>
      <c r="B4409" t="str">
        <f>"000819"</f>
        <v>000819</v>
      </c>
      <c r="C4409" t="s">
        <v>9162</v>
      </c>
      <c r="D4409" t="s">
        <v>998</v>
      </c>
      <c r="E4409">
        <v>28967485</v>
      </c>
      <c r="F4409">
        <v>16458358</v>
      </c>
      <c r="G4409">
        <v>17155976</v>
      </c>
      <c r="H4409">
        <v>11546839</v>
      </c>
      <c r="I4409">
        <v>20406531</v>
      </c>
      <c r="J4409">
        <v>5685646</v>
      </c>
      <c r="K4409">
        <v>17041831</v>
      </c>
      <c r="L4409">
        <v>5929056</v>
      </c>
      <c r="M4409">
        <v>4684993</v>
      </c>
      <c r="N4409">
        <v>13366264</v>
      </c>
      <c r="O4409">
        <v>2525093</v>
      </c>
      <c r="P4409">
        <v>81</v>
      </c>
      <c r="Q4409" t="s">
        <v>9163</v>
      </c>
    </row>
    <row r="4410" spans="1:17" x14ac:dyDescent="0.3">
      <c r="A4410" t="s">
        <v>73</v>
      </c>
      <c r="B4410" t="str">
        <f>"000526"</f>
        <v>000526</v>
      </c>
      <c r="C4410" t="s">
        <v>9164</v>
      </c>
      <c r="D4410" t="s">
        <v>4778</v>
      </c>
      <c r="E4410">
        <v>28523340</v>
      </c>
      <c r="F4410">
        <v>39580321</v>
      </c>
      <c r="G4410">
        <v>38648925</v>
      </c>
      <c r="H4410">
        <v>32344107</v>
      </c>
      <c r="I4410">
        <v>22552841</v>
      </c>
      <c r="J4410">
        <v>41387861</v>
      </c>
      <c r="K4410">
        <v>21866663</v>
      </c>
      <c r="L4410">
        <v>7445646</v>
      </c>
      <c r="M4410">
        <v>1527696</v>
      </c>
      <c r="N4410">
        <v>3328588</v>
      </c>
      <c r="O4410">
        <v>0</v>
      </c>
      <c r="P4410">
        <v>201</v>
      </c>
      <c r="Q4410" t="s">
        <v>9165</v>
      </c>
    </row>
    <row r="4411" spans="1:17" x14ac:dyDescent="0.3">
      <c r="A4411" t="s">
        <v>17</v>
      </c>
      <c r="B4411" t="str">
        <f>"600610"</f>
        <v>600610</v>
      </c>
      <c r="C4411" t="s">
        <v>9166</v>
      </c>
      <c r="D4411" t="s">
        <v>4692</v>
      </c>
      <c r="E4411">
        <v>28459101</v>
      </c>
      <c r="F4411">
        <v>36634483</v>
      </c>
      <c r="G4411">
        <v>36833811</v>
      </c>
      <c r="H4411">
        <v>0</v>
      </c>
      <c r="I4411">
        <v>18297917</v>
      </c>
      <c r="J4411">
        <v>302326175</v>
      </c>
      <c r="K4411">
        <v>9826275</v>
      </c>
      <c r="L4411">
        <v>13073043</v>
      </c>
      <c r="M4411">
        <v>2893528</v>
      </c>
      <c r="N4411">
        <v>10450294</v>
      </c>
      <c r="O4411">
        <v>6914792</v>
      </c>
      <c r="P4411">
        <v>91</v>
      </c>
      <c r="Q4411" t="s">
        <v>9167</v>
      </c>
    </row>
    <row r="4412" spans="1:17" x14ac:dyDescent="0.3">
      <c r="A4412" t="s">
        <v>17</v>
      </c>
      <c r="B4412" t="str">
        <f>"600149"</f>
        <v>600149</v>
      </c>
      <c r="C4412" t="s">
        <v>9168</v>
      </c>
      <c r="D4412" t="s">
        <v>1106</v>
      </c>
      <c r="E4412">
        <v>28428834</v>
      </c>
      <c r="F4412">
        <v>14410945</v>
      </c>
      <c r="G4412">
        <v>12825714</v>
      </c>
      <c r="H4412">
        <v>17661172</v>
      </c>
      <c r="I4412">
        <v>1237144</v>
      </c>
      <c r="J4412">
        <v>2028623</v>
      </c>
      <c r="K4412">
        <v>7877088</v>
      </c>
      <c r="L4412">
        <v>11347832</v>
      </c>
      <c r="M4412">
        <v>14169842</v>
      </c>
      <c r="N4412">
        <v>13840005</v>
      </c>
      <c r="O4412">
        <v>4504401</v>
      </c>
      <c r="P4412">
        <v>44</v>
      </c>
      <c r="Q4412" t="s">
        <v>9169</v>
      </c>
    </row>
    <row r="4413" spans="1:17" x14ac:dyDescent="0.3">
      <c r="A4413" t="s">
        <v>17</v>
      </c>
      <c r="B4413" t="str">
        <f>"688338"</f>
        <v>688338</v>
      </c>
      <c r="C4413" t="s">
        <v>9170</v>
      </c>
      <c r="D4413" t="s">
        <v>773</v>
      </c>
      <c r="E4413">
        <v>28331387</v>
      </c>
      <c r="F4413">
        <v>20672376</v>
      </c>
      <c r="G4413">
        <v>0</v>
      </c>
      <c r="P4413">
        <v>56</v>
      </c>
      <c r="Q4413" t="s">
        <v>9171</v>
      </c>
    </row>
    <row r="4414" spans="1:17" x14ac:dyDescent="0.3">
      <c r="A4414" t="s">
        <v>17</v>
      </c>
      <c r="B4414" t="str">
        <f>"688722"</f>
        <v>688722</v>
      </c>
      <c r="C4414" t="s">
        <v>9172</v>
      </c>
      <c r="D4414" t="s">
        <v>4202</v>
      </c>
      <c r="E4414">
        <v>28228735</v>
      </c>
      <c r="P4414">
        <v>13</v>
      </c>
      <c r="Q4414" t="s">
        <v>9173</v>
      </c>
    </row>
    <row r="4415" spans="1:17" x14ac:dyDescent="0.3">
      <c r="A4415" t="s">
        <v>73</v>
      </c>
      <c r="B4415" t="str">
        <f>"300314"</f>
        <v>300314</v>
      </c>
      <c r="C4415" t="s">
        <v>9174</v>
      </c>
      <c r="D4415" t="s">
        <v>692</v>
      </c>
      <c r="E4415">
        <v>28192090</v>
      </c>
      <c r="F4415">
        <v>21165973</v>
      </c>
      <c r="G4415">
        <v>20524616</v>
      </c>
      <c r="H4415">
        <v>0</v>
      </c>
      <c r="I4415">
        <v>39284627</v>
      </c>
      <c r="J4415">
        <v>22940796</v>
      </c>
      <c r="K4415">
        <v>32003789</v>
      </c>
      <c r="L4415">
        <v>25234245</v>
      </c>
      <c r="M4415">
        <v>37752090</v>
      </c>
      <c r="N4415">
        <v>25425130</v>
      </c>
      <c r="O4415">
        <v>11863669</v>
      </c>
      <c r="P4415">
        <v>196</v>
      </c>
      <c r="Q4415" t="s">
        <v>9175</v>
      </c>
    </row>
    <row r="4416" spans="1:17" x14ac:dyDescent="0.3">
      <c r="A4416" t="s">
        <v>17</v>
      </c>
      <c r="B4416" t="str">
        <f>"603102"</f>
        <v>603102</v>
      </c>
      <c r="C4416" t="s">
        <v>9176</v>
      </c>
      <c r="E4416">
        <v>28139006</v>
      </c>
      <c r="P4416">
        <v>13</v>
      </c>
      <c r="Q4416" t="s">
        <v>9177</v>
      </c>
    </row>
    <row r="4417" spans="1:17" x14ac:dyDescent="0.3">
      <c r="A4417" t="s">
        <v>17</v>
      </c>
      <c r="B4417" t="str">
        <f>"600088"</f>
        <v>600088</v>
      </c>
      <c r="C4417" t="s">
        <v>9178</v>
      </c>
      <c r="D4417" t="s">
        <v>425</v>
      </c>
      <c r="E4417">
        <v>27843690</v>
      </c>
      <c r="F4417">
        <v>25303957</v>
      </c>
      <c r="G4417">
        <v>34196729</v>
      </c>
      <c r="H4417">
        <v>58072689</v>
      </c>
      <c r="I4417">
        <v>6773091</v>
      </c>
      <c r="J4417">
        <v>9386230</v>
      </c>
      <c r="K4417">
        <v>82720038</v>
      </c>
      <c r="L4417">
        <v>100251021</v>
      </c>
      <c r="M4417">
        <v>97925453</v>
      </c>
      <c r="N4417">
        <v>158474038</v>
      </c>
      <c r="O4417">
        <v>44401583</v>
      </c>
      <c r="P4417">
        <v>114</v>
      </c>
      <c r="Q4417" t="s">
        <v>9179</v>
      </c>
    </row>
    <row r="4418" spans="1:17" x14ac:dyDescent="0.3">
      <c r="A4418" t="s">
        <v>73</v>
      </c>
      <c r="B4418" t="str">
        <f>"000520"</f>
        <v>000520</v>
      </c>
      <c r="C4418" t="s">
        <v>9180</v>
      </c>
      <c r="D4418" t="s">
        <v>246</v>
      </c>
      <c r="E4418">
        <v>27497332</v>
      </c>
      <c r="F4418">
        <v>36089523</v>
      </c>
      <c r="G4418">
        <v>20323073</v>
      </c>
      <c r="H4418">
        <v>53789910</v>
      </c>
      <c r="I4418">
        <v>66650342</v>
      </c>
      <c r="J4418">
        <v>163044577</v>
      </c>
      <c r="K4418">
        <v>201997853</v>
      </c>
      <c r="L4418">
        <v>194764980</v>
      </c>
      <c r="M4418">
        <v>156646223</v>
      </c>
      <c r="N4418">
        <v>265523714</v>
      </c>
      <c r="O4418">
        <v>261083407</v>
      </c>
      <c r="P4418">
        <v>110</v>
      </c>
      <c r="Q4418" t="s">
        <v>9181</v>
      </c>
    </row>
    <row r="4419" spans="1:17" x14ac:dyDescent="0.3">
      <c r="A4419" t="s">
        <v>73</v>
      </c>
      <c r="B4419" t="str">
        <f>"002700"</f>
        <v>002700</v>
      </c>
      <c r="C4419" t="s">
        <v>9182</v>
      </c>
      <c r="D4419" t="s">
        <v>469</v>
      </c>
      <c r="E4419">
        <v>27452456</v>
      </c>
      <c r="F4419">
        <v>26822013</v>
      </c>
      <c r="G4419">
        <v>28908031</v>
      </c>
      <c r="H4419">
        <v>38985356</v>
      </c>
      <c r="I4419">
        <v>36506085</v>
      </c>
      <c r="J4419">
        <v>37326784</v>
      </c>
      <c r="K4419">
        <v>42537110</v>
      </c>
      <c r="L4419">
        <v>34838486</v>
      </c>
      <c r="M4419">
        <v>29408390</v>
      </c>
      <c r="N4419">
        <v>22511952</v>
      </c>
      <c r="O4419">
        <v>0</v>
      </c>
      <c r="P4419">
        <v>53</v>
      </c>
      <c r="Q4419" t="s">
        <v>9183</v>
      </c>
    </row>
    <row r="4420" spans="1:17" x14ac:dyDescent="0.3">
      <c r="A4420" t="s">
        <v>17</v>
      </c>
      <c r="B4420" t="str">
        <f>"601236"</f>
        <v>601236</v>
      </c>
      <c r="C4420" t="s">
        <v>9184</v>
      </c>
      <c r="D4420" t="s">
        <v>53</v>
      </c>
      <c r="E4420">
        <v>27128190</v>
      </c>
      <c r="F4420">
        <v>49544117</v>
      </c>
      <c r="G4420">
        <v>0</v>
      </c>
      <c r="H4420">
        <v>0</v>
      </c>
      <c r="M4420">
        <v>0</v>
      </c>
      <c r="N4420">
        <v>0</v>
      </c>
      <c r="P4420">
        <v>879</v>
      </c>
      <c r="Q4420" t="s">
        <v>9185</v>
      </c>
    </row>
    <row r="4421" spans="1:17" x14ac:dyDescent="0.3">
      <c r="A4421" t="s">
        <v>17</v>
      </c>
      <c r="B4421" t="str">
        <f>"600113"</f>
        <v>600113</v>
      </c>
      <c r="C4421" t="s">
        <v>9186</v>
      </c>
      <c r="D4421" t="s">
        <v>1463</v>
      </c>
      <c r="E4421">
        <v>26954304</v>
      </c>
      <c r="F4421">
        <v>36246156</v>
      </c>
      <c r="G4421">
        <v>32210742</v>
      </c>
      <c r="H4421">
        <v>24818931</v>
      </c>
      <c r="I4421">
        <v>9578769</v>
      </c>
      <c r="J4421">
        <v>5113544</v>
      </c>
      <c r="K4421">
        <v>7717691</v>
      </c>
      <c r="L4421">
        <v>37103</v>
      </c>
      <c r="M4421">
        <v>80331</v>
      </c>
      <c r="N4421">
        <v>495203</v>
      </c>
      <c r="O4421">
        <v>0</v>
      </c>
      <c r="P4421">
        <v>136</v>
      </c>
      <c r="Q4421" t="s">
        <v>9187</v>
      </c>
    </row>
    <row r="4422" spans="1:17" x14ac:dyDescent="0.3">
      <c r="A4422" t="s">
        <v>73</v>
      </c>
      <c r="B4422" t="str">
        <f>"000798"</f>
        <v>000798</v>
      </c>
      <c r="C4422" t="s">
        <v>9188</v>
      </c>
      <c r="D4422" t="s">
        <v>8138</v>
      </c>
      <c r="E4422">
        <v>26930731</v>
      </c>
      <c r="F4422">
        <v>30190947</v>
      </c>
      <c r="G4422">
        <v>26531910</v>
      </c>
      <c r="H4422">
        <v>28540338</v>
      </c>
      <c r="I4422">
        <v>31182119</v>
      </c>
      <c r="J4422">
        <v>47384208</v>
      </c>
      <c r="K4422">
        <v>27265446</v>
      </c>
      <c r="L4422">
        <v>168628248</v>
      </c>
      <c r="M4422">
        <v>20290399</v>
      </c>
      <c r="N4422">
        <v>27537137</v>
      </c>
      <c r="O4422">
        <v>9995437</v>
      </c>
      <c r="P4422">
        <v>83</v>
      </c>
      <c r="Q4422" t="s">
        <v>9189</v>
      </c>
    </row>
    <row r="4423" spans="1:17" x14ac:dyDescent="0.3">
      <c r="A4423" t="s">
        <v>73</v>
      </c>
      <c r="B4423" t="str">
        <f>"300915"</f>
        <v>300915</v>
      </c>
      <c r="C4423" t="s">
        <v>9190</v>
      </c>
      <c r="D4423" t="s">
        <v>1027</v>
      </c>
      <c r="E4423">
        <v>26831807</v>
      </c>
      <c r="F4423">
        <v>23597930</v>
      </c>
      <c r="P4423">
        <v>101</v>
      </c>
      <c r="Q4423" t="s">
        <v>9191</v>
      </c>
    </row>
    <row r="4424" spans="1:17" x14ac:dyDescent="0.3">
      <c r="A4424" t="s">
        <v>17</v>
      </c>
      <c r="B4424" t="str">
        <f>"688318"</f>
        <v>688318</v>
      </c>
      <c r="C4424" t="s">
        <v>9192</v>
      </c>
      <c r="D4424" t="s">
        <v>795</v>
      </c>
      <c r="E4424">
        <v>26687593</v>
      </c>
      <c r="F4424">
        <v>25878480</v>
      </c>
      <c r="G4424">
        <v>6298465</v>
      </c>
      <c r="H4424">
        <v>1055422</v>
      </c>
      <c r="P4424">
        <v>155</v>
      </c>
      <c r="Q4424" t="s">
        <v>9193</v>
      </c>
    </row>
    <row r="4425" spans="1:17" x14ac:dyDescent="0.3">
      <c r="A4425" t="s">
        <v>73</v>
      </c>
      <c r="B4425" t="str">
        <f>"002177"</f>
        <v>002177</v>
      </c>
      <c r="C4425" t="s">
        <v>9194</v>
      </c>
      <c r="D4425" t="s">
        <v>158</v>
      </c>
      <c r="E4425">
        <v>26506899</v>
      </c>
      <c r="F4425">
        <v>27983639</v>
      </c>
      <c r="G4425">
        <v>74025719</v>
      </c>
      <c r="H4425">
        <v>98860936</v>
      </c>
      <c r="I4425">
        <v>186333826</v>
      </c>
      <c r="J4425">
        <v>183421268</v>
      </c>
      <c r="K4425">
        <v>414266125</v>
      </c>
      <c r="L4425">
        <v>434943873</v>
      </c>
      <c r="M4425">
        <v>324653526</v>
      </c>
      <c r="N4425">
        <v>225270111</v>
      </c>
      <c r="O4425">
        <v>200221988</v>
      </c>
      <c r="P4425">
        <v>3025</v>
      </c>
      <c r="Q4425" t="s">
        <v>9195</v>
      </c>
    </row>
    <row r="4426" spans="1:17" x14ac:dyDescent="0.3">
      <c r="A4426" t="s">
        <v>73</v>
      </c>
      <c r="B4426" t="str">
        <f>"002461"</f>
        <v>002461</v>
      </c>
      <c r="C4426" t="s">
        <v>9196</v>
      </c>
      <c r="D4426" t="s">
        <v>5451</v>
      </c>
      <c r="E4426">
        <v>26400866</v>
      </c>
      <c r="F4426">
        <v>21461134</v>
      </c>
      <c r="G4426">
        <v>23372417</v>
      </c>
      <c r="H4426">
        <v>16528964</v>
      </c>
      <c r="I4426">
        <v>82119500</v>
      </c>
      <c r="J4426">
        <v>151556856</v>
      </c>
      <c r="K4426">
        <v>264930639</v>
      </c>
      <c r="L4426">
        <v>357858053</v>
      </c>
      <c r="M4426">
        <v>496059234</v>
      </c>
      <c r="N4426">
        <v>553319076</v>
      </c>
      <c r="O4426">
        <v>512761271</v>
      </c>
      <c r="P4426">
        <v>461</v>
      </c>
      <c r="Q4426" t="s">
        <v>9197</v>
      </c>
    </row>
    <row r="4427" spans="1:17" x14ac:dyDescent="0.3">
      <c r="A4427" t="s">
        <v>73</v>
      </c>
      <c r="B4427" t="str">
        <f>"301043"</f>
        <v>301043</v>
      </c>
      <c r="C4427" t="s">
        <v>9198</v>
      </c>
      <c r="D4427" t="s">
        <v>873</v>
      </c>
      <c r="E4427">
        <v>26320488</v>
      </c>
      <c r="F4427">
        <v>15371248</v>
      </c>
      <c r="P4427">
        <v>18</v>
      </c>
      <c r="Q4427" t="s">
        <v>9199</v>
      </c>
    </row>
    <row r="4428" spans="1:17" x14ac:dyDescent="0.3">
      <c r="A4428" t="s">
        <v>73</v>
      </c>
      <c r="B4428" t="str">
        <f>"000860"</f>
        <v>000860</v>
      </c>
      <c r="C4428" t="s">
        <v>9200</v>
      </c>
      <c r="D4428" t="s">
        <v>7050</v>
      </c>
      <c r="E4428">
        <v>26298238</v>
      </c>
      <c r="F4428">
        <v>58614045</v>
      </c>
      <c r="G4428">
        <v>71668483</v>
      </c>
      <c r="H4428">
        <v>94845631</v>
      </c>
      <c r="I4428">
        <v>103768458</v>
      </c>
      <c r="J4428">
        <v>258311967</v>
      </c>
      <c r="K4428">
        <v>235760648</v>
      </c>
      <c r="L4428">
        <v>121280706</v>
      </c>
      <c r="M4428">
        <v>129009897</v>
      </c>
      <c r="N4428">
        <v>194439047</v>
      </c>
      <c r="O4428">
        <v>157686840</v>
      </c>
      <c r="P4428">
        <v>1515</v>
      </c>
      <c r="Q4428" t="s">
        <v>9201</v>
      </c>
    </row>
    <row r="4429" spans="1:17" x14ac:dyDescent="0.3">
      <c r="A4429" t="s">
        <v>73</v>
      </c>
      <c r="B4429" t="str">
        <f>"300688"</f>
        <v>300688</v>
      </c>
      <c r="C4429" t="s">
        <v>9202</v>
      </c>
      <c r="D4429" t="s">
        <v>4778</v>
      </c>
      <c r="E4429">
        <v>26108413</v>
      </c>
      <c r="F4429">
        <v>3533898</v>
      </c>
      <c r="G4429">
        <v>17155274</v>
      </c>
      <c r="H4429">
        <v>49066520</v>
      </c>
      <c r="I4429">
        <v>41085419</v>
      </c>
      <c r="J4429">
        <v>14470432</v>
      </c>
      <c r="P4429">
        <v>83</v>
      </c>
      <c r="Q4429" t="s">
        <v>9203</v>
      </c>
    </row>
    <row r="4430" spans="1:17" x14ac:dyDescent="0.3">
      <c r="A4430" t="s">
        <v>17</v>
      </c>
      <c r="B4430" t="str">
        <f>"600540"</f>
        <v>600540</v>
      </c>
      <c r="C4430" t="s">
        <v>9204</v>
      </c>
      <c r="D4430" t="s">
        <v>2090</v>
      </c>
      <c r="E4430">
        <v>25835906</v>
      </c>
      <c r="F4430">
        <v>24940851</v>
      </c>
      <c r="G4430">
        <v>33612844</v>
      </c>
      <c r="H4430">
        <v>83375391</v>
      </c>
      <c r="I4430">
        <v>283642438</v>
      </c>
      <c r="J4430">
        <v>222382095</v>
      </c>
      <c r="K4430">
        <v>121790915</v>
      </c>
      <c r="L4430">
        <v>136548259</v>
      </c>
      <c r="M4430">
        <v>103069378</v>
      </c>
      <c r="N4430">
        <v>63469745</v>
      </c>
      <c r="O4430">
        <v>213403781</v>
      </c>
      <c r="P4430">
        <v>97</v>
      </c>
      <c r="Q4430" t="s">
        <v>9205</v>
      </c>
    </row>
    <row r="4431" spans="1:17" x14ac:dyDescent="0.3">
      <c r="A4431" t="s">
        <v>73</v>
      </c>
      <c r="B4431" t="str">
        <f>"002076"</f>
        <v>002076</v>
      </c>
      <c r="C4431" t="s">
        <v>9206</v>
      </c>
      <c r="D4431" t="s">
        <v>1424</v>
      </c>
      <c r="E4431">
        <v>25835523</v>
      </c>
      <c r="F4431">
        <v>89917979</v>
      </c>
      <c r="G4431">
        <v>106370882</v>
      </c>
      <c r="H4431">
        <v>379524409</v>
      </c>
      <c r="I4431">
        <v>647933450</v>
      </c>
      <c r="J4431">
        <v>264918321</v>
      </c>
      <c r="K4431">
        <v>218856161</v>
      </c>
      <c r="L4431">
        <v>255103342</v>
      </c>
      <c r="M4431">
        <v>124664571</v>
      </c>
      <c r="N4431">
        <v>209654640</v>
      </c>
      <c r="O4431">
        <v>178855315</v>
      </c>
      <c r="P4431">
        <v>100</v>
      </c>
      <c r="Q4431" t="s">
        <v>9207</v>
      </c>
    </row>
    <row r="4432" spans="1:17" x14ac:dyDescent="0.3">
      <c r="A4432" t="s">
        <v>17</v>
      </c>
      <c r="B4432" t="str">
        <f>"600768"</f>
        <v>600768</v>
      </c>
      <c r="C4432" t="s">
        <v>9208</v>
      </c>
      <c r="D4432" t="s">
        <v>616</v>
      </c>
      <c r="E4432">
        <v>25366333</v>
      </c>
      <c r="F4432">
        <v>55093604</v>
      </c>
      <c r="G4432">
        <v>41541858</v>
      </c>
      <c r="H4432">
        <v>29996119</v>
      </c>
      <c r="I4432">
        <v>31359237</v>
      </c>
      <c r="J4432">
        <v>33239576</v>
      </c>
      <c r="K4432">
        <v>32488283</v>
      </c>
      <c r="L4432">
        <v>42954159</v>
      </c>
      <c r="M4432">
        <v>41612691</v>
      </c>
      <c r="N4432">
        <v>31480265</v>
      </c>
      <c r="O4432">
        <v>25251402</v>
      </c>
      <c r="P4432">
        <v>88</v>
      </c>
      <c r="Q4432" t="s">
        <v>9209</v>
      </c>
    </row>
    <row r="4433" spans="1:17" x14ac:dyDescent="0.3">
      <c r="A4433" t="s">
        <v>17</v>
      </c>
      <c r="B4433" t="str">
        <f>"600892"</f>
        <v>600892</v>
      </c>
      <c r="C4433" t="s">
        <v>9210</v>
      </c>
      <c r="D4433" t="s">
        <v>899</v>
      </c>
      <c r="E4433">
        <v>25276552</v>
      </c>
      <c r="F4433">
        <v>25143686</v>
      </c>
      <c r="G4433">
        <v>56196462</v>
      </c>
      <c r="H4433">
        <v>115460239</v>
      </c>
      <c r="I4433">
        <v>142396357</v>
      </c>
      <c r="J4433">
        <v>100964536</v>
      </c>
      <c r="K4433">
        <v>86195184</v>
      </c>
      <c r="L4433">
        <v>4489951</v>
      </c>
      <c r="M4433">
        <v>69844062</v>
      </c>
      <c r="N4433">
        <v>30246780</v>
      </c>
      <c r="O4433">
        <v>10550201</v>
      </c>
      <c r="P4433">
        <v>85</v>
      </c>
      <c r="Q4433" t="s">
        <v>9211</v>
      </c>
    </row>
    <row r="4434" spans="1:17" x14ac:dyDescent="0.3">
      <c r="A4434" t="s">
        <v>17</v>
      </c>
      <c r="B4434" t="str">
        <f>"605169"</f>
        <v>605169</v>
      </c>
      <c r="C4434" t="s">
        <v>9212</v>
      </c>
      <c r="D4434" t="s">
        <v>469</v>
      </c>
      <c r="E4434">
        <v>25241537</v>
      </c>
      <c r="F4434">
        <v>18853572</v>
      </c>
      <c r="P4434">
        <v>62</v>
      </c>
      <c r="Q4434" t="s">
        <v>9213</v>
      </c>
    </row>
    <row r="4435" spans="1:17" x14ac:dyDescent="0.3">
      <c r="A4435" t="s">
        <v>17</v>
      </c>
      <c r="B4435" t="str">
        <f>"600084"</f>
        <v>600084</v>
      </c>
      <c r="C4435" t="s">
        <v>9214</v>
      </c>
      <c r="D4435" t="s">
        <v>7055</v>
      </c>
      <c r="E4435">
        <v>24834904</v>
      </c>
      <c r="F4435">
        <v>52500245</v>
      </c>
      <c r="G4435">
        <v>58967976</v>
      </c>
      <c r="H4435">
        <v>41808395</v>
      </c>
      <c r="I4435">
        <v>63382073</v>
      </c>
      <c r="J4435">
        <v>57306750</v>
      </c>
      <c r="K4435">
        <v>107543358</v>
      </c>
      <c r="L4435">
        <v>203076337</v>
      </c>
      <c r="M4435">
        <v>121096053</v>
      </c>
      <c r="N4435">
        <v>38093422</v>
      </c>
      <c r="O4435">
        <v>75245421</v>
      </c>
      <c r="P4435">
        <v>99</v>
      </c>
      <c r="Q4435" t="s">
        <v>9215</v>
      </c>
    </row>
    <row r="4436" spans="1:17" x14ac:dyDescent="0.3">
      <c r="A4436" t="s">
        <v>73</v>
      </c>
      <c r="B4436" t="str">
        <f>"000408"</f>
        <v>000408</v>
      </c>
      <c r="C4436" t="s">
        <v>9216</v>
      </c>
      <c r="D4436" t="s">
        <v>4044</v>
      </c>
      <c r="E4436">
        <v>24796781</v>
      </c>
      <c r="F4436">
        <v>39105401</v>
      </c>
      <c r="G4436">
        <v>309778184</v>
      </c>
      <c r="H4436">
        <v>1659717508</v>
      </c>
      <c r="I4436">
        <v>762393302</v>
      </c>
      <c r="J4436">
        <v>366523720</v>
      </c>
      <c r="K4436">
        <v>86230287</v>
      </c>
      <c r="L4436">
        <v>91379343</v>
      </c>
      <c r="M4436">
        <v>34654344</v>
      </c>
      <c r="N4436">
        <v>115911967</v>
      </c>
      <c r="O4436">
        <v>2475787</v>
      </c>
      <c r="P4436">
        <v>188</v>
      </c>
      <c r="Q4436" t="s">
        <v>9217</v>
      </c>
    </row>
    <row r="4437" spans="1:17" x14ac:dyDescent="0.3">
      <c r="A4437" t="s">
        <v>17</v>
      </c>
      <c r="B4437" t="str">
        <f>"688163"</f>
        <v>688163</v>
      </c>
      <c r="C4437" t="s">
        <v>9218</v>
      </c>
      <c r="E4437">
        <v>24782197</v>
      </c>
      <c r="P4437">
        <v>12</v>
      </c>
      <c r="Q4437" t="s">
        <v>9219</v>
      </c>
    </row>
    <row r="4438" spans="1:17" x14ac:dyDescent="0.3">
      <c r="A4438" t="s">
        <v>17</v>
      </c>
      <c r="B4438" t="str">
        <f>"600872"</f>
        <v>600872</v>
      </c>
      <c r="C4438" t="s">
        <v>9220</v>
      </c>
      <c r="D4438" t="s">
        <v>1851</v>
      </c>
      <c r="E4438">
        <v>24513202</v>
      </c>
      <c r="F4438">
        <v>32783538</v>
      </c>
      <c r="G4438">
        <v>19523227</v>
      </c>
      <c r="H4438">
        <v>56737998</v>
      </c>
      <c r="I4438">
        <v>71376924</v>
      </c>
      <c r="J4438">
        <v>49584216</v>
      </c>
      <c r="K4438">
        <v>44798912</v>
      </c>
      <c r="L4438">
        <v>51675516</v>
      </c>
      <c r="M4438">
        <v>65001828</v>
      </c>
      <c r="N4438">
        <v>44962118</v>
      </c>
      <c r="O4438">
        <v>43535655</v>
      </c>
      <c r="P4438">
        <v>2534</v>
      </c>
      <c r="Q4438" t="s">
        <v>9221</v>
      </c>
    </row>
    <row r="4439" spans="1:17" x14ac:dyDescent="0.3">
      <c r="A4439" t="s">
        <v>73</v>
      </c>
      <c r="B4439" t="str">
        <f>"002233"</f>
        <v>002233</v>
      </c>
      <c r="C4439" t="s">
        <v>9222</v>
      </c>
      <c r="D4439" t="s">
        <v>90</v>
      </c>
      <c r="E4439">
        <v>24373337</v>
      </c>
      <c r="F4439">
        <v>40236253</v>
      </c>
      <c r="G4439">
        <v>40738731</v>
      </c>
      <c r="H4439">
        <v>53717544</v>
      </c>
      <c r="I4439">
        <v>84632540</v>
      </c>
      <c r="J4439">
        <v>107111861</v>
      </c>
      <c r="K4439">
        <v>95026879</v>
      </c>
      <c r="L4439">
        <v>74151243</v>
      </c>
      <c r="M4439">
        <v>72867629</v>
      </c>
      <c r="N4439">
        <v>59931711</v>
      </c>
      <c r="O4439">
        <v>49499051</v>
      </c>
      <c r="P4439">
        <v>1388</v>
      </c>
      <c r="Q4439" t="s">
        <v>9223</v>
      </c>
    </row>
    <row r="4440" spans="1:17" x14ac:dyDescent="0.3">
      <c r="A4440" t="s">
        <v>73</v>
      </c>
      <c r="B4440" t="str">
        <f>"000603"</f>
        <v>000603</v>
      </c>
      <c r="C4440" t="s">
        <v>9224</v>
      </c>
      <c r="D4440" t="s">
        <v>3053</v>
      </c>
      <c r="E4440">
        <v>24213664</v>
      </c>
      <c r="F4440">
        <v>51170603</v>
      </c>
      <c r="G4440">
        <v>27948052</v>
      </c>
      <c r="H4440">
        <v>65537676</v>
      </c>
      <c r="I4440">
        <v>6317425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351</v>
      </c>
      <c r="Q4440" t="s">
        <v>9225</v>
      </c>
    </row>
    <row r="4441" spans="1:17" x14ac:dyDescent="0.3">
      <c r="A4441" t="s">
        <v>73</v>
      </c>
      <c r="B4441" t="str">
        <f>"002951"</f>
        <v>002951</v>
      </c>
      <c r="C4441" t="s">
        <v>9226</v>
      </c>
      <c r="D4441" t="s">
        <v>577</v>
      </c>
      <c r="E4441">
        <v>23856677</v>
      </c>
      <c r="F4441">
        <v>63278909</v>
      </c>
      <c r="G4441">
        <v>119990695</v>
      </c>
      <c r="H4441">
        <v>189347501</v>
      </c>
      <c r="P4441">
        <v>93</v>
      </c>
      <c r="Q4441" t="s">
        <v>9227</v>
      </c>
    </row>
    <row r="4442" spans="1:17" x14ac:dyDescent="0.3">
      <c r="A4442" t="s">
        <v>17</v>
      </c>
      <c r="B4442" t="str">
        <f>"600165"</f>
        <v>600165</v>
      </c>
      <c r="C4442" t="s">
        <v>9228</v>
      </c>
      <c r="D4442" t="s">
        <v>588</v>
      </c>
      <c r="E4442">
        <v>23538868</v>
      </c>
      <c r="F4442">
        <v>27797256</v>
      </c>
      <c r="G4442">
        <v>16937103</v>
      </c>
      <c r="H4442">
        <v>32491795</v>
      </c>
      <c r="I4442">
        <v>54126401</v>
      </c>
      <c r="J4442">
        <v>387889020</v>
      </c>
      <c r="K4442">
        <v>480485287</v>
      </c>
      <c r="L4442">
        <v>301975844</v>
      </c>
      <c r="M4442">
        <v>525721882</v>
      </c>
      <c r="N4442">
        <v>424274535</v>
      </c>
      <c r="O4442">
        <v>254490648</v>
      </c>
      <c r="P4442">
        <v>70</v>
      </c>
      <c r="Q4442" t="s">
        <v>9229</v>
      </c>
    </row>
    <row r="4443" spans="1:17" x14ac:dyDescent="0.3">
      <c r="A4443" t="s">
        <v>17</v>
      </c>
      <c r="B4443" t="str">
        <f>"600794"</f>
        <v>600794</v>
      </c>
      <c r="C4443" t="s">
        <v>9230</v>
      </c>
      <c r="D4443" t="s">
        <v>1321</v>
      </c>
      <c r="E4443">
        <v>23533451</v>
      </c>
      <c r="F4443">
        <v>42085440</v>
      </c>
      <c r="G4443">
        <v>11526852</v>
      </c>
      <c r="H4443">
        <v>18917557</v>
      </c>
      <c r="I4443">
        <v>16600915</v>
      </c>
      <c r="J4443">
        <v>25873778</v>
      </c>
      <c r="K4443">
        <v>29697057</v>
      </c>
      <c r="L4443">
        <v>34975447</v>
      </c>
      <c r="M4443">
        <v>54578847</v>
      </c>
      <c r="N4443">
        <v>24468750</v>
      </c>
      <c r="O4443">
        <v>24496230</v>
      </c>
      <c r="P4443">
        <v>100</v>
      </c>
      <c r="Q4443" t="s">
        <v>9231</v>
      </c>
    </row>
    <row r="4444" spans="1:17" x14ac:dyDescent="0.3">
      <c r="A4444" t="s">
        <v>17</v>
      </c>
      <c r="B4444" t="str">
        <f>"600890"</f>
        <v>600890</v>
      </c>
      <c r="C4444" t="s">
        <v>9232</v>
      </c>
      <c r="D4444" t="s">
        <v>697</v>
      </c>
      <c r="E4444">
        <v>23193512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73</v>
      </c>
      <c r="Q4444" t="s">
        <v>9233</v>
      </c>
    </row>
    <row r="4445" spans="1:17" x14ac:dyDescent="0.3">
      <c r="A4445" t="s">
        <v>17</v>
      </c>
      <c r="B4445" t="str">
        <f>"600318"</f>
        <v>600318</v>
      </c>
      <c r="C4445" t="s">
        <v>9234</v>
      </c>
      <c r="D4445" t="s">
        <v>3243</v>
      </c>
      <c r="E4445">
        <v>22863636</v>
      </c>
      <c r="F4445">
        <v>24848727</v>
      </c>
      <c r="G4445">
        <v>26637929</v>
      </c>
      <c r="H4445">
        <v>3329398</v>
      </c>
      <c r="I4445">
        <v>3572463</v>
      </c>
      <c r="J4445">
        <v>4052176</v>
      </c>
      <c r="K4445">
        <v>13262444</v>
      </c>
      <c r="L4445">
        <v>4502465</v>
      </c>
      <c r="M4445">
        <v>3786851</v>
      </c>
      <c r="N4445">
        <v>16605452</v>
      </c>
      <c r="O4445">
        <v>4062528</v>
      </c>
      <c r="P4445">
        <v>104</v>
      </c>
      <c r="Q4445" t="s">
        <v>9235</v>
      </c>
    </row>
    <row r="4446" spans="1:17" x14ac:dyDescent="0.3">
      <c r="A4446" t="s">
        <v>17</v>
      </c>
      <c r="B4446" t="str">
        <f>"600896"</f>
        <v>600896</v>
      </c>
      <c r="C4446" t="s">
        <v>9236</v>
      </c>
      <c r="D4446" t="s">
        <v>1255</v>
      </c>
      <c r="E4446">
        <v>22805198</v>
      </c>
      <c r="F4446">
        <v>14494982</v>
      </c>
      <c r="G4446">
        <v>2812838</v>
      </c>
      <c r="H4446">
        <v>6375986</v>
      </c>
      <c r="I4446">
        <v>474595</v>
      </c>
      <c r="J4446">
        <v>0</v>
      </c>
      <c r="K4446">
        <v>94083581</v>
      </c>
      <c r="L4446">
        <v>153721573</v>
      </c>
      <c r="M4446">
        <v>124582845</v>
      </c>
      <c r="N4446">
        <v>148116054</v>
      </c>
      <c r="O4446">
        <v>103859002</v>
      </c>
      <c r="P4446">
        <v>93</v>
      </c>
      <c r="Q4446" t="s">
        <v>9237</v>
      </c>
    </row>
    <row r="4447" spans="1:17" x14ac:dyDescent="0.3">
      <c r="A4447" t="s">
        <v>73</v>
      </c>
      <c r="B4447" t="str">
        <f>"000918"</f>
        <v>000918</v>
      </c>
      <c r="C4447" t="s">
        <v>9238</v>
      </c>
      <c r="D4447" t="s">
        <v>27</v>
      </c>
      <c r="E4447">
        <v>22715760</v>
      </c>
      <c r="F4447">
        <v>192041937</v>
      </c>
      <c r="G4447">
        <v>99252397</v>
      </c>
      <c r="H4447">
        <v>117963892</v>
      </c>
      <c r="I4447">
        <v>105277010</v>
      </c>
      <c r="J4447">
        <v>146610858</v>
      </c>
      <c r="K4447">
        <v>481801851</v>
      </c>
      <c r="L4447">
        <v>1352210856</v>
      </c>
      <c r="M4447">
        <v>1550493810</v>
      </c>
      <c r="N4447">
        <v>325214039</v>
      </c>
      <c r="O4447">
        <v>553146128</v>
      </c>
      <c r="P4447">
        <v>123</v>
      </c>
      <c r="Q4447" t="s">
        <v>9239</v>
      </c>
    </row>
    <row r="4448" spans="1:17" x14ac:dyDescent="0.3">
      <c r="A4448" t="s">
        <v>73</v>
      </c>
      <c r="B4448" t="str">
        <f>"300220"</f>
        <v>300220</v>
      </c>
      <c r="C4448" t="s">
        <v>9240</v>
      </c>
      <c r="D4448" t="s">
        <v>499</v>
      </c>
      <c r="E4448">
        <v>22648538</v>
      </c>
      <c r="F4448">
        <v>28206607</v>
      </c>
      <c r="G4448">
        <v>38072240</v>
      </c>
      <c r="H4448">
        <v>21328193</v>
      </c>
      <c r="I4448">
        <v>31379339</v>
      </c>
      <c r="J4448">
        <v>35128251</v>
      </c>
      <c r="K4448">
        <v>46827223</v>
      </c>
      <c r="L4448">
        <v>35490313</v>
      </c>
      <c r="M4448">
        <v>29629043</v>
      </c>
      <c r="N4448">
        <v>17821112</v>
      </c>
      <c r="O4448">
        <v>14448152</v>
      </c>
      <c r="P4448">
        <v>91</v>
      </c>
      <c r="Q4448" t="s">
        <v>9241</v>
      </c>
    </row>
    <row r="4449" spans="1:17" x14ac:dyDescent="0.3">
      <c r="A4449" t="s">
        <v>17</v>
      </c>
      <c r="B4449" t="str">
        <f>"600173"</f>
        <v>600173</v>
      </c>
      <c r="C4449" t="s">
        <v>9242</v>
      </c>
      <c r="D4449" t="s">
        <v>27</v>
      </c>
      <c r="E4449">
        <v>22460010</v>
      </c>
      <c r="F4449">
        <v>1645038</v>
      </c>
      <c r="G4449">
        <v>16948513</v>
      </c>
      <c r="H4449">
        <v>18186009</v>
      </c>
      <c r="I4449">
        <v>303692861</v>
      </c>
      <c r="J4449">
        <v>41403917</v>
      </c>
      <c r="K4449">
        <v>268695137</v>
      </c>
      <c r="L4449">
        <v>359571694</v>
      </c>
      <c r="M4449">
        <v>89619831</v>
      </c>
      <c r="N4449">
        <v>58924566</v>
      </c>
      <c r="O4449">
        <v>18407451</v>
      </c>
      <c r="P4449">
        <v>302</v>
      </c>
      <c r="Q4449" t="s">
        <v>9243</v>
      </c>
    </row>
    <row r="4450" spans="1:17" x14ac:dyDescent="0.3">
      <c r="A4450" t="s">
        <v>73</v>
      </c>
      <c r="B4450" t="str">
        <f>"300720"</f>
        <v>300720</v>
      </c>
      <c r="C4450" t="s">
        <v>9244</v>
      </c>
      <c r="D4450" t="s">
        <v>2280</v>
      </c>
      <c r="E4450">
        <v>22320878</v>
      </c>
      <c r="F4450">
        <v>11801894</v>
      </c>
      <c r="G4450">
        <v>8497192</v>
      </c>
      <c r="H4450">
        <v>9023481</v>
      </c>
      <c r="I4450">
        <v>6236154</v>
      </c>
      <c r="J4450">
        <v>0</v>
      </c>
      <c r="P4450">
        <v>70</v>
      </c>
      <c r="Q4450" t="s">
        <v>9245</v>
      </c>
    </row>
    <row r="4451" spans="1:17" x14ac:dyDescent="0.3">
      <c r="A4451" t="s">
        <v>17</v>
      </c>
      <c r="B4451" t="str">
        <f>"601116"</f>
        <v>601116</v>
      </c>
      <c r="C4451" t="s">
        <v>9246</v>
      </c>
      <c r="D4451" t="s">
        <v>3633</v>
      </c>
      <c r="E4451">
        <v>22313815</v>
      </c>
      <c r="F4451">
        <v>13848899</v>
      </c>
      <c r="G4451">
        <v>8260717</v>
      </c>
      <c r="H4451">
        <v>8002421</v>
      </c>
      <c r="I4451">
        <v>7159578</v>
      </c>
      <c r="J4451">
        <v>4692805</v>
      </c>
      <c r="K4451">
        <v>7103484</v>
      </c>
      <c r="L4451">
        <v>3857757</v>
      </c>
      <c r="M4451">
        <v>2625013</v>
      </c>
      <c r="N4451">
        <v>3891924</v>
      </c>
      <c r="O4451">
        <v>5138795</v>
      </c>
      <c r="P4451">
        <v>124</v>
      </c>
      <c r="Q4451" t="s">
        <v>9247</v>
      </c>
    </row>
    <row r="4452" spans="1:17" x14ac:dyDescent="0.3">
      <c r="A4452" t="s">
        <v>73</v>
      </c>
      <c r="B4452" t="str">
        <f>"000953"</f>
        <v>000953</v>
      </c>
      <c r="C4452" t="s">
        <v>9248</v>
      </c>
      <c r="D4452" t="s">
        <v>2027</v>
      </c>
      <c r="E4452">
        <v>22301386</v>
      </c>
      <c r="F4452">
        <v>23405658</v>
      </c>
      <c r="G4452">
        <v>25133952</v>
      </c>
      <c r="H4452">
        <v>4937211</v>
      </c>
      <c r="I4452">
        <v>8112920</v>
      </c>
      <c r="J4452">
        <v>16221856</v>
      </c>
      <c r="K4452">
        <v>196793018</v>
      </c>
      <c r="L4452">
        <v>132407306</v>
      </c>
      <c r="M4452">
        <v>66846940</v>
      </c>
      <c r="N4452">
        <v>78562149</v>
      </c>
      <c r="O4452">
        <v>49329332</v>
      </c>
      <c r="P4452">
        <v>90</v>
      </c>
      <c r="Q4452" t="s">
        <v>9249</v>
      </c>
    </row>
    <row r="4453" spans="1:17" x14ac:dyDescent="0.3">
      <c r="A4453" t="s">
        <v>17</v>
      </c>
      <c r="B4453" t="str">
        <f>"688331"</f>
        <v>688331</v>
      </c>
      <c r="C4453" t="s">
        <v>9250</v>
      </c>
      <c r="E4453">
        <v>22219722</v>
      </c>
      <c r="P4453">
        <v>5</v>
      </c>
      <c r="Q4453" t="s">
        <v>9251</v>
      </c>
    </row>
    <row r="4454" spans="1:17" x14ac:dyDescent="0.3">
      <c r="A4454" t="s">
        <v>73</v>
      </c>
      <c r="B4454" t="str">
        <f>"002072"</f>
        <v>002072</v>
      </c>
      <c r="C4454" t="s">
        <v>9252</v>
      </c>
      <c r="D4454" t="s">
        <v>466</v>
      </c>
      <c r="E4454">
        <v>21807759</v>
      </c>
      <c r="F4454">
        <v>22067049</v>
      </c>
      <c r="G4454">
        <v>46507909</v>
      </c>
      <c r="H4454">
        <v>51235515</v>
      </c>
      <c r="I4454">
        <v>57015898</v>
      </c>
      <c r="J4454">
        <v>44102946</v>
      </c>
      <c r="K4454">
        <v>222928737</v>
      </c>
      <c r="L4454">
        <v>259051341</v>
      </c>
      <c r="M4454">
        <v>95171026</v>
      </c>
      <c r="N4454">
        <v>80325045</v>
      </c>
      <c r="O4454">
        <v>110511705</v>
      </c>
      <c r="P4454">
        <v>64</v>
      </c>
      <c r="Q4454" t="s">
        <v>9253</v>
      </c>
    </row>
    <row r="4455" spans="1:17" x14ac:dyDescent="0.3">
      <c r="A4455" t="s">
        <v>17</v>
      </c>
      <c r="B4455" t="str">
        <f>"600721"</f>
        <v>600721</v>
      </c>
      <c r="C4455" t="s">
        <v>9254</v>
      </c>
      <c r="D4455" t="s">
        <v>459</v>
      </c>
      <c r="E4455">
        <v>21180170</v>
      </c>
      <c r="F4455">
        <v>21347090</v>
      </c>
      <c r="G4455">
        <v>23767386</v>
      </c>
      <c r="H4455">
        <v>239070748</v>
      </c>
      <c r="I4455">
        <v>152163257</v>
      </c>
      <c r="J4455">
        <v>120083948</v>
      </c>
      <c r="K4455">
        <v>141560327</v>
      </c>
      <c r="L4455">
        <v>89865703</v>
      </c>
      <c r="M4455">
        <v>106849633</v>
      </c>
      <c r="N4455">
        <v>87178874</v>
      </c>
      <c r="O4455">
        <v>60294099</v>
      </c>
      <c r="P4455">
        <v>78</v>
      </c>
      <c r="Q4455" t="s">
        <v>9255</v>
      </c>
    </row>
    <row r="4456" spans="1:17" x14ac:dyDescent="0.3">
      <c r="A4456" t="s">
        <v>17</v>
      </c>
      <c r="B4456" t="str">
        <f>"600559"</f>
        <v>600559</v>
      </c>
      <c r="C4456" t="s">
        <v>9256</v>
      </c>
      <c r="D4456" t="s">
        <v>7050</v>
      </c>
      <c r="E4456">
        <v>21158699</v>
      </c>
      <c r="F4456">
        <v>37134450</v>
      </c>
      <c r="G4456">
        <v>36794871</v>
      </c>
      <c r="H4456">
        <v>19547290</v>
      </c>
      <c r="I4456">
        <v>208890</v>
      </c>
      <c r="J4456">
        <v>367979</v>
      </c>
      <c r="K4456">
        <v>683467</v>
      </c>
      <c r="L4456">
        <v>475479</v>
      </c>
      <c r="M4456">
        <v>837809</v>
      </c>
      <c r="N4456">
        <v>536816</v>
      </c>
      <c r="O4456">
        <v>689674</v>
      </c>
      <c r="P4456">
        <v>881</v>
      </c>
      <c r="Q4456" t="s">
        <v>9257</v>
      </c>
    </row>
    <row r="4457" spans="1:17" x14ac:dyDescent="0.3">
      <c r="A4457" t="s">
        <v>17</v>
      </c>
      <c r="B4457" t="str">
        <f>"600390"</f>
        <v>600390</v>
      </c>
      <c r="C4457" t="s">
        <v>9258</v>
      </c>
      <c r="D4457" t="s">
        <v>3243</v>
      </c>
      <c r="E4457">
        <v>20904324</v>
      </c>
      <c r="F4457">
        <v>15353926</v>
      </c>
      <c r="G4457">
        <v>13671832</v>
      </c>
      <c r="H4457">
        <v>8254668</v>
      </c>
      <c r="I4457">
        <v>6223215</v>
      </c>
      <c r="J4457">
        <v>578466582</v>
      </c>
      <c r="K4457">
        <v>512613160</v>
      </c>
      <c r="L4457">
        <v>433399919</v>
      </c>
      <c r="M4457">
        <v>370974133</v>
      </c>
      <c r="N4457">
        <v>193564661</v>
      </c>
      <c r="O4457">
        <v>227919524</v>
      </c>
      <c r="P4457">
        <v>300</v>
      </c>
      <c r="Q4457" t="s">
        <v>9259</v>
      </c>
    </row>
    <row r="4458" spans="1:17" x14ac:dyDescent="0.3">
      <c r="A4458" t="s">
        <v>17</v>
      </c>
      <c r="B4458" t="str">
        <f>"688286"</f>
        <v>688286</v>
      </c>
      <c r="C4458" t="s">
        <v>9260</v>
      </c>
      <c r="D4458" t="s">
        <v>3360</v>
      </c>
      <c r="E4458">
        <v>20849489</v>
      </c>
      <c r="F4458">
        <v>23079020</v>
      </c>
      <c r="G4458">
        <v>11620038</v>
      </c>
      <c r="H4458">
        <v>0</v>
      </c>
      <c r="P4458">
        <v>91</v>
      </c>
      <c r="Q4458" t="s">
        <v>9261</v>
      </c>
    </row>
    <row r="4459" spans="1:17" x14ac:dyDescent="0.3">
      <c r="A4459" t="s">
        <v>73</v>
      </c>
      <c r="B4459" t="str">
        <f>"300824"</f>
        <v>300824</v>
      </c>
      <c r="C4459" t="s">
        <v>9262</v>
      </c>
      <c r="D4459" t="s">
        <v>1186</v>
      </c>
      <c r="E4459">
        <v>20833790</v>
      </c>
      <c r="F4459">
        <v>31886364</v>
      </c>
      <c r="G4459">
        <v>30485161</v>
      </c>
      <c r="H4459">
        <v>0</v>
      </c>
      <c r="P4459">
        <v>167</v>
      </c>
      <c r="Q4459" t="s">
        <v>9263</v>
      </c>
    </row>
    <row r="4460" spans="1:17" x14ac:dyDescent="0.3">
      <c r="A4460" t="s">
        <v>17</v>
      </c>
      <c r="B4460" t="str">
        <f>"600301"</f>
        <v>600301</v>
      </c>
      <c r="C4460" t="s">
        <v>9264</v>
      </c>
      <c r="D4460" t="s">
        <v>299</v>
      </c>
      <c r="E4460">
        <v>20758147</v>
      </c>
      <c r="F4460">
        <v>149027487</v>
      </c>
      <c r="G4460">
        <v>22198297</v>
      </c>
      <c r="H4460">
        <v>25469195</v>
      </c>
      <c r="I4460">
        <v>54480055</v>
      </c>
      <c r="J4460">
        <v>27637691</v>
      </c>
      <c r="K4460">
        <v>45146562</v>
      </c>
      <c r="L4460">
        <v>39370158</v>
      </c>
      <c r="M4460">
        <v>56244967</v>
      </c>
      <c r="N4460">
        <v>35344269</v>
      </c>
      <c r="O4460">
        <v>35312048</v>
      </c>
      <c r="P4460">
        <v>53</v>
      </c>
      <c r="Q4460" t="s">
        <v>9265</v>
      </c>
    </row>
    <row r="4461" spans="1:17" x14ac:dyDescent="0.3">
      <c r="A4461" t="s">
        <v>17</v>
      </c>
      <c r="B4461" t="str">
        <f>"605336"</f>
        <v>605336</v>
      </c>
      <c r="C4461" t="s">
        <v>9266</v>
      </c>
      <c r="D4461" t="s">
        <v>1693</v>
      </c>
      <c r="E4461">
        <v>20682942</v>
      </c>
      <c r="F4461">
        <v>276993</v>
      </c>
      <c r="G4461">
        <v>234</v>
      </c>
      <c r="P4461">
        <v>141</v>
      </c>
      <c r="Q4461" t="s">
        <v>9267</v>
      </c>
    </row>
    <row r="4462" spans="1:17" x14ac:dyDescent="0.3">
      <c r="A4462" t="s">
        <v>73</v>
      </c>
      <c r="B4462" t="str">
        <f>"002986"</f>
        <v>002986</v>
      </c>
      <c r="C4462" t="s">
        <v>9268</v>
      </c>
      <c r="D4462" t="s">
        <v>998</v>
      </c>
      <c r="E4462">
        <v>20404176</v>
      </c>
      <c r="F4462">
        <v>8359918</v>
      </c>
      <c r="G4462">
        <v>38751820</v>
      </c>
      <c r="P4462">
        <v>58</v>
      </c>
      <c r="Q4462" t="s">
        <v>9269</v>
      </c>
    </row>
    <row r="4463" spans="1:17" x14ac:dyDescent="0.3">
      <c r="A4463" t="s">
        <v>17</v>
      </c>
      <c r="B4463" t="str">
        <f>"600861"</f>
        <v>600861</v>
      </c>
      <c r="C4463" t="s">
        <v>9270</v>
      </c>
      <c r="D4463" t="s">
        <v>3897</v>
      </c>
      <c r="E4463">
        <v>20338560</v>
      </c>
      <c r="F4463">
        <v>20235703</v>
      </c>
      <c r="G4463">
        <v>28528492</v>
      </c>
      <c r="H4463">
        <v>38247258</v>
      </c>
      <c r="I4463">
        <v>34090510</v>
      </c>
      <c r="J4463">
        <v>31055159</v>
      </c>
      <c r="K4463">
        <v>26203389</v>
      </c>
      <c r="L4463">
        <v>7426886</v>
      </c>
      <c r="M4463">
        <v>6477032</v>
      </c>
      <c r="N4463">
        <v>34371483</v>
      </c>
      <c r="O4463">
        <v>28175972</v>
      </c>
      <c r="P4463">
        <v>72</v>
      </c>
      <c r="Q4463" t="s">
        <v>9271</v>
      </c>
    </row>
    <row r="4464" spans="1:17" x14ac:dyDescent="0.3">
      <c r="A4464" t="s">
        <v>17</v>
      </c>
      <c r="B4464" t="str">
        <f>"600382"</f>
        <v>600382</v>
      </c>
      <c r="C4464" t="s">
        <v>9272</v>
      </c>
      <c r="D4464" t="s">
        <v>466</v>
      </c>
      <c r="E4464">
        <v>20285436</v>
      </c>
      <c r="F4464">
        <v>29953556</v>
      </c>
      <c r="G4464">
        <v>4204862</v>
      </c>
      <c r="H4464">
        <v>17190410</v>
      </c>
      <c r="I4464">
        <v>27259049</v>
      </c>
      <c r="J4464">
        <v>38565542</v>
      </c>
      <c r="K4464">
        <v>73272373</v>
      </c>
      <c r="L4464">
        <v>11872485</v>
      </c>
      <c r="M4464">
        <v>936163</v>
      </c>
      <c r="N4464">
        <v>1679494</v>
      </c>
      <c r="O4464">
        <v>23839214</v>
      </c>
      <c r="P4464">
        <v>156</v>
      </c>
      <c r="Q4464" t="s">
        <v>9273</v>
      </c>
    </row>
    <row r="4465" spans="1:17" x14ac:dyDescent="0.3">
      <c r="A4465" t="s">
        <v>73</v>
      </c>
      <c r="B4465" t="str">
        <f>"002148"</f>
        <v>002148</v>
      </c>
      <c r="C4465" t="s">
        <v>9274</v>
      </c>
      <c r="D4465" t="s">
        <v>1004</v>
      </c>
      <c r="E4465">
        <v>20265965</v>
      </c>
      <c r="F4465">
        <v>24395440</v>
      </c>
      <c r="G4465">
        <v>34609760</v>
      </c>
      <c r="H4465">
        <v>23696067</v>
      </c>
      <c r="I4465">
        <v>55244272</v>
      </c>
      <c r="J4465">
        <v>40621422</v>
      </c>
      <c r="K4465">
        <v>32029131</v>
      </c>
      <c r="L4465">
        <v>87830164</v>
      </c>
      <c r="M4465">
        <v>72897463</v>
      </c>
      <c r="N4465">
        <v>67842271</v>
      </c>
      <c r="O4465">
        <v>62662181</v>
      </c>
      <c r="P4465">
        <v>103</v>
      </c>
      <c r="Q4465" t="s">
        <v>9275</v>
      </c>
    </row>
    <row r="4466" spans="1:17" x14ac:dyDescent="0.3">
      <c r="A4466" t="s">
        <v>17</v>
      </c>
      <c r="B4466" t="str">
        <f>"600783"</f>
        <v>600783</v>
      </c>
      <c r="C4466" t="s">
        <v>9276</v>
      </c>
      <c r="D4466" t="s">
        <v>466</v>
      </c>
      <c r="E4466">
        <v>20206826</v>
      </c>
      <c r="F4466">
        <v>24198912</v>
      </c>
      <c r="G4466">
        <v>22390623</v>
      </c>
      <c r="H4466">
        <v>46203542</v>
      </c>
      <c r="I4466">
        <v>61044996</v>
      </c>
      <c r="J4466">
        <v>55848413</v>
      </c>
      <c r="K4466">
        <v>46769559</v>
      </c>
      <c r="L4466">
        <v>49056834</v>
      </c>
      <c r="M4466">
        <v>42652528</v>
      </c>
      <c r="N4466">
        <v>49679156</v>
      </c>
      <c r="O4466">
        <v>59267517</v>
      </c>
      <c r="P4466">
        <v>124</v>
      </c>
      <c r="Q4466" t="s">
        <v>9277</v>
      </c>
    </row>
    <row r="4467" spans="1:17" x14ac:dyDescent="0.3">
      <c r="A4467" t="s">
        <v>17</v>
      </c>
      <c r="B4467" t="str">
        <f>"688108"</f>
        <v>688108</v>
      </c>
      <c r="C4467" t="s">
        <v>9278</v>
      </c>
      <c r="D4467" t="s">
        <v>1523</v>
      </c>
      <c r="E4467">
        <v>19952691</v>
      </c>
      <c r="F4467">
        <v>40802549</v>
      </c>
      <c r="G4467">
        <v>70992286</v>
      </c>
      <c r="H4467">
        <v>0</v>
      </c>
      <c r="P4467">
        <v>104</v>
      </c>
      <c r="Q4467" t="s">
        <v>9279</v>
      </c>
    </row>
    <row r="4468" spans="1:17" x14ac:dyDescent="0.3">
      <c r="A4468" t="s">
        <v>73</v>
      </c>
      <c r="B4468" t="str">
        <f>"002818"</f>
        <v>002818</v>
      </c>
      <c r="C4468" t="s">
        <v>9280</v>
      </c>
      <c r="D4468" t="s">
        <v>1463</v>
      </c>
      <c r="E4468">
        <v>19644685</v>
      </c>
      <c r="F4468">
        <v>18368643</v>
      </c>
      <c r="G4468">
        <v>25104492</v>
      </c>
      <c r="H4468">
        <v>8771805</v>
      </c>
      <c r="I4468">
        <v>1137773</v>
      </c>
      <c r="J4468">
        <v>1169477</v>
      </c>
      <c r="P4468">
        <v>868</v>
      </c>
      <c r="Q4468" t="s">
        <v>9281</v>
      </c>
    </row>
    <row r="4469" spans="1:17" x14ac:dyDescent="0.3">
      <c r="A4469" t="s">
        <v>73</v>
      </c>
      <c r="B4469" t="str">
        <f>"000006"</f>
        <v>000006</v>
      </c>
      <c r="C4469" t="s">
        <v>9282</v>
      </c>
      <c r="D4469" t="s">
        <v>27</v>
      </c>
      <c r="E4469">
        <v>19310464</v>
      </c>
      <c r="F4469">
        <v>11121980</v>
      </c>
      <c r="G4469">
        <v>17458410</v>
      </c>
      <c r="H4469">
        <v>7054470</v>
      </c>
      <c r="I4469">
        <v>9667759</v>
      </c>
      <c r="J4469">
        <v>6206623</v>
      </c>
      <c r="K4469">
        <v>13673104</v>
      </c>
      <c r="L4469">
        <v>16974449</v>
      </c>
      <c r="M4469">
        <v>17410679</v>
      </c>
      <c r="N4469">
        <v>17876332</v>
      </c>
      <c r="O4469">
        <v>0</v>
      </c>
      <c r="P4469">
        <v>424</v>
      </c>
      <c r="Q4469" t="s">
        <v>9283</v>
      </c>
    </row>
    <row r="4470" spans="1:17" x14ac:dyDescent="0.3">
      <c r="A4470" t="s">
        <v>17</v>
      </c>
      <c r="B4470" t="str">
        <f>"600161"</f>
        <v>600161</v>
      </c>
      <c r="C4470" t="s">
        <v>9284</v>
      </c>
      <c r="D4470" t="s">
        <v>1538</v>
      </c>
      <c r="E4470">
        <v>19207672</v>
      </c>
      <c r="F4470">
        <v>19200467</v>
      </c>
      <c r="G4470">
        <v>14877912</v>
      </c>
      <c r="H4470">
        <v>15307811</v>
      </c>
      <c r="I4470">
        <v>16636013</v>
      </c>
      <c r="J4470">
        <v>294838100</v>
      </c>
      <c r="K4470">
        <v>191369583</v>
      </c>
      <c r="L4470">
        <v>273733241</v>
      </c>
      <c r="M4470">
        <v>446729087</v>
      </c>
      <c r="N4470">
        <v>405069957</v>
      </c>
      <c r="O4470">
        <v>344669008</v>
      </c>
      <c r="P4470">
        <v>1406</v>
      </c>
      <c r="Q4470" t="s">
        <v>9285</v>
      </c>
    </row>
    <row r="4471" spans="1:17" x14ac:dyDescent="0.3">
      <c r="A4471" t="s">
        <v>17</v>
      </c>
      <c r="B4471" t="str">
        <f>"688580"</f>
        <v>688580</v>
      </c>
      <c r="C4471" t="s">
        <v>9286</v>
      </c>
      <c r="D4471" t="s">
        <v>692</v>
      </c>
      <c r="E4471">
        <v>19186437</v>
      </c>
      <c r="F4471">
        <v>15230276</v>
      </c>
      <c r="G4471">
        <v>4207560</v>
      </c>
      <c r="H4471">
        <v>0</v>
      </c>
      <c r="P4471">
        <v>246</v>
      </c>
      <c r="Q4471" t="s">
        <v>9287</v>
      </c>
    </row>
    <row r="4472" spans="1:17" x14ac:dyDescent="0.3">
      <c r="A4472" t="s">
        <v>17</v>
      </c>
      <c r="B4472" t="str">
        <f>"600527"</f>
        <v>600527</v>
      </c>
      <c r="C4472" t="s">
        <v>9288</v>
      </c>
      <c r="D4472" t="s">
        <v>3204</v>
      </c>
      <c r="E4472">
        <v>18964030</v>
      </c>
      <c r="F4472">
        <v>7084506</v>
      </c>
      <c r="G4472">
        <v>14412712</v>
      </c>
      <c r="H4472">
        <v>20224691</v>
      </c>
      <c r="I4472">
        <v>26225625</v>
      </c>
      <c r="J4472">
        <v>24091015</v>
      </c>
      <c r="K4472">
        <v>26661048</v>
      </c>
      <c r="L4472">
        <v>26777425</v>
      </c>
      <c r="M4472">
        <v>30779575</v>
      </c>
      <c r="N4472">
        <v>38093157</v>
      </c>
      <c r="O4472">
        <v>43143266</v>
      </c>
      <c r="P4472">
        <v>112</v>
      </c>
      <c r="Q4472" t="s">
        <v>9289</v>
      </c>
    </row>
    <row r="4473" spans="1:17" x14ac:dyDescent="0.3">
      <c r="A4473" t="s">
        <v>73</v>
      </c>
      <c r="B4473" t="str">
        <f>"301190"</f>
        <v>301190</v>
      </c>
      <c r="C4473" t="s">
        <v>9290</v>
      </c>
      <c r="D4473" t="s">
        <v>1001</v>
      </c>
      <c r="E4473">
        <v>18930707</v>
      </c>
      <c r="P4473">
        <v>11</v>
      </c>
      <c r="Q4473" t="s">
        <v>9291</v>
      </c>
    </row>
    <row r="4474" spans="1:17" x14ac:dyDescent="0.3">
      <c r="A4474" t="s">
        <v>73</v>
      </c>
      <c r="B4474" t="str">
        <f>"300247"</f>
        <v>300247</v>
      </c>
      <c r="C4474" t="s">
        <v>9292</v>
      </c>
      <c r="D4474" t="s">
        <v>2524</v>
      </c>
      <c r="E4474">
        <v>18735744</v>
      </c>
      <c r="F4474">
        <v>29662592</v>
      </c>
      <c r="G4474">
        <v>33154918</v>
      </c>
      <c r="H4474">
        <v>302078890</v>
      </c>
      <c r="I4474">
        <v>529859425</v>
      </c>
      <c r="J4474">
        <v>286973312</v>
      </c>
      <c r="K4474">
        <v>169665606</v>
      </c>
      <c r="L4474">
        <v>88857629</v>
      </c>
      <c r="M4474">
        <v>71942554</v>
      </c>
      <c r="N4474">
        <v>70971066</v>
      </c>
      <c r="O4474">
        <v>57826276</v>
      </c>
      <c r="P4474">
        <v>107</v>
      </c>
      <c r="Q4474" t="s">
        <v>9293</v>
      </c>
    </row>
    <row r="4475" spans="1:17" x14ac:dyDescent="0.3">
      <c r="A4475" t="s">
        <v>73</v>
      </c>
      <c r="B4475" t="str">
        <f>"002110"</f>
        <v>002110</v>
      </c>
      <c r="C4475" t="s">
        <v>9294</v>
      </c>
      <c r="D4475" t="s">
        <v>5603</v>
      </c>
      <c r="E4475">
        <v>18612404</v>
      </c>
      <c r="F4475">
        <v>17026108</v>
      </c>
      <c r="G4475">
        <v>386629169</v>
      </c>
      <c r="H4475">
        <v>116201745</v>
      </c>
      <c r="I4475">
        <v>18565371</v>
      </c>
      <c r="J4475">
        <v>16194664</v>
      </c>
      <c r="K4475">
        <v>12497507</v>
      </c>
      <c r="L4475">
        <v>6641266</v>
      </c>
      <c r="M4475">
        <v>465</v>
      </c>
      <c r="N4475">
        <v>139761</v>
      </c>
      <c r="O4475">
        <v>127346</v>
      </c>
      <c r="P4475">
        <v>1174</v>
      </c>
      <c r="Q4475" t="s">
        <v>9295</v>
      </c>
    </row>
    <row r="4476" spans="1:17" x14ac:dyDescent="0.3">
      <c r="A4476" t="s">
        <v>73</v>
      </c>
      <c r="B4476" t="str">
        <f>"002693"</f>
        <v>002693</v>
      </c>
      <c r="C4476" t="s">
        <v>9296</v>
      </c>
      <c r="D4476" t="s">
        <v>1505</v>
      </c>
      <c r="E4476">
        <v>18509699</v>
      </c>
      <c r="F4476">
        <v>28129636</v>
      </c>
      <c r="G4476">
        <v>35499849</v>
      </c>
      <c r="H4476">
        <v>37618003</v>
      </c>
      <c r="I4476">
        <v>70940601</v>
      </c>
      <c r="J4476">
        <v>36567485</v>
      </c>
      <c r="K4476">
        <v>22876576</v>
      </c>
      <c r="L4476">
        <v>4640087</v>
      </c>
      <c r="M4476">
        <v>1764848</v>
      </c>
      <c r="N4476">
        <v>6230776</v>
      </c>
      <c r="O4476">
        <v>0</v>
      </c>
      <c r="P4476">
        <v>95</v>
      </c>
      <c r="Q4476" t="s">
        <v>9297</v>
      </c>
    </row>
    <row r="4477" spans="1:17" x14ac:dyDescent="0.3">
      <c r="A4477" t="s">
        <v>73</v>
      </c>
      <c r="B4477" t="str">
        <f>"300701"</f>
        <v>300701</v>
      </c>
      <c r="C4477" t="s">
        <v>9298</v>
      </c>
      <c r="D4477" t="s">
        <v>477</v>
      </c>
      <c r="E4477">
        <v>18486008</v>
      </c>
      <c r="F4477">
        <v>20264566</v>
      </c>
      <c r="G4477">
        <v>16241923</v>
      </c>
      <c r="H4477">
        <v>14155460</v>
      </c>
      <c r="I4477">
        <v>14194712</v>
      </c>
      <c r="J4477">
        <v>0</v>
      </c>
      <c r="P4477">
        <v>746</v>
      </c>
      <c r="Q4477" t="s">
        <v>9299</v>
      </c>
    </row>
    <row r="4478" spans="1:17" x14ac:dyDescent="0.3">
      <c r="A4478" t="s">
        <v>17</v>
      </c>
      <c r="B4478" t="str">
        <f>"600319"</f>
        <v>600319</v>
      </c>
      <c r="C4478" t="s">
        <v>9300</v>
      </c>
      <c r="D4478" t="s">
        <v>641</v>
      </c>
      <c r="E4478">
        <v>18476637</v>
      </c>
      <c r="F4478">
        <v>6228117</v>
      </c>
      <c r="G4478">
        <v>38038400</v>
      </c>
      <c r="H4478">
        <v>182294285</v>
      </c>
      <c r="I4478">
        <v>98906144</v>
      </c>
      <c r="J4478">
        <v>104675653</v>
      </c>
      <c r="K4478">
        <v>85166808</v>
      </c>
      <c r="L4478">
        <v>66475035</v>
      </c>
      <c r="M4478">
        <v>80055785</v>
      </c>
      <c r="N4478">
        <v>160355075</v>
      </c>
      <c r="O4478">
        <v>266781090</v>
      </c>
      <c r="P4478">
        <v>57</v>
      </c>
      <c r="Q4478" t="s">
        <v>9301</v>
      </c>
    </row>
    <row r="4479" spans="1:17" x14ac:dyDescent="0.3">
      <c r="A4479" t="s">
        <v>17</v>
      </c>
      <c r="B4479" t="str">
        <f>"600605"</f>
        <v>600605</v>
      </c>
      <c r="C4479" t="s">
        <v>9302</v>
      </c>
      <c r="D4479" t="s">
        <v>1463</v>
      </c>
      <c r="E4479">
        <v>18421240</v>
      </c>
      <c r="F4479">
        <v>10587799</v>
      </c>
      <c r="G4479">
        <v>6743913</v>
      </c>
      <c r="H4479">
        <v>80873875</v>
      </c>
      <c r="I4479">
        <v>462501913</v>
      </c>
      <c r="J4479">
        <v>307250837</v>
      </c>
      <c r="K4479">
        <v>211566479</v>
      </c>
      <c r="L4479">
        <v>157821963</v>
      </c>
      <c r="M4479">
        <v>256552338</v>
      </c>
      <c r="N4479">
        <v>248943002</v>
      </c>
      <c r="O4479">
        <v>219106446</v>
      </c>
      <c r="P4479">
        <v>71</v>
      </c>
      <c r="Q4479" t="s">
        <v>9303</v>
      </c>
    </row>
    <row r="4480" spans="1:17" x14ac:dyDescent="0.3">
      <c r="A4480" t="s">
        <v>17</v>
      </c>
      <c r="B4480" t="str">
        <f>"600858"</f>
        <v>600858</v>
      </c>
      <c r="C4480" t="s">
        <v>9304</v>
      </c>
      <c r="D4480" t="s">
        <v>3897</v>
      </c>
      <c r="E4480">
        <v>18207350</v>
      </c>
      <c r="F4480">
        <v>17017172</v>
      </c>
      <c r="G4480">
        <v>28278283</v>
      </c>
      <c r="H4480">
        <v>52060324</v>
      </c>
      <c r="I4480">
        <v>30351069</v>
      </c>
      <c r="J4480">
        <v>26162102</v>
      </c>
      <c r="K4480">
        <v>46744909</v>
      </c>
      <c r="L4480">
        <v>2507757</v>
      </c>
      <c r="M4480">
        <v>402052</v>
      </c>
      <c r="N4480">
        <v>178534</v>
      </c>
      <c r="O4480">
        <v>1516872</v>
      </c>
      <c r="P4480">
        <v>91</v>
      </c>
      <c r="Q4480" t="s">
        <v>9305</v>
      </c>
    </row>
    <row r="4481" spans="1:17" x14ac:dyDescent="0.3">
      <c r="A4481" t="s">
        <v>17</v>
      </c>
      <c r="B4481" t="str">
        <f>"600467"</f>
        <v>600467</v>
      </c>
      <c r="C4481" t="s">
        <v>9306</v>
      </c>
      <c r="D4481" t="s">
        <v>3754</v>
      </c>
      <c r="E4481">
        <v>17987752</v>
      </c>
      <c r="F4481">
        <v>29770562</v>
      </c>
      <c r="G4481">
        <v>44120143</v>
      </c>
      <c r="H4481">
        <v>41222164</v>
      </c>
      <c r="I4481">
        <v>51355784</v>
      </c>
      <c r="J4481">
        <v>44317823</v>
      </c>
      <c r="K4481">
        <v>58202287</v>
      </c>
      <c r="L4481">
        <v>47628650</v>
      </c>
      <c r="M4481">
        <v>51629463</v>
      </c>
      <c r="N4481">
        <v>60959538</v>
      </c>
      <c r="O4481">
        <v>56188977</v>
      </c>
      <c r="P4481">
        <v>119</v>
      </c>
      <c r="Q4481" t="s">
        <v>9307</v>
      </c>
    </row>
    <row r="4482" spans="1:17" x14ac:dyDescent="0.3">
      <c r="A4482" t="s">
        <v>73</v>
      </c>
      <c r="B4482" t="str">
        <f>"300277"</f>
        <v>300277</v>
      </c>
      <c r="C4482" t="s">
        <v>9308</v>
      </c>
      <c r="D4482" t="s">
        <v>302</v>
      </c>
      <c r="E4482">
        <v>17968903</v>
      </c>
      <c r="F4482">
        <v>23989615</v>
      </c>
      <c r="G4482">
        <v>40610348</v>
      </c>
      <c r="H4482">
        <v>63654131</v>
      </c>
      <c r="I4482">
        <v>86673885</v>
      </c>
      <c r="J4482">
        <v>95968047</v>
      </c>
      <c r="K4482">
        <v>111161618</v>
      </c>
      <c r="L4482">
        <v>131709728</v>
      </c>
      <c r="M4482">
        <v>153752471</v>
      </c>
      <c r="N4482">
        <v>192621610</v>
      </c>
      <c r="O4482">
        <v>138420170</v>
      </c>
      <c r="P4482">
        <v>73</v>
      </c>
      <c r="Q4482" t="s">
        <v>9309</v>
      </c>
    </row>
    <row r="4483" spans="1:17" x14ac:dyDescent="0.3">
      <c r="A4483" t="s">
        <v>73</v>
      </c>
      <c r="B4483" t="str">
        <f>"002627"</f>
        <v>002627</v>
      </c>
      <c r="C4483" t="s">
        <v>9310</v>
      </c>
      <c r="D4483" t="s">
        <v>4964</v>
      </c>
      <c r="E4483">
        <v>17935910</v>
      </c>
      <c r="F4483">
        <v>35475036</v>
      </c>
      <c r="G4483">
        <v>25565053</v>
      </c>
      <c r="H4483">
        <v>35972997</v>
      </c>
      <c r="I4483">
        <v>25170414</v>
      </c>
      <c r="J4483">
        <v>15640654</v>
      </c>
      <c r="K4483">
        <v>25411815</v>
      </c>
      <c r="L4483">
        <v>30798057</v>
      </c>
      <c r="M4483">
        <v>26334681</v>
      </c>
      <c r="N4483">
        <v>27738224</v>
      </c>
      <c r="O4483">
        <v>15892594</v>
      </c>
      <c r="P4483">
        <v>99</v>
      </c>
      <c r="Q4483" t="s">
        <v>9311</v>
      </c>
    </row>
    <row r="4484" spans="1:17" x14ac:dyDescent="0.3">
      <c r="A4484" t="s">
        <v>17</v>
      </c>
      <c r="B4484" t="str">
        <f>"600989"</f>
        <v>600989</v>
      </c>
      <c r="C4484" t="s">
        <v>9312</v>
      </c>
      <c r="D4484" t="s">
        <v>1145</v>
      </c>
      <c r="E4484">
        <v>17858458</v>
      </c>
      <c r="F4484">
        <v>18375510</v>
      </c>
      <c r="G4484">
        <v>7844084</v>
      </c>
      <c r="H4484">
        <v>0</v>
      </c>
      <c r="I4484">
        <v>0</v>
      </c>
      <c r="J4484">
        <v>29711760</v>
      </c>
      <c r="P4484">
        <v>769</v>
      </c>
      <c r="Q4484" t="s">
        <v>9313</v>
      </c>
    </row>
    <row r="4485" spans="1:17" x14ac:dyDescent="0.3">
      <c r="A4485" t="s">
        <v>17</v>
      </c>
      <c r="B4485" t="str">
        <f>"688325"</f>
        <v>688325</v>
      </c>
      <c r="C4485" t="s">
        <v>9314</v>
      </c>
      <c r="E4485">
        <v>17692917</v>
      </c>
      <c r="P4485">
        <v>3</v>
      </c>
      <c r="Q4485" t="s">
        <v>9315</v>
      </c>
    </row>
    <row r="4486" spans="1:17" x14ac:dyDescent="0.3">
      <c r="A4486" t="s">
        <v>17</v>
      </c>
      <c r="B4486" t="str">
        <f>"600751"</f>
        <v>600751</v>
      </c>
      <c r="C4486" t="s">
        <v>9316</v>
      </c>
      <c r="D4486" t="s">
        <v>651</v>
      </c>
      <c r="E4486">
        <v>17666000</v>
      </c>
      <c r="F4486">
        <v>51234967000</v>
      </c>
      <c r="G4486">
        <v>48470424000</v>
      </c>
      <c r="H4486">
        <v>0</v>
      </c>
      <c r="I4486">
        <v>42650346000</v>
      </c>
      <c r="J4486">
        <v>38138656000</v>
      </c>
      <c r="K4486">
        <v>757266680</v>
      </c>
      <c r="L4486">
        <v>49625073</v>
      </c>
      <c r="M4486">
        <v>87980512</v>
      </c>
      <c r="N4486">
        <v>44907440</v>
      </c>
      <c r="O4486">
        <v>48829565</v>
      </c>
      <c r="P4486">
        <v>226</v>
      </c>
      <c r="Q4486" t="s">
        <v>9317</v>
      </c>
    </row>
    <row r="4487" spans="1:17" x14ac:dyDescent="0.3">
      <c r="A4487" t="s">
        <v>17</v>
      </c>
      <c r="B4487" t="str">
        <f>"688091"</f>
        <v>688091</v>
      </c>
      <c r="C4487" t="s">
        <v>9318</v>
      </c>
      <c r="D4487" t="s">
        <v>348</v>
      </c>
      <c r="E4487">
        <v>17657489</v>
      </c>
      <c r="G4487">
        <v>0</v>
      </c>
      <c r="P4487">
        <v>14</v>
      </c>
      <c r="Q4487" t="s">
        <v>9319</v>
      </c>
    </row>
    <row r="4488" spans="1:17" x14ac:dyDescent="0.3">
      <c r="A4488" t="s">
        <v>17</v>
      </c>
      <c r="B4488" t="str">
        <f>"600834"</f>
        <v>600834</v>
      </c>
      <c r="C4488" t="s">
        <v>9320</v>
      </c>
      <c r="D4488" t="s">
        <v>4964</v>
      </c>
      <c r="E4488">
        <v>17599163</v>
      </c>
      <c r="F4488">
        <v>9158183</v>
      </c>
      <c r="G4488">
        <v>57674807</v>
      </c>
      <c r="H4488">
        <v>11308205</v>
      </c>
      <c r="I4488">
        <v>6504753</v>
      </c>
      <c r="J4488">
        <v>4410288</v>
      </c>
      <c r="K4488">
        <v>4063528</v>
      </c>
      <c r="L4488">
        <v>4256298</v>
      </c>
      <c r="M4488">
        <v>2085420</v>
      </c>
      <c r="N4488">
        <v>12210384</v>
      </c>
      <c r="O4488">
        <v>5394344</v>
      </c>
      <c r="P4488">
        <v>120</v>
      </c>
      <c r="Q4488" t="s">
        <v>9321</v>
      </c>
    </row>
    <row r="4489" spans="1:17" x14ac:dyDescent="0.3">
      <c r="A4489" t="s">
        <v>73</v>
      </c>
      <c r="B4489" t="str">
        <f>"002836"</f>
        <v>002836</v>
      </c>
      <c r="C4489" t="s">
        <v>9322</v>
      </c>
      <c r="D4489" t="s">
        <v>577</v>
      </c>
      <c r="E4489">
        <v>17590691</v>
      </c>
      <c r="F4489">
        <v>35200952</v>
      </c>
      <c r="G4489">
        <v>79209126</v>
      </c>
      <c r="H4489">
        <v>125207670</v>
      </c>
      <c r="I4489">
        <v>80397809</v>
      </c>
      <c r="J4489">
        <v>97138387</v>
      </c>
      <c r="P4489">
        <v>63</v>
      </c>
      <c r="Q4489" t="s">
        <v>9323</v>
      </c>
    </row>
    <row r="4490" spans="1:17" x14ac:dyDescent="0.3">
      <c r="A4490" t="s">
        <v>73</v>
      </c>
      <c r="B4490" t="str">
        <f>"002336"</f>
        <v>002336</v>
      </c>
      <c r="C4490" t="s">
        <v>9324</v>
      </c>
      <c r="D4490" t="s">
        <v>3633</v>
      </c>
      <c r="E4490">
        <v>17421707</v>
      </c>
      <c r="F4490">
        <v>19246076</v>
      </c>
      <c r="G4490">
        <v>9017908</v>
      </c>
      <c r="H4490">
        <v>3880263</v>
      </c>
      <c r="I4490">
        <v>2495268</v>
      </c>
      <c r="J4490">
        <v>7964041</v>
      </c>
      <c r="K4490">
        <v>5513028</v>
      </c>
      <c r="L4490">
        <v>4083810</v>
      </c>
      <c r="M4490">
        <v>9545438</v>
      </c>
      <c r="N4490">
        <v>10806902</v>
      </c>
      <c r="O4490">
        <v>17192967</v>
      </c>
      <c r="P4490">
        <v>69</v>
      </c>
      <c r="Q4490" t="s">
        <v>9325</v>
      </c>
    </row>
    <row r="4491" spans="1:17" x14ac:dyDescent="0.3">
      <c r="A4491" t="s">
        <v>73</v>
      </c>
      <c r="B4491" t="str">
        <f>"301057"</f>
        <v>301057</v>
      </c>
      <c r="C4491" t="s">
        <v>9326</v>
      </c>
      <c r="D4491" t="s">
        <v>2854</v>
      </c>
      <c r="E4491">
        <v>17279802</v>
      </c>
      <c r="P4491">
        <v>16</v>
      </c>
      <c r="Q4491" t="s">
        <v>9327</v>
      </c>
    </row>
    <row r="4492" spans="1:17" x14ac:dyDescent="0.3">
      <c r="A4492" t="s">
        <v>73</v>
      </c>
      <c r="B4492" t="str">
        <f>"000606"</f>
        <v>000606</v>
      </c>
      <c r="C4492" t="s">
        <v>9328</v>
      </c>
      <c r="D4492" t="s">
        <v>302</v>
      </c>
      <c r="E4492">
        <v>17103595</v>
      </c>
      <c r="F4492">
        <v>47215945</v>
      </c>
      <c r="G4492">
        <v>154319696</v>
      </c>
      <c r="H4492">
        <v>161701902</v>
      </c>
      <c r="I4492">
        <v>41236687</v>
      </c>
      <c r="J4492">
        <v>62393260</v>
      </c>
      <c r="K4492">
        <v>48103390</v>
      </c>
      <c r="L4492">
        <v>71377554</v>
      </c>
      <c r="M4492">
        <v>74165076</v>
      </c>
      <c r="N4492">
        <v>38602619</v>
      </c>
      <c r="O4492">
        <v>62380032</v>
      </c>
      <c r="P4492">
        <v>99</v>
      </c>
      <c r="Q4492" t="s">
        <v>9329</v>
      </c>
    </row>
    <row r="4493" spans="1:17" x14ac:dyDescent="0.3">
      <c r="A4493" t="s">
        <v>17</v>
      </c>
      <c r="B4493" t="str">
        <f>"688613"</f>
        <v>688613</v>
      </c>
      <c r="C4493" t="s">
        <v>9330</v>
      </c>
      <c r="D4493" t="s">
        <v>1523</v>
      </c>
      <c r="E4493">
        <v>16782509</v>
      </c>
      <c r="F4493">
        <v>17094613</v>
      </c>
      <c r="P4493">
        <v>51</v>
      </c>
      <c r="Q4493" t="s">
        <v>9331</v>
      </c>
    </row>
    <row r="4494" spans="1:17" x14ac:dyDescent="0.3">
      <c r="A4494" t="s">
        <v>73</v>
      </c>
      <c r="B4494" t="str">
        <f>"300898"</f>
        <v>300898</v>
      </c>
      <c r="C4494" t="s">
        <v>9332</v>
      </c>
      <c r="D4494" t="s">
        <v>1027</v>
      </c>
      <c r="E4494">
        <v>16689557</v>
      </c>
      <c r="F4494">
        <v>36377247</v>
      </c>
      <c r="H4494">
        <v>18661376</v>
      </c>
      <c r="I4494">
        <v>31410554</v>
      </c>
      <c r="P4494">
        <v>73</v>
      </c>
      <c r="Q4494" t="s">
        <v>9333</v>
      </c>
    </row>
    <row r="4495" spans="1:17" x14ac:dyDescent="0.3">
      <c r="A4495" t="s">
        <v>73</v>
      </c>
      <c r="B4495" t="str">
        <f>"000663"</f>
        <v>000663</v>
      </c>
      <c r="C4495" t="s">
        <v>9334</v>
      </c>
      <c r="D4495" t="s">
        <v>2533</v>
      </c>
      <c r="E4495">
        <v>16461238</v>
      </c>
      <c r="F4495">
        <v>42214406</v>
      </c>
      <c r="G4495">
        <v>227594802</v>
      </c>
      <c r="H4495">
        <v>297927295</v>
      </c>
      <c r="I4495">
        <v>631732808</v>
      </c>
      <c r="J4495">
        <v>610544831</v>
      </c>
      <c r="K4495">
        <v>589501404</v>
      </c>
      <c r="L4495">
        <v>37951331</v>
      </c>
      <c r="M4495">
        <v>26491120</v>
      </c>
      <c r="N4495">
        <v>23617927</v>
      </c>
      <c r="O4495">
        <v>20367929</v>
      </c>
      <c r="P4495">
        <v>93</v>
      </c>
      <c r="Q4495" t="s">
        <v>9335</v>
      </c>
    </row>
    <row r="4496" spans="1:17" x14ac:dyDescent="0.3">
      <c r="A4496" t="s">
        <v>17</v>
      </c>
      <c r="B4496" t="str">
        <f>"603377"</f>
        <v>603377</v>
      </c>
      <c r="C4496" t="s">
        <v>9336</v>
      </c>
      <c r="D4496" t="s">
        <v>4778</v>
      </c>
      <c r="E4496">
        <v>16330854</v>
      </c>
      <c r="F4496">
        <v>18534271</v>
      </c>
      <c r="G4496">
        <v>3446221</v>
      </c>
      <c r="H4496">
        <v>103367</v>
      </c>
      <c r="I4496">
        <v>77729</v>
      </c>
      <c r="J4496">
        <v>1370577</v>
      </c>
      <c r="K4496">
        <v>87899</v>
      </c>
      <c r="L4496">
        <v>0</v>
      </c>
      <c r="P4496">
        <v>171</v>
      </c>
      <c r="Q4496" t="s">
        <v>9337</v>
      </c>
    </row>
    <row r="4497" spans="1:17" x14ac:dyDescent="0.3">
      <c r="A4497" t="s">
        <v>17</v>
      </c>
      <c r="B4497" t="str">
        <f>"603317"</f>
        <v>603317</v>
      </c>
      <c r="C4497" t="s">
        <v>9338</v>
      </c>
      <c r="D4497" t="s">
        <v>1851</v>
      </c>
      <c r="E4497">
        <v>16255342</v>
      </c>
      <c r="F4497">
        <v>14217556</v>
      </c>
      <c r="G4497">
        <v>7279504</v>
      </c>
      <c r="H4497">
        <v>5400148</v>
      </c>
      <c r="P4497">
        <v>1436</v>
      </c>
      <c r="Q4497" t="s">
        <v>9339</v>
      </c>
    </row>
    <row r="4498" spans="1:17" x14ac:dyDescent="0.3">
      <c r="A4498" t="s">
        <v>73</v>
      </c>
      <c r="B4498" t="str">
        <f>"300023"</f>
        <v>300023</v>
      </c>
      <c r="C4498" t="s">
        <v>9340</v>
      </c>
      <c r="D4498" t="s">
        <v>3243</v>
      </c>
      <c r="E4498">
        <v>16030291</v>
      </c>
      <c r="F4498">
        <v>1598214</v>
      </c>
      <c r="G4498">
        <v>3477944</v>
      </c>
      <c r="H4498">
        <v>12678826</v>
      </c>
      <c r="I4498">
        <v>23592578</v>
      </c>
      <c r="J4498">
        <v>107997252</v>
      </c>
      <c r="K4498">
        <v>169401764</v>
      </c>
      <c r="L4498">
        <v>116145769</v>
      </c>
      <c r="M4498">
        <v>59507924</v>
      </c>
      <c r="N4498">
        <v>91253546</v>
      </c>
      <c r="O4498">
        <v>101415530</v>
      </c>
      <c r="P4498">
        <v>61</v>
      </c>
      <c r="Q4498" t="s">
        <v>9341</v>
      </c>
    </row>
    <row r="4499" spans="1:17" x14ac:dyDescent="0.3">
      <c r="A4499" t="s">
        <v>17</v>
      </c>
      <c r="B4499" t="str">
        <f>"600209"</f>
        <v>600209</v>
      </c>
      <c r="C4499" t="s">
        <v>9342</v>
      </c>
      <c r="D4499" t="s">
        <v>258</v>
      </c>
      <c r="E4499">
        <v>16022693</v>
      </c>
      <c r="F4499">
        <v>33194579</v>
      </c>
      <c r="G4499">
        <v>54512330</v>
      </c>
      <c r="H4499">
        <v>44383003</v>
      </c>
      <c r="I4499">
        <v>57909701</v>
      </c>
      <c r="J4499">
        <v>65481954</v>
      </c>
      <c r="K4499">
        <v>50838142</v>
      </c>
      <c r="L4499">
        <v>39139623</v>
      </c>
      <c r="M4499">
        <v>39094219</v>
      </c>
      <c r="N4499">
        <v>43286153</v>
      </c>
      <c r="O4499">
        <v>46261063</v>
      </c>
      <c r="P4499">
        <v>49</v>
      </c>
      <c r="Q4499" t="s">
        <v>9343</v>
      </c>
    </row>
    <row r="4500" spans="1:17" x14ac:dyDescent="0.3">
      <c r="A4500" t="s">
        <v>17</v>
      </c>
      <c r="B4500" t="str">
        <f>"600778"</f>
        <v>600778</v>
      </c>
      <c r="C4500" t="s">
        <v>9344</v>
      </c>
      <c r="D4500" t="s">
        <v>3897</v>
      </c>
      <c r="E4500">
        <v>15998121</v>
      </c>
      <c r="F4500">
        <v>20673792</v>
      </c>
      <c r="G4500">
        <v>31083928</v>
      </c>
      <c r="H4500">
        <v>10414766</v>
      </c>
      <c r="I4500">
        <v>8274323</v>
      </c>
      <c r="J4500">
        <v>7817848</v>
      </c>
      <c r="K4500">
        <v>7799924</v>
      </c>
      <c r="L4500">
        <v>6110250</v>
      </c>
      <c r="M4500">
        <v>8805081</v>
      </c>
      <c r="N4500">
        <v>113312414</v>
      </c>
      <c r="O4500">
        <v>107012303</v>
      </c>
      <c r="P4500">
        <v>82</v>
      </c>
      <c r="Q4500" t="s">
        <v>9345</v>
      </c>
    </row>
    <row r="4501" spans="1:17" x14ac:dyDescent="0.3">
      <c r="A4501" t="s">
        <v>73</v>
      </c>
      <c r="B4501" t="str">
        <f>"002646"</f>
        <v>002646</v>
      </c>
      <c r="C4501" t="s">
        <v>9346</v>
      </c>
      <c r="D4501" t="s">
        <v>7050</v>
      </c>
      <c r="E4501">
        <v>15990362</v>
      </c>
      <c r="F4501">
        <v>20999514</v>
      </c>
      <c r="G4501">
        <v>31223281</v>
      </c>
      <c r="H4501">
        <v>29781121</v>
      </c>
      <c r="I4501">
        <v>19131449</v>
      </c>
      <c r="J4501">
        <v>19524372</v>
      </c>
      <c r="K4501">
        <v>19938036</v>
      </c>
      <c r="L4501">
        <v>10013787</v>
      </c>
      <c r="M4501">
        <v>4774828</v>
      </c>
      <c r="N4501">
        <v>5759248</v>
      </c>
      <c r="O4501">
        <v>2385830</v>
      </c>
      <c r="P4501">
        <v>254</v>
      </c>
      <c r="Q4501" t="s">
        <v>9347</v>
      </c>
    </row>
    <row r="4502" spans="1:17" x14ac:dyDescent="0.3">
      <c r="A4502" t="s">
        <v>17</v>
      </c>
      <c r="B4502" t="str">
        <f>"600359"</f>
        <v>600359</v>
      </c>
      <c r="C4502" t="s">
        <v>9348</v>
      </c>
      <c r="D4502" t="s">
        <v>2090</v>
      </c>
      <c r="E4502">
        <v>15950006</v>
      </c>
      <c r="F4502">
        <v>33164456</v>
      </c>
      <c r="G4502">
        <v>36706931</v>
      </c>
      <c r="H4502">
        <v>79411018</v>
      </c>
      <c r="I4502">
        <v>112404933</v>
      </c>
      <c r="J4502">
        <v>127540260</v>
      </c>
      <c r="K4502">
        <v>124566214</v>
      </c>
      <c r="L4502">
        <v>79373815</v>
      </c>
      <c r="M4502">
        <v>136462197</v>
      </c>
      <c r="N4502">
        <v>65029634</v>
      </c>
      <c r="O4502">
        <v>237272437</v>
      </c>
      <c r="P4502">
        <v>111</v>
      </c>
      <c r="Q4502" t="s">
        <v>9349</v>
      </c>
    </row>
    <row r="4503" spans="1:17" x14ac:dyDescent="0.3">
      <c r="A4503" t="s">
        <v>73</v>
      </c>
      <c r="B4503" t="str">
        <f>"300281"</f>
        <v>300281</v>
      </c>
      <c r="C4503" t="s">
        <v>9350</v>
      </c>
      <c r="D4503" t="s">
        <v>1451</v>
      </c>
      <c r="E4503">
        <v>15884678</v>
      </c>
      <c r="F4503">
        <v>15767030</v>
      </c>
      <c r="G4503">
        <v>29360237</v>
      </c>
      <c r="H4503">
        <v>78958115</v>
      </c>
      <c r="I4503">
        <v>148844993</v>
      </c>
      <c r="J4503">
        <v>125704934</v>
      </c>
      <c r="K4503">
        <v>107039227</v>
      </c>
      <c r="L4503">
        <v>95899670</v>
      </c>
      <c r="M4503">
        <v>131394572</v>
      </c>
      <c r="N4503">
        <v>80151769</v>
      </c>
      <c r="O4503">
        <v>19284949</v>
      </c>
      <c r="P4503">
        <v>48</v>
      </c>
      <c r="Q4503" t="s">
        <v>9351</v>
      </c>
    </row>
    <row r="4504" spans="1:17" x14ac:dyDescent="0.3">
      <c r="A4504" t="s">
        <v>17</v>
      </c>
      <c r="B4504" t="str">
        <f>"600696"</f>
        <v>600696</v>
      </c>
      <c r="C4504" t="s">
        <v>9352</v>
      </c>
      <c r="D4504" t="s">
        <v>466</v>
      </c>
      <c r="E4504">
        <v>15868377</v>
      </c>
      <c r="F4504">
        <v>47153347</v>
      </c>
      <c r="G4504">
        <v>1690285</v>
      </c>
      <c r="H4504">
        <v>66634</v>
      </c>
      <c r="I4504">
        <v>0</v>
      </c>
      <c r="J4504">
        <v>0</v>
      </c>
      <c r="K4504">
        <v>60000</v>
      </c>
      <c r="L4504">
        <v>44802</v>
      </c>
      <c r="M4504">
        <v>40867383</v>
      </c>
      <c r="N4504">
        <v>3914106</v>
      </c>
      <c r="O4504">
        <v>0</v>
      </c>
      <c r="P4504">
        <v>95</v>
      </c>
      <c r="Q4504" t="s">
        <v>9353</v>
      </c>
    </row>
    <row r="4505" spans="1:17" x14ac:dyDescent="0.3">
      <c r="A4505" t="s">
        <v>17</v>
      </c>
      <c r="B4505" t="str">
        <f>"688221"</f>
        <v>688221</v>
      </c>
      <c r="C4505" t="s">
        <v>9354</v>
      </c>
      <c r="D4505" t="s">
        <v>348</v>
      </c>
      <c r="E4505">
        <v>15633045</v>
      </c>
      <c r="F4505">
        <v>30931386</v>
      </c>
      <c r="G4505">
        <v>0</v>
      </c>
      <c r="H4505">
        <v>0</v>
      </c>
      <c r="P4505">
        <v>51</v>
      </c>
      <c r="Q4505" t="s">
        <v>9355</v>
      </c>
    </row>
    <row r="4506" spans="1:17" x14ac:dyDescent="0.3">
      <c r="A4506" t="s">
        <v>17</v>
      </c>
      <c r="B4506" t="str">
        <f>"603711"</f>
        <v>603711</v>
      </c>
      <c r="C4506" t="s">
        <v>9356</v>
      </c>
      <c r="D4506" t="s">
        <v>4013</v>
      </c>
      <c r="E4506">
        <v>15571182</v>
      </c>
      <c r="F4506">
        <v>16642095</v>
      </c>
      <c r="G4506">
        <v>15601988</v>
      </c>
      <c r="H4506">
        <v>28963434</v>
      </c>
      <c r="I4506">
        <v>13134976</v>
      </c>
      <c r="P4506">
        <v>392</v>
      </c>
      <c r="Q4506" t="s">
        <v>9357</v>
      </c>
    </row>
    <row r="4507" spans="1:17" x14ac:dyDescent="0.3">
      <c r="A4507" t="s">
        <v>73</v>
      </c>
      <c r="B4507" t="str">
        <f>"300736"</f>
        <v>300736</v>
      </c>
      <c r="C4507" t="s">
        <v>9358</v>
      </c>
      <c r="D4507" t="s">
        <v>651</v>
      </c>
      <c r="E4507">
        <v>15559504</v>
      </c>
      <c r="F4507">
        <v>21762525</v>
      </c>
      <c r="G4507">
        <v>16354220</v>
      </c>
      <c r="H4507">
        <v>28454951</v>
      </c>
      <c r="I4507">
        <v>25918051</v>
      </c>
      <c r="J4507">
        <v>0</v>
      </c>
      <c r="P4507">
        <v>114</v>
      </c>
      <c r="Q4507" t="s">
        <v>9359</v>
      </c>
    </row>
    <row r="4508" spans="1:17" x14ac:dyDescent="0.3">
      <c r="A4508" t="s">
        <v>17</v>
      </c>
      <c r="B4508" t="str">
        <f>"603168"</f>
        <v>603168</v>
      </c>
      <c r="C4508" t="s">
        <v>9360</v>
      </c>
      <c r="D4508" t="s">
        <v>348</v>
      </c>
      <c r="E4508">
        <v>15489721</v>
      </c>
      <c r="F4508">
        <v>30799658</v>
      </c>
      <c r="G4508">
        <v>23051698</v>
      </c>
      <c r="H4508">
        <v>32643834</v>
      </c>
      <c r="I4508">
        <v>46815834</v>
      </c>
      <c r="J4508">
        <v>24784758</v>
      </c>
      <c r="K4508">
        <v>12680692</v>
      </c>
      <c r="L4508">
        <v>22535120</v>
      </c>
      <c r="M4508">
        <v>0</v>
      </c>
      <c r="N4508">
        <v>0</v>
      </c>
      <c r="P4508">
        <v>528</v>
      </c>
      <c r="Q4508" t="s">
        <v>9361</v>
      </c>
    </row>
    <row r="4509" spans="1:17" x14ac:dyDescent="0.3">
      <c r="A4509" t="s">
        <v>73</v>
      </c>
      <c r="B4509" t="str">
        <f>"000833"</f>
        <v>000833</v>
      </c>
      <c r="C4509" t="s">
        <v>9362</v>
      </c>
      <c r="D4509" t="s">
        <v>466</v>
      </c>
      <c r="E4509">
        <v>15430047</v>
      </c>
      <c r="F4509">
        <v>31525211</v>
      </c>
      <c r="G4509">
        <v>46222903</v>
      </c>
      <c r="H4509">
        <v>45289978</v>
      </c>
      <c r="I4509">
        <v>45624483</v>
      </c>
      <c r="J4509">
        <v>52003045</v>
      </c>
      <c r="K4509">
        <v>67332766</v>
      </c>
      <c r="L4509">
        <v>27075126</v>
      </c>
      <c r="M4509">
        <v>34952685</v>
      </c>
      <c r="N4509">
        <v>32257502</v>
      </c>
      <c r="O4509">
        <v>26904022</v>
      </c>
      <c r="P4509">
        <v>88</v>
      </c>
      <c r="Q4509" t="s">
        <v>9363</v>
      </c>
    </row>
    <row r="4510" spans="1:17" x14ac:dyDescent="0.3">
      <c r="A4510" t="s">
        <v>73</v>
      </c>
      <c r="B4510" t="str">
        <f>"003008"</f>
        <v>003008</v>
      </c>
      <c r="C4510" t="s">
        <v>9364</v>
      </c>
      <c r="D4510" t="s">
        <v>2608</v>
      </c>
      <c r="E4510">
        <v>15417015</v>
      </c>
      <c r="F4510">
        <v>13808793</v>
      </c>
      <c r="P4510">
        <v>68</v>
      </c>
      <c r="Q4510" t="s">
        <v>9365</v>
      </c>
    </row>
    <row r="4511" spans="1:17" x14ac:dyDescent="0.3">
      <c r="A4511" t="s">
        <v>73</v>
      </c>
      <c r="B4511" t="str">
        <f>"000809"</f>
        <v>000809</v>
      </c>
      <c r="C4511" t="s">
        <v>9366</v>
      </c>
      <c r="D4511" t="s">
        <v>27</v>
      </c>
      <c r="E4511">
        <v>15283100</v>
      </c>
      <c r="F4511">
        <v>8875421</v>
      </c>
      <c r="G4511">
        <v>7726521</v>
      </c>
      <c r="H4511">
        <v>76063062</v>
      </c>
      <c r="I4511">
        <v>21060282</v>
      </c>
      <c r="J4511">
        <v>417402473</v>
      </c>
      <c r="K4511">
        <v>624306470</v>
      </c>
      <c r="L4511">
        <v>747340074</v>
      </c>
      <c r="M4511">
        <v>1873397266</v>
      </c>
      <c r="N4511">
        <v>1241475736</v>
      </c>
      <c r="O4511">
        <v>421039271</v>
      </c>
      <c r="P4511">
        <v>72</v>
      </c>
      <c r="Q4511" t="s">
        <v>9367</v>
      </c>
    </row>
    <row r="4512" spans="1:17" x14ac:dyDescent="0.3">
      <c r="A4512" t="s">
        <v>17</v>
      </c>
      <c r="B4512" t="str">
        <f>"688277"</f>
        <v>688277</v>
      </c>
      <c r="C4512" t="s">
        <v>9368</v>
      </c>
      <c r="D4512" t="s">
        <v>692</v>
      </c>
      <c r="E4512">
        <v>14886142</v>
      </c>
      <c r="F4512">
        <v>16246022</v>
      </c>
      <c r="G4512">
        <v>59963995</v>
      </c>
      <c r="H4512">
        <v>0</v>
      </c>
      <c r="P4512">
        <v>120</v>
      </c>
      <c r="Q4512" t="s">
        <v>9369</v>
      </c>
    </row>
    <row r="4513" spans="1:17" x14ac:dyDescent="0.3">
      <c r="A4513" t="s">
        <v>17</v>
      </c>
      <c r="B4513" t="str">
        <f>"600779"</f>
        <v>600779</v>
      </c>
      <c r="C4513" t="s">
        <v>9370</v>
      </c>
      <c r="D4513" t="s">
        <v>7050</v>
      </c>
      <c r="E4513">
        <v>14769000</v>
      </c>
      <c r="F4513">
        <v>0</v>
      </c>
      <c r="G4513">
        <v>19495496</v>
      </c>
      <c r="H4513">
        <v>12130469</v>
      </c>
      <c r="I4513">
        <v>96264019</v>
      </c>
      <c r="J4513">
        <v>7048834</v>
      </c>
      <c r="K4513">
        <v>11044027</v>
      </c>
      <c r="L4513">
        <v>10659532</v>
      </c>
      <c r="M4513">
        <v>107285444</v>
      </c>
      <c r="N4513">
        <v>58295174</v>
      </c>
      <c r="O4513">
        <v>19517096</v>
      </c>
      <c r="P4513">
        <v>2794</v>
      </c>
      <c r="Q4513" t="s">
        <v>9371</v>
      </c>
    </row>
    <row r="4514" spans="1:17" x14ac:dyDescent="0.3">
      <c r="A4514" t="s">
        <v>17</v>
      </c>
      <c r="B4514" t="str">
        <f>"603696"</f>
        <v>603696</v>
      </c>
      <c r="C4514" t="s">
        <v>9372</v>
      </c>
      <c r="D4514" t="s">
        <v>1851</v>
      </c>
      <c r="E4514">
        <v>14594616</v>
      </c>
      <c r="F4514">
        <v>21555995</v>
      </c>
      <c r="G4514">
        <v>19300130</v>
      </c>
      <c r="H4514">
        <v>16730761</v>
      </c>
      <c r="I4514">
        <v>16649698</v>
      </c>
      <c r="J4514">
        <v>9326974</v>
      </c>
      <c r="K4514">
        <v>9707508</v>
      </c>
      <c r="L4514">
        <v>9007880</v>
      </c>
      <c r="P4514">
        <v>195</v>
      </c>
      <c r="Q4514" t="s">
        <v>9373</v>
      </c>
    </row>
    <row r="4515" spans="1:17" x14ac:dyDescent="0.3">
      <c r="A4515" t="s">
        <v>73</v>
      </c>
      <c r="B4515" t="str">
        <f>"300947"</f>
        <v>300947</v>
      </c>
      <c r="C4515" t="s">
        <v>9374</v>
      </c>
      <c r="D4515" t="s">
        <v>1463</v>
      </c>
      <c r="E4515">
        <v>14551092</v>
      </c>
      <c r="F4515">
        <v>10450691</v>
      </c>
      <c r="P4515">
        <v>28</v>
      </c>
      <c r="Q4515" t="s">
        <v>9375</v>
      </c>
    </row>
    <row r="4516" spans="1:17" x14ac:dyDescent="0.3">
      <c r="A4516" t="s">
        <v>73</v>
      </c>
      <c r="B4516" t="str">
        <f>"300967"</f>
        <v>300967</v>
      </c>
      <c r="C4516" t="s">
        <v>9376</v>
      </c>
      <c r="D4516" t="s">
        <v>3664</v>
      </c>
      <c r="E4516">
        <v>14212334</v>
      </c>
      <c r="F4516">
        <v>10933942</v>
      </c>
      <c r="P4516">
        <v>34</v>
      </c>
      <c r="Q4516" t="s">
        <v>9377</v>
      </c>
    </row>
    <row r="4517" spans="1:17" x14ac:dyDescent="0.3">
      <c r="A4517" t="s">
        <v>73</v>
      </c>
      <c r="B4517" t="str">
        <f>"300467"</f>
        <v>300467</v>
      </c>
      <c r="C4517" t="s">
        <v>9378</v>
      </c>
      <c r="D4517" t="s">
        <v>899</v>
      </c>
      <c r="E4517">
        <v>14066030</v>
      </c>
      <c r="F4517">
        <v>24823973</v>
      </c>
      <c r="G4517">
        <v>17677004</v>
      </c>
      <c r="H4517">
        <v>49830405</v>
      </c>
      <c r="I4517">
        <v>66673901</v>
      </c>
      <c r="J4517">
        <v>4910887</v>
      </c>
      <c r="K4517">
        <v>3899495</v>
      </c>
      <c r="L4517">
        <v>3148652</v>
      </c>
      <c r="M4517">
        <v>0</v>
      </c>
      <c r="P4517">
        <v>187</v>
      </c>
      <c r="Q4517" t="s">
        <v>9379</v>
      </c>
    </row>
    <row r="4518" spans="1:17" x14ac:dyDescent="0.3">
      <c r="A4518" t="s">
        <v>73</v>
      </c>
      <c r="B4518" t="str">
        <f>"002945"</f>
        <v>002945</v>
      </c>
      <c r="C4518" t="s">
        <v>9380</v>
      </c>
      <c r="D4518" t="s">
        <v>53</v>
      </c>
      <c r="E4518">
        <v>13867402</v>
      </c>
      <c r="F4518">
        <v>7162858</v>
      </c>
      <c r="G4518">
        <v>19068401</v>
      </c>
      <c r="H4518">
        <v>8307289</v>
      </c>
      <c r="I4518">
        <v>0</v>
      </c>
      <c r="J4518">
        <v>36192983</v>
      </c>
      <c r="K4518">
        <v>4792762</v>
      </c>
      <c r="P4518">
        <v>913</v>
      </c>
      <c r="Q4518" t="s">
        <v>9381</v>
      </c>
    </row>
    <row r="4519" spans="1:17" x14ac:dyDescent="0.3">
      <c r="A4519" t="s">
        <v>73</v>
      </c>
      <c r="B4519" t="str">
        <f>"002762"</f>
        <v>002762</v>
      </c>
      <c r="C4519" t="s">
        <v>9382</v>
      </c>
      <c r="D4519" t="s">
        <v>991</v>
      </c>
      <c r="E4519">
        <v>13866211</v>
      </c>
      <c r="F4519">
        <v>12006992</v>
      </c>
      <c r="G4519">
        <v>23326086</v>
      </c>
      <c r="H4519">
        <v>36927146</v>
      </c>
      <c r="I4519">
        <v>48200150</v>
      </c>
      <c r="J4519">
        <v>39056062</v>
      </c>
      <c r="K4519">
        <v>35328497</v>
      </c>
      <c r="L4519">
        <v>0</v>
      </c>
      <c r="M4519">
        <v>0</v>
      </c>
      <c r="P4519">
        <v>128</v>
      </c>
      <c r="Q4519" t="s">
        <v>9383</v>
      </c>
    </row>
    <row r="4520" spans="1:17" x14ac:dyDescent="0.3">
      <c r="A4520" t="s">
        <v>73</v>
      </c>
      <c r="B4520" t="str">
        <f>"000007"</f>
        <v>000007</v>
      </c>
      <c r="C4520" t="s">
        <v>9384</v>
      </c>
      <c r="D4520" t="s">
        <v>1463</v>
      </c>
      <c r="E4520">
        <v>13833825</v>
      </c>
      <c r="F4520">
        <v>7781113</v>
      </c>
      <c r="G4520">
        <v>73025</v>
      </c>
      <c r="H4520">
        <v>0</v>
      </c>
      <c r="I4520">
        <v>0</v>
      </c>
      <c r="J4520">
        <v>1446425</v>
      </c>
      <c r="K4520">
        <v>32265327</v>
      </c>
      <c r="L4520">
        <v>54338944</v>
      </c>
      <c r="M4520">
        <v>15282521</v>
      </c>
      <c r="N4520">
        <v>46288224</v>
      </c>
      <c r="O4520">
        <v>5807578</v>
      </c>
      <c r="P4520">
        <v>93</v>
      </c>
      <c r="Q4520" t="s">
        <v>9385</v>
      </c>
    </row>
    <row r="4521" spans="1:17" x14ac:dyDescent="0.3">
      <c r="A4521" t="s">
        <v>17</v>
      </c>
      <c r="B4521" t="str">
        <f>"600870"</f>
        <v>600870</v>
      </c>
      <c r="C4521" t="s">
        <v>9386</v>
      </c>
      <c r="D4521" t="s">
        <v>299</v>
      </c>
      <c r="E4521">
        <v>13632211</v>
      </c>
      <c r="F4521">
        <v>1268581</v>
      </c>
      <c r="G4521">
        <v>1715203</v>
      </c>
      <c r="H4521">
        <v>14532790</v>
      </c>
      <c r="I4521">
        <v>11205915</v>
      </c>
      <c r="J4521">
        <v>9135366</v>
      </c>
      <c r="K4521">
        <v>2015448</v>
      </c>
      <c r="L4521">
        <v>2263175</v>
      </c>
      <c r="M4521">
        <v>165473825</v>
      </c>
      <c r="N4521">
        <v>290455789</v>
      </c>
      <c r="O4521">
        <v>568879819</v>
      </c>
      <c r="P4521">
        <v>55</v>
      </c>
      <c r="Q4521" t="s">
        <v>9387</v>
      </c>
    </row>
    <row r="4522" spans="1:17" x14ac:dyDescent="0.3">
      <c r="A4522" t="s">
        <v>17</v>
      </c>
      <c r="B4522" t="str">
        <f>"605108"</f>
        <v>605108</v>
      </c>
      <c r="C4522" t="s">
        <v>9388</v>
      </c>
      <c r="D4522" t="s">
        <v>8664</v>
      </c>
      <c r="E4522">
        <v>13539227</v>
      </c>
      <c r="F4522">
        <v>9037260</v>
      </c>
      <c r="G4522">
        <v>5972166</v>
      </c>
      <c r="P4522">
        <v>104</v>
      </c>
      <c r="Q4522" t="s">
        <v>9389</v>
      </c>
    </row>
    <row r="4523" spans="1:17" x14ac:dyDescent="0.3">
      <c r="A4523" t="s">
        <v>73</v>
      </c>
      <c r="B4523" t="str">
        <f>"002588"</f>
        <v>002588</v>
      </c>
      <c r="C4523" t="s">
        <v>9390</v>
      </c>
      <c r="D4523" t="s">
        <v>4079</v>
      </c>
      <c r="E4523">
        <v>13538761</v>
      </c>
      <c r="F4523">
        <v>9975193</v>
      </c>
      <c r="G4523">
        <v>17031367</v>
      </c>
      <c r="H4523">
        <v>26522510</v>
      </c>
      <c r="I4523">
        <v>36168311</v>
      </c>
      <c r="J4523">
        <v>164409940</v>
      </c>
      <c r="K4523">
        <v>286840622</v>
      </c>
      <c r="L4523">
        <v>71678832</v>
      </c>
      <c r="M4523">
        <v>54527774</v>
      </c>
      <c r="N4523">
        <v>45383793</v>
      </c>
      <c r="O4523">
        <v>61511</v>
      </c>
      <c r="P4523">
        <v>164</v>
      </c>
      <c r="Q4523" t="s">
        <v>9391</v>
      </c>
    </row>
    <row r="4524" spans="1:17" x14ac:dyDescent="0.3">
      <c r="A4524" t="s">
        <v>73</v>
      </c>
      <c r="B4524" t="str">
        <f>"002991"</f>
        <v>002991</v>
      </c>
      <c r="C4524" t="s">
        <v>9392</v>
      </c>
      <c r="D4524" t="s">
        <v>4657</v>
      </c>
      <c r="E4524">
        <v>13359767</v>
      </c>
      <c r="F4524">
        <v>10442098</v>
      </c>
      <c r="G4524">
        <v>6227885</v>
      </c>
      <c r="P4524">
        <v>211</v>
      </c>
      <c r="Q4524" t="s">
        <v>9393</v>
      </c>
    </row>
    <row r="4525" spans="1:17" x14ac:dyDescent="0.3">
      <c r="A4525" t="s">
        <v>17</v>
      </c>
      <c r="B4525" t="str">
        <f>"688553"</f>
        <v>688553</v>
      </c>
      <c r="C4525" t="s">
        <v>9394</v>
      </c>
      <c r="D4525" t="s">
        <v>348</v>
      </c>
      <c r="E4525">
        <v>13111021</v>
      </c>
      <c r="F4525">
        <v>14219441</v>
      </c>
      <c r="P4525">
        <v>30</v>
      </c>
      <c r="Q4525" t="s">
        <v>9395</v>
      </c>
    </row>
    <row r="4526" spans="1:17" x14ac:dyDescent="0.3">
      <c r="A4526" t="s">
        <v>73</v>
      </c>
      <c r="B4526" t="str">
        <f>"002820"</f>
        <v>002820</v>
      </c>
      <c r="C4526" t="s">
        <v>9396</v>
      </c>
      <c r="D4526" t="s">
        <v>3675</v>
      </c>
      <c r="E4526">
        <v>13078529</v>
      </c>
      <c r="F4526">
        <v>17031654</v>
      </c>
      <c r="G4526">
        <v>15343410</v>
      </c>
      <c r="H4526">
        <v>24422249</v>
      </c>
      <c r="I4526">
        <v>31455802</v>
      </c>
      <c r="J4526">
        <v>21008968</v>
      </c>
      <c r="P4526">
        <v>146</v>
      </c>
      <c r="Q4526" t="s">
        <v>9397</v>
      </c>
    </row>
    <row r="4527" spans="1:17" x14ac:dyDescent="0.3">
      <c r="A4527" t="s">
        <v>17</v>
      </c>
      <c r="B4527" t="str">
        <f>"600773"</f>
        <v>600773</v>
      </c>
      <c r="C4527" t="s">
        <v>9398</v>
      </c>
      <c r="D4527" t="s">
        <v>27</v>
      </c>
      <c r="E4527">
        <v>12613557</v>
      </c>
      <c r="F4527">
        <v>60637123</v>
      </c>
      <c r="G4527">
        <v>55146148</v>
      </c>
      <c r="H4527">
        <v>169469609</v>
      </c>
      <c r="I4527">
        <v>154668248</v>
      </c>
      <c r="J4527">
        <v>306754971</v>
      </c>
      <c r="K4527">
        <v>118309531</v>
      </c>
      <c r="L4527">
        <v>180693494</v>
      </c>
      <c r="M4527">
        <v>19003220</v>
      </c>
      <c r="N4527">
        <v>9972990</v>
      </c>
      <c r="O4527">
        <v>10369724</v>
      </c>
      <c r="P4527">
        <v>143</v>
      </c>
      <c r="Q4527" t="s">
        <v>9399</v>
      </c>
    </row>
    <row r="4528" spans="1:17" x14ac:dyDescent="0.3">
      <c r="A4528" t="s">
        <v>17</v>
      </c>
      <c r="B4528" t="str">
        <f>"600695"</f>
        <v>600695</v>
      </c>
      <c r="C4528" t="s">
        <v>9400</v>
      </c>
      <c r="D4528" t="s">
        <v>7212</v>
      </c>
      <c r="E4528">
        <v>12541914</v>
      </c>
      <c r="F4528">
        <v>2239490</v>
      </c>
      <c r="G4528">
        <v>5812645</v>
      </c>
      <c r="H4528">
        <v>2576259</v>
      </c>
      <c r="I4528">
        <v>96596</v>
      </c>
      <c r="J4528">
        <v>0</v>
      </c>
      <c r="K4528">
        <v>36673341</v>
      </c>
      <c r="L4528">
        <v>67731888</v>
      </c>
      <c r="M4528">
        <v>28506907</v>
      </c>
      <c r="N4528">
        <v>34607681</v>
      </c>
      <c r="O4528">
        <v>45989044</v>
      </c>
      <c r="P4528">
        <v>74</v>
      </c>
      <c r="Q4528" t="s">
        <v>9401</v>
      </c>
    </row>
    <row r="4529" spans="1:17" x14ac:dyDescent="0.3">
      <c r="A4529" t="s">
        <v>17</v>
      </c>
      <c r="B4529" t="str">
        <f>"600865"</f>
        <v>600865</v>
      </c>
      <c r="C4529" t="s">
        <v>9402</v>
      </c>
      <c r="D4529" t="s">
        <v>638</v>
      </c>
      <c r="E4529">
        <v>12385273</v>
      </c>
      <c r="F4529">
        <v>26114415</v>
      </c>
      <c r="G4529">
        <v>7028364</v>
      </c>
      <c r="H4529">
        <v>15426713</v>
      </c>
      <c r="I4529">
        <v>12143466</v>
      </c>
      <c r="J4529">
        <v>24945831</v>
      </c>
      <c r="K4529">
        <v>28872202</v>
      </c>
      <c r="L4529">
        <v>26633318</v>
      </c>
      <c r="M4529">
        <v>43835069</v>
      </c>
      <c r="N4529">
        <v>40534371</v>
      </c>
      <c r="O4529">
        <v>33875606</v>
      </c>
      <c r="P4529">
        <v>123</v>
      </c>
      <c r="Q4529" t="s">
        <v>9403</v>
      </c>
    </row>
    <row r="4530" spans="1:17" x14ac:dyDescent="0.3">
      <c r="A4530" t="s">
        <v>73</v>
      </c>
      <c r="B4530" t="str">
        <f>"002888"</f>
        <v>002888</v>
      </c>
      <c r="C4530" t="s">
        <v>9404</v>
      </c>
      <c r="D4530" t="s">
        <v>1937</v>
      </c>
      <c r="E4530">
        <v>12303732</v>
      </c>
      <c r="F4530">
        <v>13501447</v>
      </c>
      <c r="G4530">
        <v>13143182</v>
      </c>
      <c r="H4530">
        <v>9116004</v>
      </c>
      <c r="I4530">
        <v>16401322</v>
      </c>
      <c r="J4530">
        <v>11258745</v>
      </c>
      <c r="P4530">
        <v>80</v>
      </c>
      <c r="Q4530" t="s">
        <v>9405</v>
      </c>
    </row>
    <row r="4531" spans="1:17" x14ac:dyDescent="0.3">
      <c r="A4531" t="s">
        <v>73</v>
      </c>
      <c r="B4531" t="str">
        <f>"003032"</f>
        <v>003032</v>
      </c>
      <c r="C4531" t="s">
        <v>9406</v>
      </c>
      <c r="D4531" t="s">
        <v>4778</v>
      </c>
      <c r="E4531">
        <v>12205682</v>
      </c>
      <c r="F4531">
        <v>8662899</v>
      </c>
      <c r="P4531">
        <v>59</v>
      </c>
      <c r="Q4531" t="s">
        <v>9407</v>
      </c>
    </row>
    <row r="4532" spans="1:17" x14ac:dyDescent="0.3">
      <c r="A4532" t="s">
        <v>17</v>
      </c>
      <c r="B4532" t="str">
        <f>"603353"</f>
        <v>603353</v>
      </c>
      <c r="C4532" t="s">
        <v>9408</v>
      </c>
      <c r="D4532" t="s">
        <v>1267</v>
      </c>
      <c r="E4532">
        <v>12161802</v>
      </c>
      <c r="F4532">
        <v>10177679</v>
      </c>
      <c r="G4532">
        <v>4260744</v>
      </c>
      <c r="P4532">
        <v>103</v>
      </c>
      <c r="Q4532" t="s">
        <v>9409</v>
      </c>
    </row>
    <row r="4533" spans="1:17" x14ac:dyDescent="0.3">
      <c r="A4533" t="s">
        <v>17</v>
      </c>
      <c r="B4533" t="str">
        <f>"600355"</f>
        <v>600355</v>
      </c>
      <c r="C4533" t="s">
        <v>9410</v>
      </c>
      <c r="D4533" t="s">
        <v>332</v>
      </c>
      <c r="E4533">
        <v>12094629</v>
      </c>
      <c r="F4533">
        <v>31094200</v>
      </c>
      <c r="G4533">
        <v>36662078</v>
      </c>
      <c r="H4533">
        <v>74802543</v>
      </c>
      <c r="I4533">
        <v>78396067</v>
      </c>
      <c r="J4533">
        <v>79394754</v>
      </c>
      <c r="K4533">
        <v>113302550</v>
      </c>
      <c r="L4533">
        <v>133630890</v>
      </c>
      <c r="M4533">
        <v>117527859</v>
      </c>
      <c r="N4533">
        <v>101298208</v>
      </c>
      <c r="O4533">
        <v>78552078</v>
      </c>
      <c r="P4533">
        <v>109</v>
      </c>
      <c r="Q4533" t="s">
        <v>9411</v>
      </c>
    </row>
    <row r="4534" spans="1:17" x14ac:dyDescent="0.3">
      <c r="A4534" t="s">
        <v>17</v>
      </c>
      <c r="B4534" t="str">
        <f>"603919"</f>
        <v>603919</v>
      </c>
      <c r="C4534" t="s">
        <v>9412</v>
      </c>
      <c r="D4534" t="s">
        <v>7050</v>
      </c>
      <c r="E4534">
        <v>12092728</v>
      </c>
      <c r="F4534">
        <v>13040291</v>
      </c>
      <c r="G4534">
        <v>15176400</v>
      </c>
      <c r="H4534">
        <v>17279375</v>
      </c>
      <c r="I4534">
        <v>14592167</v>
      </c>
      <c r="J4534">
        <v>12854206</v>
      </c>
      <c r="K4534">
        <v>13006552</v>
      </c>
      <c r="L4534">
        <v>0</v>
      </c>
      <c r="P4534">
        <v>446</v>
      </c>
      <c r="Q4534" t="s">
        <v>9413</v>
      </c>
    </row>
    <row r="4535" spans="1:17" x14ac:dyDescent="0.3">
      <c r="A4535" t="s">
        <v>17</v>
      </c>
      <c r="B4535" t="str">
        <f>"600533"</f>
        <v>600533</v>
      </c>
      <c r="C4535" t="s">
        <v>9414</v>
      </c>
      <c r="D4535" t="s">
        <v>27</v>
      </c>
      <c r="E4535">
        <v>12041852</v>
      </c>
      <c r="F4535">
        <v>21789220</v>
      </c>
      <c r="G4535">
        <v>12524088</v>
      </c>
      <c r="H4535">
        <v>15037264</v>
      </c>
      <c r="I4535">
        <v>11084545</v>
      </c>
      <c r="J4535">
        <v>3446126</v>
      </c>
      <c r="K4535">
        <v>16415587</v>
      </c>
      <c r="L4535">
        <v>4859649</v>
      </c>
      <c r="M4535">
        <v>7848270</v>
      </c>
      <c r="N4535">
        <v>42340536</v>
      </c>
      <c r="O4535">
        <v>18687836</v>
      </c>
      <c r="P4535">
        <v>199</v>
      </c>
      <c r="Q4535" t="s">
        <v>9415</v>
      </c>
    </row>
    <row r="4536" spans="1:17" x14ac:dyDescent="0.3">
      <c r="A4536" t="s">
        <v>73</v>
      </c>
      <c r="B4536" t="str">
        <f>"000558"</f>
        <v>000558</v>
      </c>
      <c r="C4536" t="s">
        <v>9416</v>
      </c>
      <c r="D4536" t="s">
        <v>27</v>
      </c>
      <c r="E4536">
        <v>11943683</v>
      </c>
      <c r="F4536">
        <v>10189738</v>
      </c>
      <c r="G4536">
        <v>21459454</v>
      </c>
      <c r="H4536">
        <v>52784627</v>
      </c>
      <c r="I4536">
        <v>10045296</v>
      </c>
      <c r="J4536">
        <v>43234043</v>
      </c>
      <c r="K4536">
        <v>21585778</v>
      </c>
      <c r="L4536">
        <v>38909642</v>
      </c>
      <c r="M4536">
        <v>11018873</v>
      </c>
      <c r="N4536">
        <v>598722</v>
      </c>
      <c r="O4536">
        <v>1279565</v>
      </c>
      <c r="P4536">
        <v>118</v>
      </c>
      <c r="Q4536" t="s">
        <v>9417</v>
      </c>
    </row>
    <row r="4537" spans="1:17" x14ac:dyDescent="0.3">
      <c r="A4537" t="s">
        <v>17</v>
      </c>
      <c r="B4537" t="str">
        <f>"600661"</f>
        <v>600661</v>
      </c>
      <c r="C4537" t="s">
        <v>9418</v>
      </c>
      <c r="D4537" t="s">
        <v>4778</v>
      </c>
      <c r="E4537">
        <v>11841663</v>
      </c>
      <c r="F4537">
        <v>31513573</v>
      </c>
      <c r="G4537">
        <v>70150441</v>
      </c>
      <c r="H4537">
        <v>68000510</v>
      </c>
      <c r="I4537">
        <v>61748362</v>
      </c>
      <c r="J4537">
        <v>76823123</v>
      </c>
      <c r="K4537">
        <v>42792840</v>
      </c>
      <c r="L4537">
        <v>47024608</v>
      </c>
      <c r="M4537">
        <v>54672008</v>
      </c>
      <c r="N4537">
        <v>60761972</v>
      </c>
      <c r="O4537">
        <v>66349051</v>
      </c>
      <c r="P4537">
        <v>147</v>
      </c>
      <c r="Q4537" t="s">
        <v>9419</v>
      </c>
    </row>
    <row r="4538" spans="1:17" x14ac:dyDescent="0.3">
      <c r="A4538" t="s">
        <v>73</v>
      </c>
      <c r="B4538" t="str">
        <f>"000548"</f>
        <v>000548</v>
      </c>
      <c r="C4538" t="s">
        <v>9420</v>
      </c>
      <c r="D4538" t="s">
        <v>1592</v>
      </c>
      <c r="E4538">
        <v>11688995</v>
      </c>
      <c r="F4538">
        <v>13054689</v>
      </c>
      <c r="G4538">
        <v>2090448</v>
      </c>
      <c r="H4538">
        <v>19359388</v>
      </c>
      <c r="I4538">
        <v>33077732</v>
      </c>
      <c r="J4538">
        <v>22563533</v>
      </c>
      <c r="K4538">
        <v>18885643</v>
      </c>
      <c r="L4538">
        <v>37422833</v>
      </c>
      <c r="M4538">
        <v>46148324</v>
      </c>
      <c r="N4538">
        <v>41740728</v>
      </c>
      <c r="O4538">
        <v>32582078</v>
      </c>
      <c r="P4538">
        <v>90</v>
      </c>
      <c r="Q4538" t="s">
        <v>9421</v>
      </c>
    </row>
    <row r="4539" spans="1:17" x14ac:dyDescent="0.3">
      <c r="A4539" t="s">
        <v>73</v>
      </c>
      <c r="B4539" t="str">
        <f>"000612"</f>
        <v>000612</v>
      </c>
      <c r="C4539" t="s">
        <v>9422</v>
      </c>
      <c r="D4539" t="s">
        <v>616</v>
      </c>
      <c r="E4539">
        <v>10523058</v>
      </c>
      <c r="F4539">
        <v>15766288</v>
      </c>
      <c r="G4539">
        <v>32003872</v>
      </c>
      <c r="H4539">
        <v>34015492</v>
      </c>
      <c r="I4539">
        <v>38716032</v>
      </c>
      <c r="J4539">
        <v>63210565</v>
      </c>
      <c r="K4539">
        <v>46155664</v>
      </c>
      <c r="L4539">
        <v>254430422</v>
      </c>
      <c r="M4539">
        <v>216969086</v>
      </c>
      <c r="N4539">
        <v>73165726</v>
      </c>
      <c r="O4539">
        <v>20039287</v>
      </c>
      <c r="P4539">
        <v>199</v>
      </c>
      <c r="Q4539" t="s">
        <v>9423</v>
      </c>
    </row>
    <row r="4540" spans="1:17" x14ac:dyDescent="0.3">
      <c r="A4540" t="s">
        <v>73</v>
      </c>
      <c r="B4540" t="str">
        <f>"002159"</f>
        <v>002159</v>
      </c>
      <c r="C4540" t="s">
        <v>9424</v>
      </c>
      <c r="D4540" t="s">
        <v>8651</v>
      </c>
      <c r="E4540">
        <v>10199938</v>
      </c>
      <c r="F4540">
        <v>10563154</v>
      </c>
      <c r="G4540">
        <v>11750109</v>
      </c>
      <c r="H4540">
        <v>0</v>
      </c>
      <c r="I4540">
        <v>9520155</v>
      </c>
      <c r="J4540">
        <v>11641787</v>
      </c>
      <c r="K4540">
        <v>8989042</v>
      </c>
      <c r="L4540">
        <v>7478269</v>
      </c>
      <c r="M4540">
        <v>6221533</v>
      </c>
      <c r="N4540">
        <v>3756933</v>
      </c>
      <c r="O4540">
        <v>4333456</v>
      </c>
      <c r="P4540">
        <v>119</v>
      </c>
      <c r="Q4540" t="s">
        <v>9425</v>
      </c>
    </row>
    <row r="4541" spans="1:17" x14ac:dyDescent="0.3">
      <c r="A4541" t="s">
        <v>73</v>
      </c>
      <c r="B4541" t="str">
        <f>"002575"</f>
        <v>002575</v>
      </c>
      <c r="C4541" t="s">
        <v>9426</v>
      </c>
      <c r="D4541" t="s">
        <v>6353</v>
      </c>
      <c r="E4541">
        <v>9980854</v>
      </c>
      <c r="F4541">
        <v>15219292</v>
      </c>
      <c r="G4541">
        <v>7610688</v>
      </c>
      <c r="H4541">
        <v>0</v>
      </c>
      <c r="I4541">
        <v>21429514</v>
      </c>
      <c r="J4541">
        <v>93265136</v>
      </c>
      <c r="K4541">
        <v>88550998</v>
      </c>
      <c r="L4541">
        <v>127010380</v>
      </c>
      <c r="M4541">
        <v>83161292</v>
      </c>
      <c r="N4541">
        <v>70590400</v>
      </c>
      <c r="O4541">
        <v>68454569</v>
      </c>
      <c r="P4541">
        <v>57</v>
      </c>
      <c r="Q4541" t="s">
        <v>9427</v>
      </c>
    </row>
    <row r="4542" spans="1:17" x14ac:dyDescent="0.3">
      <c r="A4542" t="s">
        <v>73</v>
      </c>
      <c r="B4542" t="str">
        <f>"000506"</f>
        <v>000506</v>
      </c>
      <c r="C4542" t="s">
        <v>9428</v>
      </c>
      <c r="D4542" t="s">
        <v>27</v>
      </c>
      <c r="E4542">
        <v>9949293</v>
      </c>
      <c r="F4542">
        <v>400295</v>
      </c>
      <c r="G4542">
        <v>904023</v>
      </c>
      <c r="H4542">
        <v>2666426</v>
      </c>
      <c r="I4542">
        <v>1553240</v>
      </c>
      <c r="J4542">
        <v>14633962</v>
      </c>
      <c r="K4542">
        <v>23594759</v>
      </c>
      <c r="L4542">
        <v>6973520</v>
      </c>
      <c r="M4542">
        <v>10559318</v>
      </c>
      <c r="N4542">
        <v>27718434</v>
      </c>
      <c r="O4542">
        <v>69123840</v>
      </c>
      <c r="P4542">
        <v>85</v>
      </c>
      <c r="Q4542" t="s">
        <v>9429</v>
      </c>
    </row>
    <row r="4543" spans="1:17" x14ac:dyDescent="0.3">
      <c r="A4543" t="s">
        <v>73</v>
      </c>
      <c r="B4543" t="str">
        <f>"000419"</f>
        <v>000419</v>
      </c>
      <c r="C4543" t="s">
        <v>9430</v>
      </c>
      <c r="D4543" t="s">
        <v>3897</v>
      </c>
      <c r="E4543">
        <v>9814213</v>
      </c>
      <c r="F4543">
        <v>10529307</v>
      </c>
      <c r="G4543">
        <v>18159278</v>
      </c>
      <c r="H4543">
        <v>27407477</v>
      </c>
      <c r="I4543">
        <v>25337971</v>
      </c>
      <c r="J4543">
        <v>17617614</v>
      </c>
      <c r="K4543">
        <v>18962978</v>
      </c>
      <c r="L4543">
        <v>14289331</v>
      </c>
      <c r="M4543">
        <v>12646428</v>
      </c>
      <c r="N4543">
        <v>26415926</v>
      </c>
      <c r="O4543">
        <v>30224137</v>
      </c>
      <c r="P4543">
        <v>115</v>
      </c>
      <c r="Q4543" t="s">
        <v>9431</v>
      </c>
    </row>
    <row r="4544" spans="1:17" x14ac:dyDescent="0.3">
      <c r="A4544" t="s">
        <v>73</v>
      </c>
      <c r="B4544" t="str">
        <f>"300519"</f>
        <v>300519</v>
      </c>
      <c r="C4544" t="s">
        <v>9432</v>
      </c>
      <c r="D4544" t="s">
        <v>215</v>
      </c>
      <c r="E4544">
        <v>9777781</v>
      </c>
      <c r="F4544">
        <v>11653055</v>
      </c>
      <c r="G4544">
        <v>12350849</v>
      </c>
      <c r="H4544">
        <v>15358513</v>
      </c>
      <c r="I4544">
        <v>17724122</v>
      </c>
      <c r="J4544">
        <v>14757093</v>
      </c>
      <c r="K4544">
        <v>13887488</v>
      </c>
      <c r="L4544">
        <v>0</v>
      </c>
      <c r="P4544">
        <v>251</v>
      </c>
      <c r="Q4544" t="s">
        <v>9433</v>
      </c>
    </row>
    <row r="4545" spans="1:17" x14ac:dyDescent="0.3">
      <c r="A4545" t="s">
        <v>73</v>
      </c>
      <c r="B4545" t="str">
        <f>"001219"</f>
        <v>001219</v>
      </c>
      <c r="C4545" t="s">
        <v>9434</v>
      </c>
      <c r="D4545" t="s">
        <v>3675</v>
      </c>
      <c r="E4545">
        <v>9670991</v>
      </c>
      <c r="P4545">
        <v>33</v>
      </c>
      <c r="Q4545" t="s">
        <v>9435</v>
      </c>
    </row>
    <row r="4546" spans="1:17" x14ac:dyDescent="0.3">
      <c r="A4546" t="s">
        <v>17</v>
      </c>
      <c r="B4546" t="str">
        <f>"600275"</f>
        <v>600275</v>
      </c>
      <c r="C4546" t="s">
        <v>9436</v>
      </c>
      <c r="D4546" t="s">
        <v>3754</v>
      </c>
      <c r="E4546">
        <v>9653502</v>
      </c>
      <c r="F4546">
        <v>6641590</v>
      </c>
      <c r="G4546">
        <v>9065787</v>
      </c>
      <c r="H4546">
        <v>5127316</v>
      </c>
      <c r="I4546">
        <v>0</v>
      </c>
      <c r="J4546">
        <v>185723</v>
      </c>
      <c r="K4546">
        <v>194967</v>
      </c>
      <c r="L4546">
        <v>310798</v>
      </c>
      <c r="M4546">
        <v>1212923</v>
      </c>
      <c r="N4546">
        <v>934916</v>
      </c>
      <c r="O4546">
        <v>24619276</v>
      </c>
      <c r="P4546">
        <v>47</v>
      </c>
      <c r="Q4546" t="s">
        <v>9437</v>
      </c>
    </row>
    <row r="4547" spans="1:17" x14ac:dyDescent="0.3">
      <c r="A4547" t="s">
        <v>73</v>
      </c>
      <c r="B4547" t="str">
        <f>"000965"</f>
        <v>000965</v>
      </c>
      <c r="C4547" t="s">
        <v>9438</v>
      </c>
      <c r="D4547" t="s">
        <v>27</v>
      </c>
      <c r="E4547">
        <v>9643568</v>
      </c>
      <c r="F4547">
        <v>9761441</v>
      </c>
      <c r="G4547">
        <v>6738968</v>
      </c>
      <c r="H4547">
        <v>2939142</v>
      </c>
      <c r="I4547">
        <v>6472615</v>
      </c>
      <c r="J4547">
        <v>11218378</v>
      </c>
      <c r="K4547">
        <v>6597072</v>
      </c>
      <c r="L4547">
        <v>2034263</v>
      </c>
      <c r="M4547">
        <v>1128414</v>
      </c>
      <c r="N4547">
        <v>713335</v>
      </c>
      <c r="O4547">
        <v>20492000</v>
      </c>
      <c r="P4547">
        <v>116</v>
      </c>
      <c r="Q4547" t="s">
        <v>9439</v>
      </c>
    </row>
    <row r="4548" spans="1:17" x14ac:dyDescent="0.3">
      <c r="A4548" t="s">
        <v>17</v>
      </c>
      <c r="B4548" t="str">
        <f>"600054"</f>
        <v>600054</v>
      </c>
      <c r="C4548" t="s">
        <v>9440</v>
      </c>
      <c r="D4548" t="s">
        <v>8651</v>
      </c>
      <c r="E4548">
        <v>9522371</v>
      </c>
      <c r="F4548">
        <v>17181845</v>
      </c>
      <c r="G4548">
        <v>25134537</v>
      </c>
      <c r="H4548">
        <v>62567276</v>
      </c>
      <c r="I4548">
        <v>52646602</v>
      </c>
      <c r="J4548">
        <v>31596837</v>
      </c>
      <c r="K4548">
        <v>44487195</v>
      </c>
      <c r="L4548">
        <v>29541360</v>
      </c>
      <c r="M4548">
        <v>36471946</v>
      </c>
      <c r="N4548">
        <v>49567627</v>
      </c>
      <c r="O4548">
        <v>27429697</v>
      </c>
      <c r="P4548">
        <v>380</v>
      </c>
      <c r="Q4548" t="s">
        <v>9441</v>
      </c>
    </row>
    <row r="4549" spans="1:17" x14ac:dyDescent="0.3">
      <c r="A4549" t="s">
        <v>73</v>
      </c>
      <c r="B4549" t="str">
        <f>"000935"</f>
        <v>000935</v>
      </c>
      <c r="C4549" t="s">
        <v>9442</v>
      </c>
      <c r="D4549" t="s">
        <v>90</v>
      </c>
      <c r="E4549">
        <v>9471920</v>
      </c>
      <c r="F4549">
        <v>2674177</v>
      </c>
      <c r="G4549">
        <v>44137332</v>
      </c>
      <c r="H4549">
        <v>134570492</v>
      </c>
      <c r="I4549">
        <v>8283099</v>
      </c>
      <c r="J4549">
        <v>239622832</v>
      </c>
      <c r="K4549">
        <v>283907764</v>
      </c>
      <c r="L4549">
        <v>318041297</v>
      </c>
      <c r="M4549">
        <v>334490945</v>
      </c>
      <c r="N4549">
        <v>284720121</v>
      </c>
      <c r="O4549">
        <v>247996142</v>
      </c>
      <c r="P4549">
        <v>230</v>
      </c>
      <c r="Q4549" t="s">
        <v>9443</v>
      </c>
    </row>
    <row r="4550" spans="1:17" x14ac:dyDescent="0.3">
      <c r="A4550" t="s">
        <v>73</v>
      </c>
      <c r="B4550" t="str">
        <f>"002770"</f>
        <v>002770</v>
      </c>
      <c r="C4550" t="s">
        <v>9444</v>
      </c>
      <c r="D4550" t="s">
        <v>1027</v>
      </c>
      <c r="E4550">
        <v>9158933</v>
      </c>
      <c r="F4550">
        <v>6474407</v>
      </c>
      <c r="G4550">
        <v>20005124</v>
      </c>
      <c r="H4550">
        <v>22504151</v>
      </c>
      <c r="I4550">
        <v>31645660</v>
      </c>
      <c r="J4550">
        <v>53695737</v>
      </c>
      <c r="K4550">
        <v>67362416</v>
      </c>
      <c r="L4550">
        <v>57679001</v>
      </c>
      <c r="M4550">
        <v>0</v>
      </c>
      <c r="P4550">
        <v>163</v>
      </c>
      <c r="Q4550" t="s">
        <v>9445</v>
      </c>
    </row>
    <row r="4551" spans="1:17" x14ac:dyDescent="0.3">
      <c r="A4551" t="s">
        <v>73</v>
      </c>
      <c r="B4551" t="str">
        <f>"000929"</f>
        <v>000929</v>
      </c>
      <c r="C4551" t="s">
        <v>9446</v>
      </c>
      <c r="D4551" t="s">
        <v>5451</v>
      </c>
      <c r="E4551">
        <v>8919490</v>
      </c>
      <c r="F4551">
        <v>16472155</v>
      </c>
      <c r="G4551">
        <v>19921370</v>
      </c>
      <c r="H4551">
        <v>28678689</v>
      </c>
      <c r="I4551">
        <v>22674059</v>
      </c>
      <c r="J4551">
        <v>29957174</v>
      </c>
      <c r="K4551">
        <v>23140591</v>
      </c>
      <c r="L4551">
        <v>26490986</v>
      </c>
      <c r="M4551">
        <v>27802022</v>
      </c>
      <c r="N4551">
        <v>36886396</v>
      </c>
      <c r="O4551">
        <v>26132424</v>
      </c>
      <c r="P4551">
        <v>144</v>
      </c>
      <c r="Q4551" t="s">
        <v>9447</v>
      </c>
    </row>
    <row r="4552" spans="1:17" x14ac:dyDescent="0.3">
      <c r="A4552" t="s">
        <v>73</v>
      </c>
      <c r="B4552" t="str">
        <f>"000608"</f>
        <v>000608</v>
      </c>
      <c r="C4552" t="s">
        <v>9448</v>
      </c>
      <c r="D4552" t="s">
        <v>697</v>
      </c>
      <c r="E4552">
        <v>8910079</v>
      </c>
      <c r="F4552">
        <v>12934383</v>
      </c>
      <c r="G4552">
        <v>23282686</v>
      </c>
      <c r="H4552">
        <v>14520000</v>
      </c>
      <c r="I4552">
        <v>55830000</v>
      </c>
      <c r="J4552">
        <v>55103000</v>
      </c>
      <c r="K4552">
        <v>57730000</v>
      </c>
      <c r="L4552">
        <v>42175000</v>
      </c>
      <c r="M4552">
        <v>23729000</v>
      </c>
      <c r="N4552">
        <v>14869000</v>
      </c>
      <c r="O4552">
        <v>9241000</v>
      </c>
      <c r="P4552">
        <v>102</v>
      </c>
      <c r="Q4552" t="s">
        <v>9449</v>
      </c>
    </row>
    <row r="4553" spans="1:17" x14ac:dyDescent="0.3">
      <c r="A4553" t="s">
        <v>17</v>
      </c>
      <c r="B4553" t="str">
        <f>"688266"</f>
        <v>688266</v>
      </c>
      <c r="C4553" t="s">
        <v>9450</v>
      </c>
      <c r="D4553" t="s">
        <v>348</v>
      </c>
      <c r="E4553">
        <v>8766276</v>
      </c>
      <c r="F4553">
        <v>0</v>
      </c>
      <c r="G4553">
        <v>0</v>
      </c>
      <c r="H4553">
        <v>0</v>
      </c>
      <c r="P4553">
        <v>102</v>
      </c>
      <c r="Q4553" t="s">
        <v>9451</v>
      </c>
    </row>
    <row r="4554" spans="1:17" x14ac:dyDescent="0.3">
      <c r="A4554" t="s">
        <v>73</v>
      </c>
      <c r="B4554" t="str">
        <f>"000571"</f>
        <v>000571</v>
      </c>
      <c r="C4554" t="s">
        <v>9452</v>
      </c>
      <c r="D4554" t="s">
        <v>218</v>
      </c>
      <c r="E4554">
        <v>8635877</v>
      </c>
      <c r="F4554">
        <v>12114823</v>
      </c>
      <c r="G4554">
        <v>87172529</v>
      </c>
      <c r="H4554">
        <v>313633480</v>
      </c>
      <c r="I4554">
        <v>359398203</v>
      </c>
      <c r="J4554">
        <v>137789835</v>
      </c>
      <c r="K4554">
        <v>230238657</v>
      </c>
      <c r="L4554">
        <v>172335443</v>
      </c>
      <c r="M4554">
        <v>78742933</v>
      </c>
      <c r="N4554">
        <v>70237121</v>
      </c>
      <c r="O4554">
        <v>58193422</v>
      </c>
      <c r="P4554">
        <v>72</v>
      </c>
      <c r="Q4554" t="s">
        <v>9453</v>
      </c>
    </row>
    <row r="4555" spans="1:17" x14ac:dyDescent="0.3">
      <c r="A4555" t="s">
        <v>73</v>
      </c>
      <c r="B4555" t="str">
        <f>"002561"</f>
        <v>002561</v>
      </c>
      <c r="C4555" t="s">
        <v>9454</v>
      </c>
      <c r="D4555" t="s">
        <v>638</v>
      </c>
      <c r="E4555">
        <v>8316815</v>
      </c>
      <c r="F4555">
        <v>14907592</v>
      </c>
      <c r="G4555">
        <v>16346399</v>
      </c>
      <c r="H4555">
        <v>21821640</v>
      </c>
      <c r="I4555">
        <v>14065977</v>
      </c>
      <c r="J4555">
        <v>9171759</v>
      </c>
      <c r="K4555">
        <v>8918610</v>
      </c>
      <c r="L4555">
        <v>4921760</v>
      </c>
      <c r="M4555">
        <v>6488959</v>
      </c>
      <c r="N4555">
        <v>18827616</v>
      </c>
      <c r="O4555">
        <v>6912799</v>
      </c>
      <c r="P4555">
        <v>183</v>
      </c>
      <c r="Q4555" t="s">
        <v>9455</v>
      </c>
    </row>
    <row r="4556" spans="1:17" x14ac:dyDescent="0.3">
      <c r="A4556" t="s">
        <v>73</v>
      </c>
      <c r="B4556" t="str">
        <f>"002033"</f>
        <v>002033</v>
      </c>
      <c r="C4556" t="s">
        <v>9456</v>
      </c>
      <c r="D4556" t="s">
        <v>8651</v>
      </c>
      <c r="E4556">
        <v>8284314</v>
      </c>
      <c r="F4556">
        <v>10088285</v>
      </c>
      <c r="G4556">
        <v>2312142</v>
      </c>
      <c r="H4556">
        <v>0</v>
      </c>
      <c r="I4556">
        <v>13750040</v>
      </c>
      <c r="J4556">
        <v>14190360</v>
      </c>
      <c r="K4556">
        <v>11637428</v>
      </c>
      <c r="L4556">
        <v>34910792</v>
      </c>
      <c r="M4556">
        <v>12813662</v>
      </c>
      <c r="N4556">
        <v>16317611</v>
      </c>
      <c r="O4556">
        <v>9827868</v>
      </c>
      <c r="P4556">
        <v>278</v>
      </c>
      <c r="Q4556" t="s">
        <v>9457</v>
      </c>
    </row>
    <row r="4557" spans="1:17" x14ac:dyDescent="0.3">
      <c r="A4557" t="s">
        <v>17</v>
      </c>
      <c r="B4557" t="str">
        <f>"600854"</f>
        <v>600854</v>
      </c>
      <c r="C4557" t="s">
        <v>9458</v>
      </c>
      <c r="D4557" t="s">
        <v>109</v>
      </c>
      <c r="E4557">
        <v>8230805</v>
      </c>
      <c r="F4557">
        <v>7052018</v>
      </c>
      <c r="G4557">
        <v>11549303</v>
      </c>
      <c r="H4557">
        <v>24788324</v>
      </c>
      <c r="I4557">
        <v>49868843</v>
      </c>
      <c r="J4557">
        <v>35165797</v>
      </c>
      <c r="K4557">
        <v>28136334</v>
      </c>
      <c r="L4557">
        <v>80749242</v>
      </c>
      <c r="M4557">
        <v>141614109</v>
      </c>
      <c r="N4557">
        <v>151003770</v>
      </c>
      <c r="O4557">
        <v>124661078</v>
      </c>
      <c r="P4557">
        <v>146</v>
      </c>
      <c r="Q4557" t="s">
        <v>9459</v>
      </c>
    </row>
    <row r="4558" spans="1:17" x14ac:dyDescent="0.3">
      <c r="A4558" t="s">
        <v>17</v>
      </c>
      <c r="B4558" t="str">
        <f>"900929"</f>
        <v>900929</v>
      </c>
      <c r="C4558" t="s">
        <v>9460</v>
      </c>
      <c r="E4558">
        <v>8216335.1314000003</v>
      </c>
      <c r="F4558">
        <v>4359941.3436000003</v>
      </c>
      <c r="G4558">
        <v>8752197.9276999999</v>
      </c>
      <c r="H4558">
        <v>18198076.260000002</v>
      </c>
      <c r="I4558">
        <v>11238410.127</v>
      </c>
      <c r="J4558">
        <v>5998116.6036</v>
      </c>
      <c r="K4558">
        <v>4965343.8192999996</v>
      </c>
      <c r="L4558">
        <v>8703151.0286999997</v>
      </c>
      <c r="M4558">
        <v>4797890.4216</v>
      </c>
      <c r="N4558">
        <v>5918023.3490000004</v>
      </c>
      <c r="O4558">
        <v>3087794.2223999999</v>
      </c>
      <c r="P4558">
        <v>11</v>
      </c>
      <c r="Q4558" t="s">
        <v>9461</v>
      </c>
    </row>
    <row r="4559" spans="1:17" x14ac:dyDescent="0.3">
      <c r="A4559" t="s">
        <v>17</v>
      </c>
      <c r="B4559" t="str">
        <f>"600838"</f>
        <v>600838</v>
      </c>
      <c r="C4559" t="s">
        <v>9462</v>
      </c>
      <c r="D4559" t="s">
        <v>3897</v>
      </c>
      <c r="E4559">
        <v>8119069</v>
      </c>
      <c r="F4559">
        <v>18466731</v>
      </c>
      <c r="G4559">
        <v>17711949</v>
      </c>
      <c r="H4559">
        <v>18548578</v>
      </c>
      <c r="I4559">
        <v>20426936</v>
      </c>
      <c r="J4559">
        <v>20404258</v>
      </c>
      <c r="K4559">
        <v>22798394</v>
      </c>
      <c r="L4559">
        <v>27695197</v>
      </c>
      <c r="M4559">
        <v>32653152</v>
      </c>
      <c r="N4559">
        <v>33588342</v>
      </c>
      <c r="O4559">
        <v>34062025</v>
      </c>
      <c r="P4559">
        <v>79</v>
      </c>
      <c r="Q4559" t="s">
        <v>9463</v>
      </c>
    </row>
    <row r="4560" spans="1:17" x14ac:dyDescent="0.3">
      <c r="A4560" t="s">
        <v>73</v>
      </c>
      <c r="B4560" t="str">
        <f>"300803"</f>
        <v>300803</v>
      </c>
      <c r="C4560" t="s">
        <v>9464</v>
      </c>
      <c r="D4560" t="s">
        <v>795</v>
      </c>
      <c r="E4560">
        <v>8065500</v>
      </c>
      <c r="F4560">
        <v>6865503</v>
      </c>
      <c r="G4560">
        <v>7365825</v>
      </c>
      <c r="H4560">
        <v>0</v>
      </c>
      <c r="P4560">
        <v>194</v>
      </c>
      <c r="Q4560" t="s">
        <v>9465</v>
      </c>
    </row>
    <row r="4561" spans="1:17" x14ac:dyDescent="0.3">
      <c r="A4561" t="s">
        <v>17</v>
      </c>
      <c r="B4561" t="str">
        <f>"688067"</f>
        <v>688067</v>
      </c>
      <c r="C4561" t="s">
        <v>9466</v>
      </c>
      <c r="D4561" t="s">
        <v>773</v>
      </c>
      <c r="E4561">
        <v>8020603</v>
      </c>
      <c r="F4561">
        <v>13742496</v>
      </c>
      <c r="P4561">
        <v>35</v>
      </c>
      <c r="Q4561" t="s">
        <v>9467</v>
      </c>
    </row>
    <row r="4562" spans="1:17" x14ac:dyDescent="0.3">
      <c r="A4562" t="s">
        <v>17</v>
      </c>
      <c r="B4562" t="str">
        <f>"601990"</f>
        <v>601990</v>
      </c>
      <c r="C4562" t="s">
        <v>9468</v>
      </c>
      <c r="D4562" t="s">
        <v>53</v>
      </c>
      <c r="E4562">
        <v>8006518</v>
      </c>
      <c r="F4562">
        <v>18241937</v>
      </c>
      <c r="G4562">
        <v>0</v>
      </c>
      <c r="H4562">
        <v>9980768</v>
      </c>
      <c r="I4562">
        <v>0</v>
      </c>
      <c r="P4562">
        <v>722</v>
      </c>
      <c r="Q4562" t="s">
        <v>9469</v>
      </c>
    </row>
    <row r="4563" spans="1:17" x14ac:dyDescent="0.3">
      <c r="A4563" t="s">
        <v>73</v>
      </c>
      <c r="B4563" t="str">
        <f>"001201"</f>
        <v>001201</v>
      </c>
      <c r="C4563" t="s">
        <v>9470</v>
      </c>
      <c r="D4563" t="s">
        <v>1626</v>
      </c>
      <c r="E4563">
        <v>7996006</v>
      </c>
      <c r="P4563">
        <v>61</v>
      </c>
      <c r="Q4563" t="s">
        <v>9471</v>
      </c>
    </row>
    <row r="4564" spans="1:17" x14ac:dyDescent="0.3">
      <c r="A4564" t="s">
        <v>73</v>
      </c>
      <c r="B4564" t="str">
        <f>"002306"</f>
        <v>002306</v>
      </c>
      <c r="C4564" t="s">
        <v>9472</v>
      </c>
      <c r="D4564" t="s">
        <v>8664</v>
      </c>
      <c r="E4564">
        <v>7768835</v>
      </c>
      <c r="F4564">
        <v>0</v>
      </c>
      <c r="G4564">
        <v>16589109</v>
      </c>
      <c r="H4564">
        <v>9504401</v>
      </c>
      <c r="I4564">
        <v>7921614</v>
      </c>
      <c r="J4564">
        <v>15622652</v>
      </c>
      <c r="K4564">
        <v>16826324</v>
      </c>
      <c r="L4564">
        <v>72485650</v>
      </c>
      <c r="M4564">
        <v>111917518</v>
      </c>
      <c r="N4564">
        <v>64011245</v>
      </c>
      <c r="O4564">
        <v>47202439</v>
      </c>
      <c r="P4564">
        <v>68</v>
      </c>
      <c r="Q4564" t="s">
        <v>9473</v>
      </c>
    </row>
    <row r="4565" spans="1:17" x14ac:dyDescent="0.3">
      <c r="A4565" t="s">
        <v>73</v>
      </c>
      <c r="B4565" t="str">
        <f>"000611"</f>
        <v>000611</v>
      </c>
      <c r="C4565" t="s">
        <v>9474</v>
      </c>
      <c r="D4565" t="s">
        <v>218</v>
      </c>
      <c r="E4565">
        <v>7605294</v>
      </c>
      <c r="F4565">
        <v>5635192</v>
      </c>
      <c r="G4565">
        <v>3190619</v>
      </c>
      <c r="H4565">
        <v>1722698</v>
      </c>
      <c r="I4565">
        <v>1690798</v>
      </c>
      <c r="J4565">
        <v>2791959</v>
      </c>
      <c r="K4565">
        <v>2314784</v>
      </c>
      <c r="L4565">
        <v>240610571</v>
      </c>
      <c r="M4565">
        <v>91523954</v>
      </c>
      <c r="N4565">
        <v>20619772</v>
      </c>
      <c r="O4565">
        <v>18066732</v>
      </c>
      <c r="P4565">
        <v>68</v>
      </c>
      <c r="Q4565" t="s">
        <v>9475</v>
      </c>
    </row>
    <row r="4566" spans="1:17" x14ac:dyDescent="0.3">
      <c r="A4566" t="s">
        <v>17</v>
      </c>
      <c r="B4566" t="str">
        <f>"600769"</f>
        <v>600769</v>
      </c>
      <c r="C4566" t="s">
        <v>9476</v>
      </c>
      <c r="D4566" t="s">
        <v>308</v>
      </c>
      <c r="E4566">
        <v>7571281</v>
      </c>
      <c r="F4566">
        <v>9799425</v>
      </c>
      <c r="G4566">
        <v>9528261</v>
      </c>
      <c r="H4566">
        <v>8473577</v>
      </c>
      <c r="I4566">
        <v>2501280</v>
      </c>
      <c r="J4566">
        <v>2639057</v>
      </c>
      <c r="K4566">
        <v>1452514</v>
      </c>
      <c r="L4566">
        <v>2585332</v>
      </c>
      <c r="M4566">
        <v>4401619</v>
      </c>
      <c r="N4566">
        <v>21162761</v>
      </c>
      <c r="O4566">
        <v>34263576</v>
      </c>
      <c r="P4566">
        <v>65</v>
      </c>
      <c r="Q4566" t="s">
        <v>9477</v>
      </c>
    </row>
    <row r="4567" spans="1:17" x14ac:dyDescent="0.3">
      <c r="A4567" t="s">
        <v>17</v>
      </c>
      <c r="B4567" t="str">
        <f>"601086"</f>
        <v>601086</v>
      </c>
      <c r="C4567" t="s">
        <v>9478</v>
      </c>
      <c r="D4567" t="s">
        <v>638</v>
      </c>
      <c r="E4567">
        <v>7465848</v>
      </c>
      <c r="F4567">
        <v>1491486</v>
      </c>
      <c r="G4567">
        <v>3255981</v>
      </c>
      <c r="H4567">
        <v>3471264</v>
      </c>
      <c r="I4567">
        <v>8946560</v>
      </c>
      <c r="P4567">
        <v>79</v>
      </c>
      <c r="Q4567" t="s">
        <v>9479</v>
      </c>
    </row>
    <row r="4568" spans="1:17" x14ac:dyDescent="0.3">
      <c r="A4568" t="s">
        <v>73</v>
      </c>
      <c r="B4568" t="str">
        <f>"002248"</f>
        <v>002248</v>
      </c>
      <c r="C4568" t="s">
        <v>9480</v>
      </c>
      <c r="D4568" t="s">
        <v>2332</v>
      </c>
      <c r="E4568">
        <v>7326192</v>
      </c>
      <c r="F4568">
        <v>13971203</v>
      </c>
      <c r="G4568">
        <v>23063878</v>
      </c>
      <c r="H4568">
        <v>33281571</v>
      </c>
      <c r="I4568">
        <v>55925210</v>
      </c>
      <c r="J4568">
        <v>85484775</v>
      </c>
      <c r="K4568">
        <v>120199636</v>
      </c>
      <c r="L4568">
        <v>166161632</v>
      </c>
      <c r="M4568">
        <v>165942880</v>
      </c>
      <c r="N4568">
        <v>174356642</v>
      </c>
      <c r="O4568">
        <v>271840266</v>
      </c>
      <c r="P4568">
        <v>109</v>
      </c>
      <c r="Q4568" t="s">
        <v>9481</v>
      </c>
    </row>
    <row r="4569" spans="1:17" x14ac:dyDescent="0.3">
      <c r="A4569" t="s">
        <v>17</v>
      </c>
      <c r="B4569" t="str">
        <f>"603963"</f>
        <v>603963</v>
      </c>
      <c r="C4569" t="s">
        <v>9482</v>
      </c>
      <c r="D4569" t="s">
        <v>215</v>
      </c>
      <c r="E4569">
        <v>7176978</v>
      </c>
      <c r="F4569">
        <v>9743129</v>
      </c>
      <c r="G4569">
        <v>14154276</v>
      </c>
      <c r="H4569">
        <v>28687318</v>
      </c>
      <c r="I4569">
        <v>34973755</v>
      </c>
      <c r="P4569">
        <v>109</v>
      </c>
      <c r="Q4569" t="s">
        <v>9483</v>
      </c>
    </row>
    <row r="4570" spans="1:17" x14ac:dyDescent="0.3">
      <c r="A4570" t="s">
        <v>17</v>
      </c>
      <c r="B4570" t="str">
        <f>"603136"</f>
        <v>603136</v>
      </c>
      <c r="C4570" t="s">
        <v>9484</v>
      </c>
      <c r="D4570" t="s">
        <v>1456</v>
      </c>
      <c r="E4570">
        <v>7159596</v>
      </c>
      <c r="F4570">
        <v>7601687</v>
      </c>
      <c r="G4570">
        <v>3020001</v>
      </c>
      <c r="H4570">
        <v>6985641</v>
      </c>
      <c r="I4570">
        <v>4288358</v>
      </c>
      <c r="P4570">
        <v>194</v>
      </c>
      <c r="Q4570" t="s">
        <v>9485</v>
      </c>
    </row>
    <row r="4571" spans="1:17" x14ac:dyDescent="0.3">
      <c r="A4571" t="s">
        <v>73</v>
      </c>
      <c r="B4571" t="str">
        <f>"000416"</f>
        <v>000416</v>
      </c>
      <c r="C4571" t="s">
        <v>9486</v>
      </c>
      <c r="D4571" t="s">
        <v>3243</v>
      </c>
      <c r="E4571">
        <v>7141918</v>
      </c>
      <c r="F4571">
        <v>7230237</v>
      </c>
      <c r="G4571">
        <v>6600794</v>
      </c>
      <c r="H4571">
        <v>7848613</v>
      </c>
      <c r="I4571">
        <v>7003685</v>
      </c>
      <c r="J4571">
        <v>3445085</v>
      </c>
      <c r="K4571">
        <v>32645604</v>
      </c>
      <c r="L4571">
        <v>208326</v>
      </c>
      <c r="M4571">
        <v>3775811</v>
      </c>
      <c r="N4571">
        <v>1162569</v>
      </c>
      <c r="O4571">
        <v>493566</v>
      </c>
      <c r="P4571">
        <v>119</v>
      </c>
      <c r="Q4571" t="s">
        <v>9487</v>
      </c>
    </row>
    <row r="4572" spans="1:17" x14ac:dyDescent="0.3">
      <c r="A4572" t="s">
        <v>17</v>
      </c>
      <c r="B4572" t="str">
        <f>"600423"</f>
        <v>600423</v>
      </c>
      <c r="C4572" t="s">
        <v>9488</v>
      </c>
      <c r="D4572" t="s">
        <v>2027</v>
      </c>
      <c r="E4572">
        <v>7065251</v>
      </c>
      <c r="F4572">
        <v>444853</v>
      </c>
      <c r="G4572">
        <v>5618263</v>
      </c>
      <c r="H4572">
        <v>54206271</v>
      </c>
      <c r="I4572">
        <v>81785685</v>
      </c>
      <c r="J4572">
        <v>106601590</v>
      </c>
      <c r="K4572">
        <v>275833132</v>
      </c>
      <c r="L4572">
        <v>204957857</v>
      </c>
      <c r="M4572">
        <v>207657029</v>
      </c>
      <c r="N4572">
        <v>236002877</v>
      </c>
      <c r="O4572">
        <v>115086487</v>
      </c>
      <c r="P4572">
        <v>74</v>
      </c>
      <c r="Q4572" t="s">
        <v>9489</v>
      </c>
    </row>
    <row r="4573" spans="1:17" x14ac:dyDescent="0.3">
      <c r="A4573" t="s">
        <v>73</v>
      </c>
      <c r="B4573" t="str">
        <f>"300761"</f>
        <v>300761</v>
      </c>
      <c r="C4573" t="s">
        <v>9490</v>
      </c>
      <c r="D4573" t="s">
        <v>3664</v>
      </c>
      <c r="E4573">
        <v>6826808</v>
      </c>
      <c r="F4573">
        <v>5715157</v>
      </c>
      <c r="G4573">
        <v>1942426</v>
      </c>
      <c r="H4573">
        <v>1504224</v>
      </c>
      <c r="I4573">
        <v>0</v>
      </c>
      <c r="P4573">
        <v>369</v>
      </c>
      <c r="Q4573" t="s">
        <v>9491</v>
      </c>
    </row>
    <row r="4574" spans="1:17" x14ac:dyDescent="0.3">
      <c r="A4574" t="s">
        <v>73</v>
      </c>
      <c r="B4574" t="str">
        <f>"003000"</f>
        <v>003000</v>
      </c>
      <c r="C4574" t="s">
        <v>9492</v>
      </c>
      <c r="D4574" t="s">
        <v>4657</v>
      </c>
      <c r="E4574">
        <v>6790223</v>
      </c>
      <c r="F4574">
        <v>1025503</v>
      </c>
      <c r="P4574">
        <v>84</v>
      </c>
      <c r="Q4574" t="s">
        <v>9493</v>
      </c>
    </row>
    <row r="4575" spans="1:17" x14ac:dyDescent="0.3">
      <c r="A4575" t="s">
        <v>73</v>
      </c>
      <c r="B4575" t="str">
        <f>"000707"</f>
        <v>000707</v>
      </c>
      <c r="C4575" t="s">
        <v>9494</v>
      </c>
      <c r="D4575" t="s">
        <v>2812</v>
      </c>
      <c r="E4575">
        <v>6740885</v>
      </c>
      <c r="F4575">
        <v>27473935</v>
      </c>
      <c r="G4575">
        <v>39636156</v>
      </c>
      <c r="H4575">
        <v>64596042</v>
      </c>
      <c r="I4575">
        <v>160355376</v>
      </c>
      <c r="J4575">
        <v>112157790</v>
      </c>
      <c r="K4575">
        <v>769976468</v>
      </c>
      <c r="L4575">
        <v>476080203</v>
      </c>
      <c r="M4575">
        <v>220385555</v>
      </c>
      <c r="N4575">
        <v>453178449</v>
      </c>
      <c r="O4575">
        <v>272146568</v>
      </c>
      <c r="P4575">
        <v>83</v>
      </c>
      <c r="Q4575" t="s">
        <v>9495</v>
      </c>
    </row>
    <row r="4576" spans="1:17" x14ac:dyDescent="0.3">
      <c r="A4576" t="s">
        <v>17</v>
      </c>
      <c r="B4576" t="str">
        <f>"688279"</f>
        <v>688279</v>
      </c>
      <c r="C4576" t="s">
        <v>9496</v>
      </c>
      <c r="E4576">
        <v>6713789</v>
      </c>
      <c r="P4576">
        <v>6</v>
      </c>
      <c r="Q4576" t="s">
        <v>9497</v>
      </c>
    </row>
    <row r="4577" spans="1:17" x14ac:dyDescent="0.3">
      <c r="A4577" t="s">
        <v>17</v>
      </c>
      <c r="B4577" t="str">
        <f>"688013"</f>
        <v>688013</v>
      </c>
      <c r="C4577" t="s">
        <v>9498</v>
      </c>
      <c r="D4577" t="s">
        <v>1523</v>
      </c>
      <c r="E4577">
        <v>6629335</v>
      </c>
      <c r="F4577">
        <v>2046992</v>
      </c>
      <c r="G4577">
        <v>0</v>
      </c>
      <c r="P4577">
        <v>64</v>
      </c>
      <c r="Q4577" t="s">
        <v>9499</v>
      </c>
    </row>
    <row r="4578" spans="1:17" x14ac:dyDescent="0.3">
      <c r="A4578" t="s">
        <v>17</v>
      </c>
      <c r="B4578" t="str">
        <f>"600830"</f>
        <v>600830</v>
      </c>
      <c r="C4578" t="s">
        <v>9500</v>
      </c>
      <c r="D4578" t="s">
        <v>3243</v>
      </c>
      <c r="E4578">
        <v>6508945</v>
      </c>
      <c r="F4578">
        <v>17544962</v>
      </c>
      <c r="G4578">
        <v>32218551</v>
      </c>
      <c r="H4578">
        <v>59829313</v>
      </c>
      <c r="I4578">
        <v>110740925</v>
      </c>
      <c r="J4578">
        <v>172766112</v>
      </c>
      <c r="K4578">
        <v>77418604</v>
      </c>
      <c r="L4578">
        <v>116730548</v>
      </c>
      <c r="M4578">
        <v>84552472</v>
      </c>
      <c r="N4578">
        <v>80034329</v>
      </c>
      <c r="O4578">
        <v>51561680</v>
      </c>
      <c r="P4578">
        <v>73</v>
      </c>
      <c r="Q4578" t="s">
        <v>9501</v>
      </c>
    </row>
    <row r="4579" spans="1:17" x14ac:dyDescent="0.3">
      <c r="A4579" t="s">
        <v>73</v>
      </c>
      <c r="B4579" t="str">
        <f>"002978"</f>
        <v>002978</v>
      </c>
      <c r="C4579" t="s">
        <v>9502</v>
      </c>
      <c r="D4579" t="s">
        <v>1240</v>
      </c>
      <c r="E4579">
        <v>6497279</v>
      </c>
      <c r="F4579">
        <v>14539567</v>
      </c>
      <c r="G4579">
        <v>9931412</v>
      </c>
      <c r="P4579">
        <v>229</v>
      </c>
      <c r="Q4579" t="s">
        <v>9503</v>
      </c>
    </row>
    <row r="4580" spans="1:17" x14ac:dyDescent="0.3">
      <c r="A4580" t="s">
        <v>17</v>
      </c>
      <c r="B4580" t="str">
        <f>"600712"</f>
        <v>600712</v>
      </c>
      <c r="C4580" t="s">
        <v>9504</v>
      </c>
      <c r="D4580" t="s">
        <v>638</v>
      </c>
      <c r="E4580">
        <v>6449735</v>
      </c>
      <c r="F4580">
        <v>5606726</v>
      </c>
      <c r="G4580">
        <v>2961395</v>
      </c>
      <c r="H4580">
        <v>4928767</v>
      </c>
      <c r="I4580">
        <v>8513501</v>
      </c>
      <c r="J4580">
        <v>2575391</v>
      </c>
      <c r="K4580">
        <v>5224384</v>
      </c>
      <c r="L4580">
        <v>3727473</v>
      </c>
      <c r="M4580">
        <v>4746059</v>
      </c>
      <c r="N4580">
        <v>1120579</v>
      </c>
      <c r="O4580">
        <v>9570538</v>
      </c>
      <c r="P4580">
        <v>87</v>
      </c>
      <c r="Q4580" t="s">
        <v>9505</v>
      </c>
    </row>
    <row r="4581" spans="1:17" x14ac:dyDescent="0.3">
      <c r="A4581" t="s">
        <v>17</v>
      </c>
      <c r="B4581" t="str">
        <f>"601188"</f>
        <v>601188</v>
      </c>
      <c r="C4581" t="s">
        <v>9506</v>
      </c>
      <c r="D4581" t="s">
        <v>1592</v>
      </c>
      <c r="E4581">
        <v>6239740</v>
      </c>
      <c r="F4581">
        <v>7367348</v>
      </c>
      <c r="G4581">
        <v>5306335</v>
      </c>
      <c r="H4581">
        <v>6181493</v>
      </c>
      <c r="I4581">
        <v>2838091</v>
      </c>
      <c r="J4581">
        <v>4077717</v>
      </c>
      <c r="K4581">
        <v>5512928</v>
      </c>
      <c r="L4581">
        <v>3852395</v>
      </c>
      <c r="M4581">
        <v>10208327</v>
      </c>
      <c r="N4581">
        <v>11131532</v>
      </c>
      <c r="O4581">
        <v>9102930</v>
      </c>
      <c r="P4581">
        <v>124</v>
      </c>
      <c r="Q4581" t="s">
        <v>9507</v>
      </c>
    </row>
    <row r="4582" spans="1:17" x14ac:dyDescent="0.3">
      <c r="A4582" t="s">
        <v>73</v>
      </c>
      <c r="B4582" t="str">
        <f>"000036"</f>
        <v>000036</v>
      </c>
      <c r="C4582" t="s">
        <v>9508</v>
      </c>
      <c r="D4582" t="s">
        <v>27</v>
      </c>
      <c r="E4582">
        <v>6225002</v>
      </c>
      <c r="F4582">
        <v>5741700</v>
      </c>
      <c r="G4582">
        <v>542814302</v>
      </c>
      <c r="H4582">
        <v>32227315</v>
      </c>
      <c r="I4582">
        <v>34830968</v>
      </c>
      <c r="J4582">
        <v>3192146</v>
      </c>
      <c r="K4582">
        <v>3257532</v>
      </c>
      <c r="L4582">
        <v>4585396</v>
      </c>
      <c r="M4582">
        <v>5601500</v>
      </c>
      <c r="N4582">
        <v>6517376</v>
      </c>
      <c r="O4582">
        <v>4925959</v>
      </c>
      <c r="P4582">
        <v>880</v>
      </c>
      <c r="Q4582" t="s">
        <v>9509</v>
      </c>
    </row>
    <row r="4583" spans="1:17" x14ac:dyDescent="0.3">
      <c r="A4583" t="s">
        <v>17</v>
      </c>
      <c r="B4583" t="str">
        <f>"688314"</f>
        <v>688314</v>
      </c>
      <c r="C4583" t="s">
        <v>9510</v>
      </c>
      <c r="D4583" t="s">
        <v>1523</v>
      </c>
      <c r="E4583">
        <v>6214435</v>
      </c>
      <c r="F4583">
        <v>4620302</v>
      </c>
      <c r="P4583">
        <v>53</v>
      </c>
      <c r="Q4583" t="s">
        <v>9511</v>
      </c>
    </row>
    <row r="4584" spans="1:17" x14ac:dyDescent="0.3">
      <c r="A4584" t="s">
        <v>73</v>
      </c>
      <c r="B4584" t="str">
        <f>"300972"</f>
        <v>300972</v>
      </c>
      <c r="C4584" t="s">
        <v>9512</v>
      </c>
      <c r="D4584" t="s">
        <v>9052</v>
      </c>
      <c r="E4584">
        <v>6057005</v>
      </c>
      <c r="F4584">
        <v>1308928</v>
      </c>
      <c r="P4584">
        <v>22</v>
      </c>
      <c r="Q4584" t="s">
        <v>9513</v>
      </c>
    </row>
    <row r="4585" spans="1:17" x14ac:dyDescent="0.3">
      <c r="A4585" t="s">
        <v>17</v>
      </c>
      <c r="B4585" t="str">
        <f>"600766"</f>
        <v>600766</v>
      </c>
      <c r="C4585" t="s">
        <v>9514</v>
      </c>
      <c r="D4585" t="s">
        <v>6198</v>
      </c>
      <c r="E4585">
        <v>6039283</v>
      </c>
      <c r="F4585">
        <v>3985239</v>
      </c>
      <c r="G4585">
        <v>1273356</v>
      </c>
      <c r="H4585">
        <v>1140829</v>
      </c>
      <c r="I4585">
        <v>97500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398282</v>
      </c>
      <c r="P4585">
        <v>79</v>
      </c>
      <c r="Q4585" t="s">
        <v>9515</v>
      </c>
    </row>
    <row r="4586" spans="1:17" x14ac:dyDescent="0.3">
      <c r="A4586" t="s">
        <v>73</v>
      </c>
      <c r="B4586" t="str">
        <f>"300313"</f>
        <v>300313</v>
      </c>
      <c r="C4586" t="s">
        <v>9516</v>
      </c>
      <c r="D4586" t="s">
        <v>591</v>
      </c>
      <c r="E4586">
        <v>5960904</v>
      </c>
      <c r="F4586">
        <v>7285118</v>
      </c>
      <c r="G4586">
        <v>13771939</v>
      </c>
      <c r="H4586">
        <v>17936825</v>
      </c>
      <c r="I4586">
        <v>29625512</v>
      </c>
      <c r="J4586">
        <v>39114713</v>
      </c>
      <c r="K4586">
        <v>46727459</v>
      </c>
      <c r="L4586">
        <v>27616812</v>
      </c>
      <c r="M4586">
        <v>17161098</v>
      </c>
      <c r="N4586">
        <v>17478889</v>
      </c>
      <c r="O4586">
        <v>14778897</v>
      </c>
      <c r="P4586">
        <v>85</v>
      </c>
      <c r="Q4586" t="s">
        <v>9517</v>
      </c>
    </row>
    <row r="4587" spans="1:17" x14ac:dyDescent="0.3">
      <c r="A4587" t="s">
        <v>73</v>
      </c>
      <c r="B4587" t="str">
        <f>"002259"</f>
        <v>002259</v>
      </c>
      <c r="C4587" t="s">
        <v>9518</v>
      </c>
      <c r="D4587" t="s">
        <v>469</v>
      </c>
      <c r="E4587">
        <v>5828913</v>
      </c>
      <c r="F4587">
        <v>6188340</v>
      </c>
      <c r="G4587">
        <v>433455877</v>
      </c>
      <c r="H4587">
        <v>0</v>
      </c>
      <c r="I4587">
        <v>306280381</v>
      </c>
      <c r="J4587">
        <v>177134569</v>
      </c>
      <c r="K4587">
        <v>122076070</v>
      </c>
      <c r="L4587">
        <v>123144363</v>
      </c>
      <c r="M4587">
        <v>94079375</v>
      </c>
      <c r="N4587">
        <v>84053562</v>
      </c>
      <c r="O4587">
        <v>77764025</v>
      </c>
      <c r="P4587">
        <v>59</v>
      </c>
      <c r="Q4587" t="s">
        <v>9519</v>
      </c>
    </row>
    <row r="4588" spans="1:17" x14ac:dyDescent="0.3">
      <c r="A4588" t="s">
        <v>73</v>
      </c>
      <c r="B4588" t="str">
        <f>"002095"</f>
        <v>002095</v>
      </c>
      <c r="C4588" t="s">
        <v>9520</v>
      </c>
      <c r="D4588" t="s">
        <v>4641</v>
      </c>
      <c r="E4588">
        <v>5772154</v>
      </c>
      <c r="F4588">
        <v>14338100</v>
      </c>
      <c r="G4588">
        <v>8320774</v>
      </c>
      <c r="H4588">
        <v>7389047</v>
      </c>
      <c r="I4588">
        <v>8741284</v>
      </c>
      <c r="J4588">
        <v>9537130</v>
      </c>
      <c r="K4588">
        <v>7269633</v>
      </c>
      <c r="L4588">
        <v>5128748</v>
      </c>
      <c r="M4588">
        <v>7005147</v>
      </c>
      <c r="N4588">
        <v>5311699</v>
      </c>
      <c r="O4588">
        <v>5176140</v>
      </c>
      <c r="P4588">
        <v>97</v>
      </c>
      <c r="Q4588" t="s">
        <v>9521</v>
      </c>
    </row>
    <row r="4589" spans="1:17" x14ac:dyDescent="0.3">
      <c r="A4589" t="s">
        <v>73</v>
      </c>
      <c r="B4589" t="str">
        <f>"000688"</f>
        <v>000688</v>
      </c>
      <c r="C4589" t="s">
        <v>9522</v>
      </c>
      <c r="D4589" t="s">
        <v>3053</v>
      </c>
      <c r="E4589">
        <v>5752862</v>
      </c>
      <c r="F4589">
        <v>36167540</v>
      </c>
      <c r="G4589">
        <v>40521853</v>
      </c>
      <c r="H4589">
        <v>133151789</v>
      </c>
      <c r="I4589">
        <v>139412996</v>
      </c>
      <c r="J4589">
        <v>184053431</v>
      </c>
      <c r="K4589">
        <v>135037044</v>
      </c>
      <c r="L4589">
        <v>109644390</v>
      </c>
      <c r="M4589">
        <v>63977528</v>
      </c>
      <c r="N4589">
        <v>18542120</v>
      </c>
      <c r="O4589">
        <v>802200</v>
      </c>
      <c r="P4589">
        <v>197</v>
      </c>
      <c r="Q4589" t="s">
        <v>9523</v>
      </c>
    </row>
    <row r="4590" spans="1:17" x14ac:dyDescent="0.3">
      <c r="A4590" t="s">
        <v>73</v>
      </c>
      <c r="B4590" t="str">
        <f>"300051"</f>
        <v>300051</v>
      </c>
      <c r="C4590" t="s">
        <v>9524</v>
      </c>
      <c r="D4590" t="s">
        <v>899</v>
      </c>
      <c r="E4590">
        <v>5738585</v>
      </c>
      <c r="F4590">
        <v>8107092</v>
      </c>
      <c r="G4590">
        <v>22184876</v>
      </c>
      <c r="H4590">
        <v>30658476</v>
      </c>
      <c r="I4590">
        <v>19908890</v>
      </c>
      <c r="J4590">
        <v>63300675</v>
      </c>
      <c r="K4590">
        <v>56385058</v>
      </c>
      <c r="L4590">
        <v>65641353</v>
      </c>
      <c r="M4590">
        <v>40079970</v>
      </c>
      <c r="N4590">
        <v>56837018</v>
      </c>
      <c r="O4590">
        <v>33882273</v>
      </c>
      <c r="P4590">
        <v>104</v>
      </c>
      <c r="Q4590" t="s">
        <v>9525</v>
      </c>
    </row>
    <row r="4591" spans="1:17" x14ac:dyDescent="0.3">
      <c r="A4591" t="s">
        <v>73</v>
      </c>
      <c r="B4591" t="str">
        <f>"002211"</f>
        <v>002211</v>
      </c>
      <c r="C4591" t="s">
        <v>9526</v>
      </c>
      <c r="D4591" t="s">
        <v>1309</v>
      </c>
      <c r="E4591">
        <v>5552348</v>
      </c>
      <c r="F4591">
        <v>153344041</v>
      </c>
      <c r="G4591">
        <v>113957434</v>
      </c>
      <c r="H4591">
        <v>71707612</v>
      </c>
      <c r="I4591">
        <v>60866467</v>
      </c>
      <c r="J4591">
        <v>72121611</v>
      </c>
      <c r="K4591">
        <v>100436070</v>
      </c>
      <c r="L4591">
        <v>122932120</v>
      </c>
      <c r="M4591">
        <v>142021428</v>
      </c>
      <c r="N4591">
        <v>155446594</v>
      </c>
      <c r="O4591">
        <v>192519157</v>
      </c>
      <c r="P4591">
        <v>85</v>
      </c>
      <c r="Q4591" t="s">
        <v>9527</v>
      </c>
    </row>
    <row r="4592" spans="1:17" x14ac:dyDescent="0.3">
      <c r="A4592" t="s">
        <v>73</v>
      </c>
      <c r="B4592" t="str">
        <f>"301033"</f>
        <v>301033</v>
      </c>
      <c r="C4592" t="s">
        <v>9528</v>
      </c>
      <c r="D4592" t="s">
        <v>1523</v>
      </c>
      <c r="E4592">
        <v>4997917</v>
      </c>
      <c r="F4592">
        <v>5717390</v>
      </c>
      <c r="G4592">
        <v>3906475</v>
      </c>
      <c r="P4592">
        <v>31</v>
      </c>
      <c r="Q4592" t="s">
        <v>9529</v>
      </c>
    </row>
    <row r="4593" spans="1:17" x14ac:dyDescent="0.3">
      <c r="A4593" t="s">
        <v>73</v>
      </c>
      <c r="B4593" t="str">
        <f>"002114"</f>
        <v>002114</v>
      </c>
      <c r="C4593" t="s">
        <v>9530</v>
      </c>
      <c r="D4593" t="s">
        <v>3053</v>
      </c>
      <c r="E4593">
        <v>4946644</v>
      </c>
      <c r="F4593">
        <v>7212848</v>
      </c>
      <c r="G4593">
        <v>3540520</v>
      </c>
      <c r="H4593">
        <v>83167956</v>
      </c>
      <c r="I4593">
        <v>9849748</v>
      </c>
      <c r="J4593">
        <v>8243965</v>
      </c>
      <c r="K4593">
        <v>30589</v>
      </c>
      <c r="L4593">
        <v>13845848</v>
      </c>
      <c r="M4593">
        <v>17579355</v>
      </c>
      <c r="N4593">
        <v>4588177</v>
      </c>
      <c r="O4593">
        <v>15008418</v>
      </c>
      <c r="P4593">
        <v>73</v>
      </c>
      <c r="Q4593" t="s">
        <v>9531</v>
      </c>
    </row>
    <row r="4594" spans="1:17" x14ac:dyDescent="0.3">
      <c r="A4594" t="s">
        <v>17</v>
      </c>
      <c r="B4594" t="str">
        <f>"600730"</f>
        <v>600730</v>
      </c>
      <c r="C4594" t="s">
        <v>9532</v>
      </c>
      <c r="D4594" t="s">
        <v>4778</v>
      </c>
      <c r="E4594">
        <v>4867004</v>
      </c>
      <c r="F4594">
        <v>1065624</v>
      </c>
      <c r="G4594">
        <v>4936755</v>
      </c>
      <c r="H4594">
        <v>4512153</v>
      </c>
      <c r="I4594">
        <v>6958514</v>
      </c>
      <c r="J4594">
        <v>29348649</v>
      </c>
      <c r="K4594">
        <v>75051733</v>
      </c>
      <c r="L4594">
        <v>80657187</v>
      </c>
      <c r="M4594">
        <v>10943053</v>
      </c>
      <c r="N4594">
        <v>30826289</v>
      </c>
      <c r="O4594">
        <v>30720448</v>
      </c>
      <c r="P4594">
        <v>99</v>
      </c>
      <c r="Q4594" t="s">
        <v>9533</v>
      </c>
    </row>
    <row r="4595" spans="1:17" x14ac:dyDescent="0.3">
      <c r="A4595" t="s">
        <v>73</v>
      </c>
      <c r="B4595" t="str">
        <f>"000568"</f>
        <v>000568</v>
      </c>
      <c r="C4595" t="s">
        <v>9534</v>
      </c>
      <c r="D4595" t="s">
        <v>7050</v>
      </c>
      <c r="E4595">
        <v>4813069</v>
      </c>
      <c r="F4595">
        <v>1563983</v>
      </c>
      <c r="G4595">
        <v>15369344</v>
      </c>
      <c r="H4595">
        <v>10204614</v>
      </c>
      <c r="I4595">
        <v>11994458</v>
      </c>
      <c r="J4595">
        <v>8473881</v>
      </c>
      <c r="K4595">
        <v>10079571</v>
      </c>
      <c r="L4595">
        <v>11290613</v>
      </c>
      <c r="M4595">
        <v>9884311</v>
      </c>
      <c r="N4595">
        <v>39239226</v>
      </c>
      <c r="O4595">
        <v>81598042</v>
      </c>
      <c r="P4595">
        <v>6440</v>
      </c>
      <c r="Q4595" t="s">
        <v>9535</v>
      </c>
    </row>
    <row r="4596" spans="1:17" x14ac:dyDescent="0.3">
      <c r="A4596" t="s">
        <v>73</v>
      </c>
      <c r="B4596" t="str">
        <f>"000995"</f>
        <v>000995</v>
      </c>
      <c r="C4596" t="s">
        <v>9536</v>
      </c>
      <c r="D4596" t="s">
        <v>7050</v>
      </c>
      <c r="E4596">
        <v>4603701</v>
      </c>
      <c r="F4596">
        <v>6905405</v>
      </c>
      <c r="G4596">
        <v>2333846</v>
      </c>
      <c r="H4596">
        <v>0</v>
      </c>
      <c r="I4596">
        <v>1458237</v>
      </c>
      <c r="J4596">
        <v>761118</v>
      </c>
      <c r="K4596">
        <v>17320095</v>
      </c>
      <c r="L4596">
        <v>1401653</v>
      </c>
      <c r="M4596">
        <v>1455540</v>
      </c>
      <c r="N4596">
        <v>2717349</v>
      </c>
      <c r="O4596">
        <v>8392124</v>
      </c>
      <c r="P4596">
        <v>175</v>
      </c>
      <c r="Q4596" t="s">
        <v>9537</v>
      </c>
    </row>
    <row r="4597" spans="1:17" x14ac:dyDescent="0.3">
      <c r="A4597" t="s">
        <v>73</v>
      </c>
      <c r="B4597" t="str">
        <f>"300795"</f>
        <v>300795</v>
      </c>
      <c r="C4597" t="s">
        <v>9538</v>
      </c>
      <c r="D4597" t="s">
        <v>3335</v>
      </c>
      <c r="E4597">
        <v>4095807</v>
      </c>
      <c r="F4597">
        <v>1827292</v>
      </c>
      <c r="G4597">
        <v>1527218</v>
      </c>
      <c r="H4597">
        <v>0</v>
      </c>
      <c r="P4597">
        <v>109</v>
      </c>
      <c r="Q4597" t="s">
        <v>9539</v>
      </c>
    </row>
    <row r="4598" spans="1:17" x14ac:dyDescent="0.3">
      <c r="A4598" t="s">
        <v>73</v>
      </c>
      <c r="B4598" t="str">
        <f>"300526"</f>
        <v>300526</v>
      </c>
      <c r="C4598" t="s">
        <v>9540</v>
      </c>
      <c r="D4598" t="s">
        <v>2601</v>
      </c>
      <c r="E4598">
        <v>4032870</v>
      </c>
      <c r="F4598">
        <v>10718300</v>
      </c>
      <c r="G4598">
        <v>105807782</v>
      </c>
      <c r="H4598">
        <v>94713219</v>
      </c>
      <c r="I4598">
        <v>114445353</v>
      </c>
      <c r="J4598">
        <v>122866693</v>
      </c>
      <c r="K4598">
        <v>64276382</v>
      </c>
      <c r="P4598">
        <v>104</v>
      </c>
      <c r="Q4598" t="s">
        <v>9541</v>
      </c>
    </row>
    <row r="4599" spans="1:17" x14ac:dyDescent="0.3">
      <c r="A4599" t="s">
        <v>73</v>
      </c>
      <c r="B4599" t="str">
        <f>"300384"</f>
        <v>300384</v>
      </c>
      <c r="C4599" t="s">
        <v>9542</v>
      </c>
      <c r="D4599" t="s">
        <v>141</v>
      </c>
      <c r="E4599">
        <v>4031244</v>
      </c>
      <c r="F4599">
        <v>11156117</v>
      </c>
      <c r="G4599">
        <v>9713953</v>
      </c>
      <c r="H4599">
        <v>153376607</v>
      </c>
      <c r="I4599">
        <v>70449776</v>
      </c>
      <c r="J4599">
        <v>94180002</v>
      </c>
      <c r="K4599">
        <v>33878500</v>
      </c>
      <c r="L4599">
        <v>33361907</v>
      </c>
      <c r="M4599">
        <v>25337070</v>
      </c>
      <c r="N4599">
        <v>0</v>
      </c>
      <c r="P4599">
        <v>164</v>
      </c>
      <c r="Q4599" t="s">
        <v>9543</v>
      </c>
    </row>
    <row r="4600" spans="1:17" x14ac:dyDescent="0.3">
      <c r="A4600" t="s">
        <v>17</v>
      </c>
      <c r="B4600" t="str">
        <f>"600503"</f>
        <v>600503</v>
      </c>
      <c r="C4600" t="s">
        <v>9544</v>
      </c>
      <c r="D4600" t="s">
        <v>27</v>
      </c>
      <c r="E4600">
        <v>4000918</v>
      </c>
      <c r="F4600">
        <v>4538169</v>
      </c>
      <c r="G4600">
        <v>8963191</v>
      </c>
      <c r="H4600">
        <v>10204808</v>
      </c>
      <c r="I4600">
        <v>8877774</v>
      </c>
      <c r="J4600">
        <v>13086619</v>
      </c>
      <c r="K4600">
        <v>2412807</v>
      </c>
      <c r="L4600">
        <v>9061734</v>
      </c>
      <c r="M4600">
        <v>5050324</v>
      </c>
      <c r="N4600">
        <v>14393305</v>
      </c>
      <c r="O4600">
        <v>96030118</v>
      </c>
      <c r="P4600">
        <v>200</v>
      </c>
      <c r="Q4600" t="s">
        <v>9545</v>
      </c>
    </row>
    <row r="4601" spans="1:17" x14ac:dyDescent="0.3">
      <c r="A4601" t="s">
        <v>17</v>
      </c>
      <c r="B4601" t="str">
        <f>"600652"</f>
        <v>600652</v>
      </c>
      <c r="C4601" t="s">
        <v>9546</v>
      </c>
      <c r="D4601" t="s">
        <v>899</v>
      </c>
      <c r="E4601">
        <v>3988692</v>
      </c>
      <c r="F4601">
        <v>17034852</v>
      </c>
      <c r="G4601">
        <v>29801571</v>
      </c>
      <c r="H4601">
        <v>48588364</v>
      </c>
      <c r="I4601">
        <v>79885186</v>
      </c>
      <c r="J4601">
        <v>96368352</v>
      </c>
      <c r="K4601">
        <v>78995495</v>
      </c>
      <c r="L4601">
        <v>319009496</v>
      </c>
      <c r="M4601">
        <v>156929519</v>
      </c>
      <c r="N4601">
        <v>346200192</v>
      </c>
      <c r="O4601">
        <v>25640723</v>
      </c>
      <c r="P4601">
        <v>79</v>
      </c>
      <c r="Q4601" t="s">
        <v>9547</v>
      </c>
    </row>
    <row r="4602" spans="1:17" x14ac:dyDescent="0.3">
      <c r="A4602" t="s">
        <v>17</v>
      </c>
      <c r="B4602" t="str">
        <f>"600593"</f>
        <v>600593</v>
      </c>
      <c r="C4602" t="s">
        <v>9548</v>
      </c>
      <c r="D4602" t="s">
        <v>1456</v>
      </c>
      <c r="E4602">
        <v>3903532</v>
      </c>
      <c r="F4602">
        <v>6778999</v>
      </c>
      <c r="G4602">
        <v>5664446</v>
      </c>
      <c r="H4602">
        <v>2489739</v>
      </c>
      <c r="I4602">
        <v>2208226</v>
      </c>
      <c r="J4602">
        <v>1758678</v>
      </c>
      <c r="K4602">
        <v>755517</v>
      </c>
      <c r="L4602">
        <v>978104</v>
      </c>
      <c r="M4602">
        <v>1245365</v>
      </c>
      <c r="N4602">
        <v>445002</v>
      </c>
      <c r="O4602">
        <v>0</v>
      </c>
      <c r="P4602">
        <v>123</v>
      </c>
      <c r="Q4602" t="s">
        <v>9549</v>
      </c>
    </row>
    <row r="4603" spans="1:17" x14ac:dyDescent="0.3">
      <c r="A4603" t="s">
        <v>17</v>
      </c>
      <c r="B4603" t="str">
        <f>"600620"</f>
        <v>600620</v>
      </c>
      <c r="C4603" t="s">
        <v>9550</v>
      </c>
      <c r="D4603" t="s">
        <v>466</v>
      </c>
      <c r="E4603">
        <v>3764618</v>
      </c>
      <c r="F4603">
        <v>2152190</v>
      </c>
      <c r="G4603">
        <v>3173473</v>
      </c>
      <c r="H4603">
        <v>641317</v>
      </c>
      <c r="I4603">
        <v>370800</v>
      </c>
      <c r="J4603">
        <v>482645</v>
      </c>
      <c r="K4603">
        <v>567223</v>
      </c>
      <c r="L4603">
        <v>653846</v>
      </c>
      <c r="M4603">
        <v>1013672</v>
      </c>
      <c r="N4603">
        <v>2557525</v>
      </c>
      <c r="O4603">
        <v>1153289</v>
      </c>
      <c r="P4603">
        <v>66</v>
      </c>
      <c r="Q4603" t="s">
        <v>9551</v>
      </c>
    </row>
    <row r="4604" spans="1:17" x14ac:dyDescent="0.3">
      <c r="A4604" t="s">
        <v>17</v>
      </c>
      <c r="B4604" t="str">
        <f>"600790"</f>
        <v>600790</v>
      </c>
      <c r="C4604" t="s">
        <v>9552</v>
      </c>
      <c r="D4604" t="s">
        <v>1463</v>
      </c>
      <c r="E4604">
        <v>3745055</v>
      </c>
      <c r="F4604">
        <v>3707232</v>
      </c>
      <c r="G4604">
        <v>1984381</v>
      </c>
      <c r="H4604">
        <v>6255333</v>
      </c>
      <c r="I4604">
        <v>7370287</v>
      </c>
      <c r="J4604">
        <v>5827682</v>
      </c>
      <c r="K4604">
        <v>8826210</v>
      </c>
      <c r="L4604">
        <v>14919498</v>
      </c>
      <c r="M4604">
        <v>5890152</v>
      </c>
      <c r="N4604">
        <v>4612965</v>
      </c>
      <c r="O4604">
        <v>1000000</v>
      </c>
      <c r="P4604">
        <v>184</v>
      </c>
      <c r="Q4604" t="s">
        <v>9553</v>
      </c>
    </row>
    <row r="4605" spans="1:17" x14ac:dyDescent="0.3">
      <c r="A4605" t="s">
        <v>73</v>
      </c>
      <c r="B4605" t="str">
        <f>"000554"</f>
        <v>000554</v>
      </c>
      <c r="C4605" t="s">
        <v>9554</v>
      </c>
      <c r="D4605" t="s">
        <v>1267</v>
      </c>
      <c r="E4605">
        <v>3569306</v>
      </c>
      <c r="F4605">
        <v>7139507</v>
      </c>
      <c r="G4605">
        <v>3362092</v>
      </c>
      <c r="H4605">
        <v>3008969</v>
      </c>
      <c r="I4605">
        <v>3009040</v>
      </c>
      <c r="J4605">
        <v>3962300</v>
      </c>
      <c r="K4605">
        <v>7509546</v>
      </c>
      <c r="L4605">
        <v>15393430</v>
      </c>
      <c r="M4605">
        <v>41403363</v>
      </c>
      <c r="N4605">
        <v>6975308</v>
      </c>
      <c r="O4605">
        <v>9017824</v>
      </c>
      <c r="P4605">
        <v>112</v>
      </c>
      <c r="Q4605" t="s">
        <v>9555</v>
      </c>
    </row>
    <row r="4606" spans="1:17" x14ac:dyDescent="0.3">
      <c r="A4606" t="s">
        <v>17</v>
      </c>
      <c r="B4606" t="str">
        <f>"600311"</f>
        <v>600311</v>
      </c>
      <c r="C4606" t="s">
        <v>9556</v>
      </c>
      <c r="D4606" t="s">
        <v>6198</v>
      </c>
      <c r="E4606">
        <v>3447347</v>
      </c>
      <c r="F4606">
        <v>6224877</v>
      </c>
      <c r="G4606">
        <v>2531</v>
      </c>
      <c r="H4606">
        <v>3141</v>
      </c>
      <c r="I4606">
        <v>5405</v>
      </c>
      <c r="J4606">
        <v>7398</v>
      </c>
      <c r="K4606">
        <v>2008</v>
      </c>
      <c r="L4606">
        <v>4991</v>
      </c>
      <c r="M4606">
        <v>8709</v>
      </c>
      <c r="N4606">
        <v>3398</v>
      </c>
      <c r="O4606">
        <v>2853</v>
      </c>
      <c r="P4606">
        <v>53</v>
      </c>
      <c r="Q4606" t="s">
        <v>9557</v>
      </c>
    </row>
    <row r="4607" spans="1:17" x14ac:dyDescent="0.3">
      <c r="A4607" t="s">
        <v>17</v>
      </c>
      <c r="B4607" t="str">
        <f>"600678"</f>
        <v>600678</v>
      </c>
      <c r="C4607" t="s">
        <v>9558</v>
      </c>
      <c r="D4607" t="s">
        <v>90</v>
      </c>
      <c r="E4607">
        <v>2982751</v>
      </c>
      <c r="F4607">
        <v>1067490</v>
      </c>
      <c r="G4607">
        <v>167303</v>
      </c>
      <c r="H4607">
        <v>537600</v>
      </c>
      <c r="I4607">
        <v>3475526</v>
      </c>
      <c r="J4607">
        <v>12906397</v>
      </c>
      <c r="K4607">
        <v>15696523</v>
      </c>
      <c r="L4607">
        <v>9801498</v>
      </c>
      <c r="M4607">
        <v>6861973</v>
      </c>
      <c r="N4607">
        <v>5760567</v>
      </c>
      <c r="O4607">
        <v>4319857</v>
      </c>
      <c r="P4607">
        <v>194</v>
      </c>
      <c r="Q4607" t="s">
        <v>9559</v>
      </c>
    </row>
    <row r="4608" spans="1:17" x14ac:dyDescent="0.3">
      <c r="A4608" t="s">
        <v>17</v>
      </c>
      <c r="B4608" t="str">
        <f>"603199"</f>
        <v>603199</v>
      </c>
      <c r="C4608" t="s">
        <v>9560</v>
      </c>
      <c r="D4608" t="s">
        <v>8651</v>
      </c>
      <c r="E4608">
        <v>2930766</v>
      </c>
      <c r="F4608">
        <v>7107775</v>
      </c>
      <c r="G4608">
        <v>2733187</v>
      </c>
      <c r="H4608">
        <v>11041949</v>
      </c>
      <c r="I4608">
        <v>11427158</v>
      </c>
      <c r="J4608">
        <v>13398166</v>
      </c>
      <c r="K4608">
        <v>11253713</v>
      </c>
      <c r="L4608">
        <v>11739361</v>
      </c>
      <c r="M4608">
        <v>0</v>
      </c>
      <c r="P4608">
        <v>144</v>
      </c>
      <c r="Q4608" t="s">
        <v>9561</v>
      </c>
    </row>
    <row r="4609" spans="1:17" x14ac:dyDescent="0.3">
      <c r="A4609" t="s">
        <v>73</v>
      </c>
      <c r="B4609" t="str">
        <f>"000702"</f>
        <v>000702</v>
      </c>
      <c r="C4609" t="s">
        <v>9562</v>
      </c>
      <c r="D4609" t="s">
        <v>2130</v>
      </c>
      <c r="E4609">
        <v>2913932</v>
      </c>
      <c r="F4609">
        <v>10122512</v>
      </c>
      <c r="G4609">
        <v>456377</v>
      </c>
      <c r="H4609">
        <v>4150390</v>
      </c>
      <c r="I4609">
        <v>4542069</v>
      </c>
      <c r="J4609">
        <v>4941053</v>
      </c>
      <c r="K4609">
        <v>3408184</v>
      </c>
      <c r="L4609">
        <v>2165098</v>
      </c>
      <c r="M4609">
        <v>6264537</v>
      </c>
      <c r="N4609">
        <v>16023181</v>
      </c>
      <c r="O4609">
        <v>15090667</v>
      </c>
      <c r="P4609">
        <v>127</v>
      </c>
      <c r="Q4609" t="s">
        <v>9563</v>
      </c>
    </row>
    <row r="4610" spans="1:17" x14ac:dyDescent="0.3">
      <c r="A4610" t="s">
        <v>73</v>
      </c>
      <c r="B4610" t="str">
        <f>"000426"</f>
        <v>000426</v>
      </c>
      <c r="C4610" t="s">
        <v>9564</v>
      </c>
      <c r="D4610" t="s">
        <v>3053</v>
      </c>
      <c r="E4610">
        <v>2774459</v>
      </c>
      <c r="F4610">
        <v>56351287</v>
      </c>
      <c r="G4610">
        <v>72340695</v>
      </c>
      <c r="H4610">
        <v>94461640</v>
      </c>
      <c r="I4610">
        <v>2021123</v>
      </c>
      <c r="J4610">
        <v>17032774</v>
      </c>
      <c r="K4610">
        <v>28113182</v>
      </c>
      <c r="L4610">
        <v>40658652</v>
      </c>
      <c r="M4610">
        <v>40407596</v>
      </c>
      <c r="N4610">
        <v>9875642</v>
      </c>
      <c r="O4610">
        <v>42967678</v>
      </c>
      <c r="P4610">
        <v>202</v>
      </c>
      <c r="Q4610" t="s">
        <v>9565</v>
      </c>
    </row>
    <row r="4611" spans="1:17" x14ac:dyDescent="0.3">
      <c r="A4611" t="s">
        <v>17</v>
      </c>
      <c r="B4611" t="str">
        <f>"600455"</f>
        <v>600455</v>
      </c>
      <c r="C4611" t="s">
        <v>9566</v>
      </c>
      <c r="D4611" t="s">
        <v>795</v>
      </c>
      <c r="E4611">
        <v>2720731</v>
      </c>
      <c r="F4611">
        <v>3600499</v>
      </c>
      <c r="G4611">
        <v>4257074</v>
      </c>
      <c r="H4611">
        <v>8563568</v>
      </c>
      <c r="I4611">
        <v>5864552</v>
      </c>
      <c r="J4611">
        <v>10933007</v>
      </c>
      <c r="K4611">
        <v>14176555</v>
      </c>
      <c r="L4611">
        <v>24515102</v>
      </c>
      <c r="M4611">
        <v>24831403</v>
      </c>
      <c r="N4611">
        <v>29145978</v>
      </c>
      <c r="O4611">
        <v>25241211</v>
      </c>
      <c r="P4611">
        <v>103</v>
      </c>
      <c r="Q4611" t="s">
        <v>9567</v>
      </c>
    </row>
    <row r="4612" spans="1:17" x14ac:dyDescent="0.3">
      <c r="A4612" t="s">
        <v>73</v>
      </c>
      <c r="B4612" t="str">
        <f>"002830"</f>
        <v>002830</v>
      </c>
      <c r="C4612" t="s">
        <v>9568</v>
      </c>
      <c r="D4612" t="s">
        <v>258</v>
      </c>
      <c r="E4612">
        <v>2264568</v>
      </c>
      <c r="F4612">
        <v>702708</v>
      </c>
      <c r="G4612">
        <v>4790171</v>
      </c>
      <c r="H4612">
        <v>2284347</v>
      </c>
      <c r="I4612">
        <v>4004130</v>
      </c>
      <c r="J4612">
        <v>3402484</v>
      </c>
      <c r="P4612">
        <v>78</v>
      </c>
      <c r="Q4612" t="s">
        <v>9569</v>
      </c>
    </row>
    <row r="4613" spans="1:17" x14ac:dyDescent="0.3">
      <c r="A4613" t="s">
        <v>17</v>
      </c>
      <c r="B4613" t="str">
        <f>"600716"</f>
        <v>600716</v>
      </c>
      <c r="C4613" t="s">
        <v>9570</v>
      </c>
      <c r="D4613" t="s">
        <v>27</v>
      </c>
      <c r="E4613">
        <v>2259226</v>
      </c>
      <c r="F4613">
        <v>26839114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95</v>
      </c>
      <c r="Q4613" t="s">
        <v>9571</v>
      </c>
    </row>
    <row r="4614" spans="1:17" x14ac:dyDescent="0.3">
      <c r="A4614" t="s">
        <v>17</v>
      </c>
      <c r="B4614" t="str">
        <f>"601069"</f>
        <v>601069</v>
      </c>
      <c r="C4614" t="s">
        <v>9572</v>
      </c>
      <c r="D4614" t="s">
        <v>6198</v>
      </c>
      <c r="E4614">
        <v>2114096</v>
      </c>
      <c r="F4614">
        <v>3315144</v>
      </c>
      <c r="G4614">
        <v>10386199</v>
      </c>
      <c r="H4614">
        <v>5763305</v>
      </c>
      <c r="I4614">
        <v>9780937</v>
      </c>
      <c r="J4614">
        <v>1393147</v>
      </c>
      <c r="K4614">
        <v>12566771</v>
      </c>
      <c r="L4614">
        <v>10911779</v>
      </c>
      <c r="M4614">
        <v>0</v>
      </c>
      <c r="P4614">
        <v>142</v>
      </c>
      <c r="Q4614" t="s">
        <v>9573</v>
      </c>
    </row>
    <row r="4615" spans="1:17" x14ac:dyDescent="0.3">
      <c r="A4615" t="s">
        <v>73</v>
      </c>
      <c r="B4615" t="str">
        <f>"002961"</f>
        <v>002961</v>
      </c>
      <c r="C4615" t="s">
        <v>9574</v>
      </c>
      <c r="D4615" t="s">
        <v>9575</v>
      </c>
      <c r="E4615">
        <v>2080929</v>
      </c>
      <c r="F4615">
        <v>1930127</v>
      </c>
      <c r="G4615">
        <v>99395</v>
      </c>
      <c r="P4615">
        <v>121</v>
      </c>
      <c r="Q4615" t="s">
        <v>9576</v>
      </c>
    </row>
    <row r="4616" spans="1:17" x14ac:dyDescent="0.3">
      <c r="A4616" t="s">
        <v>73</v>
      </c>
      <c r="B4616" t="str">
        <f>"300144"</f>
        <v>300144</v>
      </c>
      <c r="C4616" t="s">
        <v>9577</v>
      </c>
      <c r="D4616" t="s">
        <v>1456</v>
      </c>
      <c r="E4616">
        <v>2068816</v>
      </c>
      <c r="F4616">
        <v>3929154</v>
      </c>
      <c r="G4616">
        <v>2638753</v>
      </c>
      <c r="H4616">
        <v>76923457</v>
      </c>
      <c r="I4616">
        <v>40859878</v>
      </c>
      <c r="J4616">
        <v>29939223</v>
      </c>
      <c r="K4616">
        <v>17700796</v>
      </c>
      <c r="L4616">
        <v>5926877</v>
      </c>
      <c r="M4616">
        <v>7967992</v>
      </c>
      <c r="N4616">
        <v>6211147</v>
      </c>
      <c r="O4616">
        <v>5885337</v>
      </c>
      <c r="P4616">
        <v>3022</v>
      </c>
      <c r="Q4616" t="s">
        <v>9578</v>
      </c>
    </row>
    <row r="4617" spans="1:17" x14ac:dyDescent="0.3">
      <c r="A4617" t="s">
        <v>17</v>
      </c>
      <c r="B4617" t="str">
        <f>"600306"</f>
        <v>600306</v>
      </c>
      <c r="C4617" t="s">
        <v>9579</v>
      </c>
      <c r="D4617" t="s">
        <v>638</v>
      </c>
      <c r="E4617">
        <v>2046640</v>
      </c>
      <c r="F4617">
        <v>1146604</v>
      </c>
      <c r="G4617">
        <v>53389</v>
      </c>
      <c r="H4617">
        <v>0</v>
      </c>
      <c r="I4617">
        <v>2261528</v>
      </c>
      <c r="J4617">
        <v>3717586</v>
      </c>
      <c r="K4617">
        <v>6498060</v>
      </c>
      <c r="L4617">
        <v>2612846</v>
      </c>
      <c r="M4617">
        <v>8099219</v>
      </c>
      <c r="N4617">
        <v>25572390</v>
      </c>
      <c r="O4617">
        <v>35623121</v>
      </c>
      <c r="P4617">
        <v>71</v>
      </c>
      <c r="Q4617" t="s">
        <v>9580</v>
      </c>
    </row>
    <row r="4618" spans="1:17" x14ac:dyDescent="0.3">
      <c r="A4618" t="s">
        <v>17</v>
      </c>
      <c r="B4618" t="str">
        <f>"600857"</f>
        <v>600857</v>
      </c>
      <c r="C4618" t="s">
        <v>9581</v>
      </c>
      <c r="D4618" t="s">
        <v>638</v>
      </c>
      <c r="E4618">
        <v>2006438</v>
      </c>
      <c r="F4618">
        <v>1813584</v>
      </c>
      <c r="G4618">
        <v>2954080</v>
      </c>
      <c r="H4618">
        <v>2378474</v>
      </c>
      <c r="I4618">
        <v>5763026</v>
      </c>
      <c r="J4618">
        <v>5209488</v>
      </c>
      <c r="K4618">
        <v>3541290</v>
      </c>
      <c r="L4618">
        <v>5102134</v>
      </c>
      <c r="M4618">
        <v>4304458</v>
      </c>
      <c r="N4618">
        <v>4298410</v>
      </c>
      <c r="O4618">
        <v>3201345</v>
      </c>
      <c r="P4618">
        <v>74</v>
      </c>
      <c r="Q4618" t="s">
        <v>9582</v>
      </c>
    </row>
    <row r="4619" spans="1:17" x14ac:dyDescent="0.3">
      <c r="A4619" t="s">
        <v>17</v>
      </c>
      <c r="B4619" t="str">
        <f>"600191"</f>
        <v>600191</v>
      </c>
      <c r="C4619" t="s">
        <v>9583</v>
      </c>
      <c r="D4619" t="s">
        <v>2469</v>
      </c>
      <c r="E4619">
        <v>1995010</v>
      </c>
      <c r="F4619">
        <v>2708490</v>
      </c>
      <c r="G4619">
        <v>4188656</v>
      </c>
      <c r="H4619">
        <v>6062996</v>
      </c>
      <c r="I4619">
        <v>5241781</v>
      </c>
      <c r="J4619">
        <v>6150817</v>
      </c>
      <c r="K4619">
        <v>10730066</v>
      </c>
      <c r="L4619">
        <v>15278850</v>
      </c>
      <c r="M4619">
        <v>9742173</v>
      </c>
      <c r="N4619">
        <v>15688607</v>
      </c>
      <c r="O4619">
        <v>22426402</v>
      </c>
      <c r="P4619">
        <v>121</v>
      </c>
      <c r="Q4619" t="s">
        <v>9584</v>
      </c>
    </row>
    <row r="4620" spans="1:17" x14ac:dyDescent="0.3">
      <c r="A4620" t="s">
        <v>17</v>
      </c>
      <c r="B4620" t="str">
        <f>"603589"</f>
        <v>603589</v>
      </c>
      <c r="C4620" t="s">
        <v>9585</v>
      </c>
      <c r="D4620" t="s">
        <v>7050</v>
      </c>
      <c r="E4620">
        <v>1941772</v>
      </c>
      <c r="F4620">
        <v>2024400</v>
      </c>
      <c r="G4620">
        <v>3928606</v>
      </c>
      <c r="H4620">
        <v>14304192</v>
      </c>
      <c r="I4620">
        <v>15574811</v>
      </c>
      <c r="J4620">
        <v>18744505</v>
      </c>
      <c r="K4620">
        <v>20159460</v>
      </c>
      <c r="L4620">
        <v>0</v>
      </c>
      <c r="M4620">
        <v>0</v>
      </c>
      <c r="P4620">
        <v>6961</v>
      </c>
      <c r="Q4620" t="s">
        <v>9586</v>
      </c>
    </row>
    <row r="4621" spans="1:17" x14ac:dyDescent="0.3">
      <c r="A4621" t="s">
        <v>73</v>
      </c>
      <c r="B4621" t="str">
        <f>"000635"</f>
        <v>000635</v>
      </c>
      <c r="C4621" t="s">
        <v>9587</v>
      </c>
      <c r="D4621" t="s">
        <v>641</v>
      </c>
      <c r="E4621">
        <v>1824765</v>
      </c>
      <c r="F4621">
        <v>32901</v>
      </c>
      <c r="G4621">
        <v>701320</v>
      </c>
      <c r="H4621">
        <v>8705751</v>
      </c>
      <c r="I4621">
        <v>37000</v>
      </c>
      <c r="J4621">
        <v>959746</v>
      </c>
      <c r="K4621">
        <v>1646213</v>
      </c>
      <c r="L4621">
        <v>2231227</v>
      </c>
      <c r="M4621">
        <v>4472092</v>
      </c>
      <c r="N4621">
        <v>80627747</v>
      </c>
      <c r="O4621">
        <v>86321336</v>
      </c>
      <c r="P4621">
        <v>135</v>
      </c>
      <c r="Q4621" t="s">
        <v>9588</v>
      </c>
    </row>
    <row r="4622" spans="1:17" x14ac:dyDescent="0.3">
      <c r="A4622" t="s">
        <v>17</v>
      </c>
      <c r="B4622" t="str">
        <f>"688295"</f>
        <v>688295</v>
      </c>
      <c r="C4622" t="s">
        <v>9589</v>
      </c>
      <c r="E4622">
        <v>1774899</v>
      </c>
      <c r="P4622">
        <v>15</v>
      </c>
      <c r="Q4622" t="s">
        <v>9590</v>
      </c>
    </row>
    <row r="4623" spans="1:17" x14ac:dyDescent="0.3">
      <c r="A4623" t="s">
        <v>73</v>
      </c>
      <c r="B4623" t="str">
        <f>"000014"</f>
        <v>000014</v>
      </c>
      <c r="C4623" t="s">
        <v>9591</v>
      </c>
      <c r="D4623" t="s">
        <v>27</v>
      </c>
      <c r="E4623">
        <v>1757715</v>
      </c>
      <c r="F4623">
        <v>2894738</v>
      </c>
      <c r="G4623">
        <v>51955</v>
      </c>
      <c r="H4623">
        <v>417973</v>
      </c>
      <c r="I4623">
        <v>426616</v>
      </c>
      <c r="J4623">
        <v>1460021</v>
      </c>
      <c r="K4623">
        <v>4892890</v>
      </c>
      <c r="L4623">
        <v>5995516</v>
      </c>
      <c r="M4623">
        <v>6169543</v>
      </c>
      <c r="N4623">
        <v>4032031</v>
      </c>
      <c r="O4623">
        <v>5895615</v>
      </c>
      <c r="P4623">
        <v>96</v>
      </c>
      <c r="Q4623" t="s">
        <v>9592</v>
      </c>
    </row>
    <row r="4624" spans="1:17" x14ac:dyDescent="0.3">
      <c r="A4624" t="s">
        <v>17</v>
      </c>
      <c r="B4624" t="str">
        <f>"605337"</f>
        <v>605337</v>
      </c>
      <c r="C4624" t="s">
        <v>9593</v>
      </c>
      <c r="D4624" t="s">
        <v>4013</v>
      </c>
      <c r="E4624">
        <v>1699285</v>
      </c>
      <c r="F4624">
        <v>1161678</v>
      </c>
      <c r="P4624">
        <v>146</v>
      </c>
      <c r="Q4624" t="s">
        <v>9594</v>
      </c>
    </row>
    <row r="4625" spans="1:17" x14ac:dyDescent="0.3">
      <c r="A4625" t="s">
        <v>17</v>
      </c>
      <c r="B4625" t="str">
        <f>"603332"</f>
        <v>603332</v>
      </c>
      <c r="C4625" t="s">
        <v>9595</v>
      </c>
      <c r="D4625" t="s">
        <v>2854</v>
      </c>
      <c r="E4625">
        <v>1652861</v>
      </c>
      <c r="F4625">
        <v>1089086</v>
      </c>
      <c r="G4625">
        <v>6891149</v>
      </c>
      <c r="H4625">
        <v>6028282</v>
      </c>
      <c r="J4625">
        <v>8783948</v>
      </c>
      <c r="P4625">
        <v>59</v>
      </c>
      <c r="Q4625" t="s">
        <v>9596</v>
      </c>
    </row>
    <row r="4626" spans="1:17" x14ac:dyDescent="0.3">
      <c r="A4626" t="s">
        <v>73</v>
      </c>
      <c r="B4626" t="str">
        <f>"002716"</f>
        <v>002716</v>
      </c>
      <c r="C4626" t="s">
        <v>9597</v>
      </c>
      <c r="D4626" t="s">
        <v>2450</v>
      </c>
      <c r="E4626">
        <v>1533706</v>
      </c>
      <c r="F4626">
        <v>4413067</v>
      </c>
      <c r="G4626">
        <v>20996923</v>
      </c>
      <c r="H4626">
        <v>20805166</v>
      </c>
      <c r="I4626">
        <v>12401215</v>
      </c>
      <c r="J4626">
        <v>11285868</v>
      </c>
      <c r="K4626">
        <v>3536776</v>
      </c>
      <c r="L4626">
        <v>931821</v>
      </c>
      <c r="M4626">
        <v>4378533</v>
      </c>
      <c r="N4626">
        <v>0</v>
      </c>
      <c r="P4626">
        <v>129</v>
      </c>
      <c r="Q4626" t="s">
        <v>9598</v>
      </c>
    </row>
    <row r="4627" spans="1:17" x14ac:dyDescent="0.3">
      <c r="A4627" t="s">
        <v>17</v>
      </c>
      <c r="B4627" t="str">
        <f>"605089"</f>
        <v>605089</v>
      </c>
      <c r="C4627" t="s">
        <v>9599</v>
      </c>
      <c r="D4627" t="s">
        <v>4652</v>
      </c>
      <c r="E4627">
        <v>1528418</v>
      </c>
      <c r="F4627">
        <v>6788981</v>
      </c>
      <c r="P4627">
        <v>131</v>
      </c>
      <c r="Q4627" t="s">
        <v>9600</v>
      </c>
    </row>
    <row r="4628" spans="1:17" x14ac:dyDescent="0.3">
      <c r="A4628" t="s">
        <v>17</v>
      </c>
      <c r="B4628" t="str">
        <f>"600139"</f>
        <v>600139</v>
      </c>
      <c r="C4628" t="s">
        <v>9601</v>
      </c>
      <c r="D4628" t="s">
        <v>1201</v>
      </c>
      <c r="E4628">
        <v>1450459</v>
      </c>
      <c r="F4628">
        <v>1465100</v>
      </c>
      <c r="G4628">
        <v>101177136</v>
      </c>
      <c r="H4628">
        <v>7582782</v>
      </c>
      <c r="I4628">
        <v>204364795</v>
      </c>
      <c r="J4628">
        <v>335829764</v>
      </c>
      <c r="K4628">
        <v>625169646</v>
      </c>
      <c r="L4628">
        <v>532922724</v>
      </c>
      <c r="M4628">
        <v>20721053</v>
      </c>
      <c r="N4628">
        <v>19465780</v>
      </c>
      <c r="O4628">
        <v>28742379</v>
      </c>
      <c r="P4628">
        <v>90</v>
      </c>
      <c r="Q4628" t="s">
        <v>9602</v>
      </c>
    </row>
    <row r="4629" spans="1:17" x14ac:dyDescent="0.3">
      <c r="A4629" t="s">
        <v>73</v>
      </c>
      <c r="B4629" t="str">
        <f>"000590"</f>
        <v>000590</v>
      </c>
      <c r="C4629" t="s">
        <v>9603</v>
      </c>
      <c r="D4629" t="s">
        <v>215</v>
      </c>
      <c r="E4629">
        <v>1435489</v>
      </c>
      <c r="F4629">
        <v>2296168</v>
      </c>
      <c r="G4629">
        <v>5753707</v>
      </c>
      <c r="H4629">
        <v>2903950</v>
      </c>
      <c r="I4629">
        <v>19159326</v>
      </c>
      <c r="J4629">
        <v>5224269</v>
      </c>
      <c r="K4629">
        <v>7351565</v>
      </c>
      <c r="L4629">
        <v>9254588</v>
      </c>
      <c r="M4629">
        <v>26418462</v>
      </c>
      <c r="N4629">
        <v>58082887</v>
      </c>
      <c r="O4629">
        <v>38437776</v>
      </c>
      <c r="P4629">
        <v>148</v>
      </c>
      <c r="Q4629" t="s">
        <v>9604</v>
      </c>
    </row>
    <row r="4630" spans="1:17" x14ac:dyDescent="0.3">
      <c r="A4630" t="s">
        <v>17</v>
      </c>
      <c r="B4630" t="str">
        <f>"600091"</f>
        <v>600091</v>
      </c>
      <c r="C4630" t="s">
        <v>9605</v>
      </c>
      <c r="D4630" t="s">
        <v>641</v>
      </c>
      <c r="E4630">
        <v>1363959</v>
      </c>
      <c r="F4630">
        <v>2896094</v>
      </c>
      <c r="G4630">
        <v>3887199</v>
      </c>
      <c r="H4630">
        <v>11505354</v>
      </c>
      <c r="I4630">
        <v>14531626</v>
      </c>
      <c r="J4630">
        <v>8711070</v>
      </c>
      <c r="K4630">
        <v>7907994</v>
      </c>
      <c r="L4630">
        <v>16245500</v>
      </c>
      <c r="M4630">
        <v>5052876</v>
      </c>
      <c r="N4630">
        <v>12170656</v>
      </c>
      <c r="O4630">
        <v>2478423</v>
      </c>
      <c r="P4630">
        <v>58</v>
      </c>
      <c r="Q4630" t="s">
        <v>9606</v>
      </c>
    </row>
    <row r="4631" spans="1:17" x14ac:dyDescent="0.3">
      <c r="A4631" t="s">
        <v>73</v>
      </c>
      <c r="B4631" t="str">
        <f>"000715"</f>
        <v>000715</v>
      </c>
      <c r="C4631" t="s">
        <v>9607</v>
      </c>
      <c r="D4631" t="s">
        <v>638</v>
      </c>
      <c r="E4631">
        <v>1240402</v>
      </c>
      <c r="F4631">
        <v>1081843</v>
      </c>
      <c r="G4631">
        <v>642935</v>
      </c>
      <c r="H4631">
        <v>551172</v>
      </c>
      <c r="I4631">
        <v>612371</v>
      </c>
      <c r="J4631">
        <v>1307098</v>
      </c>
      <c r="K4631">
        <v>513107</v>
      </c>
      <c r="L4631">
        <v>702462</v>
      </c>
      <c r="M4631">
        <v>1904</v>
      </c>
      <c r="N4631">
        <v>116666</v>
      </c>
      <c r="O4631">
        <v>16667</v>
      </c>
      <c r="P4631">
        <v>103</v>
      </c>
      <c r="Q4631" t="s">
        <v>9608</v>
      </c>
    </row>
    <row r="4632" spans="1:17" x14ac:dyDescent="0.3">
      <c r="A4632" t="s">
        <v>73</v>
      </c>
      <c r="B4632" t="str">
        <f>"000848"</f>
        <v>000848</v>
      </c>
      <c r="C4632" t="s">
        <v>9609</v>
      </c>
      <c r="D4632" t="s">
        <v>4013</v>
      </c>
      <c r="E4632">
        <v>1176226</v>
      </c>
      <c r="F4632">
        <v>276222</v>
      </c>
      <c r="G4632">
        <v>69410</v>
      </c>
      <c r="H4632">
        <v>1141118</v>
      </c>
      <c r="I4632">
        <v>857108</v>
      </c>
      <c r="J4632">
        <v>1246768</v>
      </c>
      <c r="K4632">
        <v>14643487</v>
      </c>
      <c r="L4632">
        <v>1405510</v>
      </c>
      <c r="M4632">
        <v>2668955</v>
      </c>
      <c r="N4632">
        <v>981196</v>
      </c>
      <c r="O4632">
        <v>784060</v>
      </c>
      <c r="P4632">
        <v>41203</v>
      </c>
      <c r="Q4632" t="s">
        <v>9610</v>
      </c>
    </row>
    <row r="4633" spans="1:17" x14ac:dyDescent="0.3">
      <c r="A4633" t="s">
        <v>73</v>
      </c>
      <c r="B4633" t="str">
        <f>"002304"</f>
        <v>002304</v>
      </c>
      <c r="C4633" t="s">
        <v>9611</v>
      </c>
      <c r="D4633" t="s">
        <v>7050</v>
      </c>
      <c r="E4633">
        <v>1015833</v>
      </c>
      <c r="F4633">
        <v>6748268</v>
      </c>
      <c r="G4633">
        <v>19935430</v>
      </c>
      <c r="H4633">
        <v>5310319</v>
      </c>
      <c r="I4633">
        <v>10102638</v>
      </c>
      <c r="J4633">
        <v>22917774</v>
      </c>
      <c r="K4633">
        <v>5797519</v>
      </c>
      <c r="L4633">
        <v>10887267</v>
      </c>
      <c r="M4633">
        <v>20829312</v>
      </c>
      <c r="N4633">
        <v>49434003</v>
      </c>
      <c r="O4633">
        <v>59636881</v>
      </c>
      <c r="P4633">
        <v>52722</v>
      </c>
      <c r="Q4633" t="s">
        <v>9612</v>
      </c>
    </row>
    <row r="4634" spans="1:17" x14ac:dyDescent="0.3">
      <c r="A4634" t="s">
        <v>73</v>
      </c>
      <c r="B4634" t="str">
        <f>"300839"</f>
        <v>300839</v>
      </c>
      <c r="C4634" t="s">
        <v>9613</v>
      </c>
      <c r="D4634" t="s">
        <v>998</v>
      </c>
      <c r="E4634">
        <v>849143</v>
      </c>
      <c r="F4634">
        <v>392082</v>
      </c>
      <c r="G4634">
        <v>521158</v>
      </c>
      <c r="H4634">
        <v>0</v>
      </c>
      <c r="P4634">
        <v>58</v>
      </c>
      <c r="Q4634" t="s">
        <v>9614</v>
      </c>
    </row>
    <row r="4635" spans="1:17" x14ac:dyDescent="0.3">
      <c r="A4635" t="s">
        <v>73</v>
      </c>
      <c r="B4635" t="str">
        <f>"300859"</f>
        <v>300859</v>
      </c>
      <c r="C4635" t="s">
        <v>9615</v>
      </c>
      <c r="D4635" t="s">
        <v>8651</v>
      </c>
      <c r="E4635">
        <v>682697</v>
      </c>
      <c r="F4635">
        <v>1956502</v>
      </c>
      <c r="G4635">
        <v>1550739</v>
      </c>
      <c r="H4635">
        <v>0</v>
      </c>
      <c r="P4635">
        <v>69</v>
      </c>
      <c r="Q4635" t="s">
        <v>9616</v>
      </c>
    </row>
    <row r="4636" spans="1:17" x14ac:dyDescent="0.3">
      <c r="A4636" t="s">
        <v>17</v>
      </c>
      <c r="B4636" t="str">
        <f>"601020"</f>
        <v>601020</v>
      </c>
      <c r="C4636" t="s">
        <v>9617</v>
      </c>
      <c r="D4636" t="s">
        <v>6198</v>
      </c>
      <c r="E4636">
        <v>678265</v>
      </c>
      <c r="F4636">
        <v>110573887</v>
      </c>
      <c r="G4636">
        <v>281262794</v>
      </c>
      <c r="H4636">
        <v>313653639</v>
      </c>
      <c r="I4636">
        <v>179383328</v>
      </c>
      <c r="J4636">
        <v>74887638</v>
      </c>
      <c r="K4636">
        <v>100695964</v>
      </c>
      <c r="L4636">
        <v>0</v>
      </c>
      <c r="P4636">
        <v>180</v>
      </c>
      <c r="Q4636" t="s">
        <v>9618</v>
      </c>
    </row>
    <row r="4637" spans="1:17" x14ac:dyDescent="0.3">
      <c r="A4637" t="s">
        <v>73</v>
      </c>
      <c r="B4637" t="str">
        <f>"200613"</f>
        <v>200613</v>
      </c>
      <c r="C4637" t="s">
        <v>9619</v>
      </c>
      <c r="E4637">
        <v>665898.48400000005</v>
      </c>
      <c r="F4637">
        <v>452888.837</v>
      </c>
      <c r="G4637">
        <v>194773.35930000001</v>
      </c>
      <c r="H4637">
        <v>640186.29989999998</v>
      </c>
      <c r="I4637">
        <v>782037.69</v>
      </c>
      <c r="J4637">
        <v>1168388.7404</v>
      </c>
      <c r="K4637">
        <v>869414.44640000002</v>
      </c>
      <c r="L4637">
        <v>3795321.25</v>
      </c>
      <c r="M4637">
        <v>4853775.4548000004</v>
      </c>
      <c r="N4637">
        <v>4441131.8052000003</v>
      </c>
      <c r="O4637">
        <v>2699468.55</v>
      </c>
      <c r="P4637">
        <v>4</v>
      </c>
      <c r="Q4637" t="s">
        <v>9620</v>
      </c>
    </row>
    <row r="4638" spans="1:17" x14ac:dyDescent="0.3">
      <c r="A4638" t="s">
        <v>17</v>
      </c>
      <c r="B4638" t="str">
        <f>"600230"</f>
        <v>600230</v>
      </c>
      <c r="C4638" t="s">
        <v>9621</v>
      </c>
      <c r="D4638" t="s">
        <v>267</v>
      </c>
      <c r="E4638">
        <v>558792</v>
      </c>
      <c r="F4638">
        <v>2774424</v>
      </c>
      <c r="G4638">
        <v>41618231</v>
      </c>
      <c r="H4638">
        <v>3944781</v>
      </c>
      <c r="I4638">
        <v>12933051</v>
      </c>
      <c r="J4638">
        <v>23114098</v>
      </c>
      <c r="K4638">
        <v>4805355</v>
      </c>
      <c r="L4638">
        <v>3416126</v>
      </c>
      <c r="M4638">
        <v>98254180</v>
      </c>
      <c r="N4638">
        <v>2874468</v>
      </c>
      <c r="O4638">
        <v>15287565</v>
      </c>
      <c r="P4638">
        <v>382</v>
      </c>
      <c r="Q4638" t="s">
        <v>9622</v>
      </c>
    </row>
    <row r="4639" spans="1:17" x14ac:dyDescent="0.3">
      <c r="A4639" t="s">
        <v>73</v>
      </c>
      <c r="B4639" t="str">
        <f>"000613"</f>
        <v>000613</v>
      </c>
      <c r="C4639" t="s">
        <v>9623</v>
      </c>
      <c r="D4639" t="s">
        <v>1563</v>
      </c>
      <c r="E4639">
        <v>539626</v>
      </c>
      <c r="F4639">
        <v>382346</v>
      </c>
      <c r="G4639">
        <v>178217</v>
      </c>
      <c r="H4639">
        <v>547589</v>
      </c>
      <c r="I4639">
        <v>625380</v>
      </c>
      <c r="J4639">
        <v>1035622</v>
      </c>
      <c r="K4639">
        <v>723728</v>
      </c>
      <c r="L4639">
        <v>3036257</v>
      </c>
      <c r="M4639">
        <v>3887997</v>
      </c>
      <c r="N4639">
        <v>3553474</v>
      </c>
      <c r="O4639">
        <v>2189350</v>
      </c>
      <c r="P4639">
        <v>100</v>
      </c>
      <c r="Q4639" t="s">
        <v>9624</v>
      </c>
    </row>
    <row r="4640" spans="1:17" x14ac:dyDescent="0.3">
      <c r="A4640" t="s">
        <v>17</v>
      </c>
      <c r="B4640" t="str">
        <f>"600809"</f>
        <v>600809</v>
      </c>
      <c r="C4640" t="s">
        <v>9625</v>
      </c>
      <c r="D4640" t="s">
        <v>7050</v>
      </c>
      <c r="E4640">
        <v>538973</v>
      </c>
      <c r="F4640">
        <v>2815201</v>
      </c>
      <c r="G4640">
        <v>6342396</v>
      </c>
      <c r="H4640">
        <v>35122579</v>
      </c>
      <c r="I4640">
        <v>101507627</v>
      </c>
      <c r="J4640">
        <v>58656381</v>
      </c>
      <c r="K4640">
        <v>56231525</v>
      </c>
      <c r="L4640">
        <v>63001198</v>
      </c>
      <c r="M4640">
        <v>32029584</v>
      </c>
      <c r="N4640">
        <v>73221203</v>
      </c>
      <c r="O4640">
        <v>66878784</v>
      </c>
      <c r="P4640">
        <v>3742</v>
      </c>
      <c r="Q4640" t="s">
        <v>9626</v>
      </c>
    </row>
    <row r="4641" spans="1:17" x14ac:dyDescent="0.3">
      <c r="A4641" t="s">
        <v>73</v>
      </c>
      <c r="B4641" t="str">
        <f>"000762"</f>
        <v>000762</v>
      </c>
      <c r="C4641" t="s">
        <v>9627</v>
      </c>
      <c r="D4641" t="s">
        <v>841</v>
      </c>
      <c r="E4641">
        <v>471328</v>
      </c>
      <c r="F4641">
        <v>3767779</v>
      </c>
      <c r="G4641">
        <v>58459888</v>
      </c>
      <c r="H4641">
        <v>106412919</v>
      </c>
      <c r="I4641">
        <v>150558499</v>
      </c>
      <c r="J4641">
        <v>120648698</v>
      </c>
      <c r="K4641">
        <v>179676871</v>
      </c>
      <c r="L4641">
        <v>238317544</v>
      </c>
      <c r="M4641">
        <v>202838099</v>
      </c>
      <c r="N4641">
        <v>188720706</v>
      </c>
      <c r="O4641">
        <v>29695708</v>
      </c>
      <c r="P4641">
        <v>257</v>
      </c>
      <c r="Q4641" t="s">
        <v>9628</v>
      </c>
    </row>
    <row r="4642" spans="1:17" x14ac:dyDescent="0.3">
      <c r="A4642" t="s">
        <v>73</v>
      </c>
      <c r="B4642" t="str">
        <f>"000430"</f>
        <v>000430</v>
      </c>
      <c r="C4642" t="s">
        <v>9629</v>
      </c>
      <c r="D4642" t="s">
        <v>8651</v>
      </c>
      <c r="E4642">
        <v>464720</v>
      </c>
      <c r="F4642">
        <v>2350026</v>
      </c>
      <c r="G4642">
        <v>899886</v>
      </c>
      <c r="H4642">
        <v>1933931</v>
      </c>
      <c r="I4642">
        <v>4904279</v>
      </c>
      <c r="J4642">
        <v>4465394</v>
      </c>
      <c r="K4642">
        <v>4563483</v>
      </c>
      <c r="L4642">
        <v>1153120</v>
      </c>
      <c r="M4642">
        <v>333626</v>
      </c>
      <c r="N4642">
        <v>1010077</v>
      </c>
      <c r="O4642">
        <v>1349598</v>
      </c>
      <c r="P4642">
        <v>109</v>
      </c>
      <c r="Q4642" t="s">
        <v>9630</v>
      </c>
    </row>
    <row r="4643" spans="1:17" x14ac:dyDescent="0.3">
      <c r="A4643" t="s">
        <v>17</v>
      </c>
      <c r="B4643" t="str">
        <f>"600722"</f>
        <v>600722</v>
      </c>
      <c r="C4643" t="s">
        <v>9631</v>
      </c>
      <c r="D4643" t="s">
        <v>641</v>
      </c>
      <c r="E4643">
        <v>426505</v>
      </c>
      <c r="F4643">
        <v>23609175</v>
      </c>
      <c r="G4643">
        <v>20889513</v>
      </c>
      <c r="H4643">
        <v>38631056</v>
      </c>
      <c r="I4643">
        <v>6646838</v>
      </c>
      <c r="J4643">
        <v>4145215</v>
      </c>
      <c r="K4643">
        <v>5396392</v>
      </c>
      <c r="L4643">
        <v>14648538</v>
      </c>
      <c r="M4643">
        <v>30922674</v>
      </c>
      <c r="N4643">
        <v>5174094</v>
      </c>
      <c r="O4643">
        <v>3638605</v>
      </c>
      <c r="P4643">
        <v>97</v>
      </c>
      <c r="Q4643" t="s">
        <v>9632</v>
      </c>
    </row>
    <row r="4644" spans="1:17" x14ac:dyDescent="0.3">
      <c r="A4644" t="s">
        <v>73</v>
      </c>
      <c r="B4644" t="str">
        <f>"000616"</f>
        <v>000616</v>
      </c>
      <c r="C4644" t="s">
        <v>9633</v>
      </c>
      <c r="D4644" t="s">
        <v>27</v>
      </c>
      <c r="E4644">
        <v>423085</v>
      </c>
      <c r="F4644">
        <v>2450073</v>
      </c>
      <c r="G4644">
        <v>24370768</v>
      </c>
      <c r="H4644">
        <v>13580211</v>
      </c>
      <c r="I4644">
        <v>3639278</v>
      </c>
      <c r="J4644">
        <v>5736513</v>
      </c>
      <c r="K4644">
        <v>40003382</v>
      </c>
      <c r="L4644">
        <v>46688190</v>
      </c>
      <c r="M4644">
        <v>149800056</v>
      </c>
      <c r="N4644">
        <v>149147498</v>
      </c>
      <c r="O4644">
        <v>241128903</v>
      </c>
      <c r="P4644">
        <v>140</v>
      </c>
      <c r="Q4644" t="s">
        <v>9634</v>
      </c>
    </row>
    <row r="4645" spans="1:17" x14ac:dyDescent="0.3">
      <c r="A4645" t="s">
        <v>17</v>
      </c>
      <c r="B4645" t="str">
        <f>"600322"</f>
        <v>600322</v>
      </c>
      <c r="C4645" t="s">
        <v>9635</v>
      </c>
      <c r="D4645" t="s">
        <v>27</v>
      </c>
      <c r="E4645">
        <v>322459</v>
      </c>
      <c r="F4645">
        <v>118824</v>
      </c>
      <c r="G4645">
        <v>4952413</v>
      </c>
      <c r="H4645">
        <v>73657</v>
      </c>
      <c r="I4645">
        <v>6963221</v>
      </c>
      <c r="J4645">
        <v>8478232</v>
      </c>
      <c r="K4645">
        <v>9287955</v>
      </c>
      <c r="L4645">
        <v>3885151</v>
      </c>
      <c r="M4645">
        <v>3873166</v>
      </c>
      <c r="N4645">
        <v>3740587</v>
      </c>
      <c r="O4645">
        <v>13945367</v>
      </c>
      <c r="P4645">
        <v>84</v>
      </c>
      <c r="Q4645" t="s">
        <v>9636</v>
      </c>
    </row>
    <row r="4646" spans="1:17" x14ac:dyDescent="0.3">
      <c r="A4646" t="s">
        <v>17</v>
      </c>
      <c r="B4646" t="str">
        <f>"600802"</f>
        <v>600802</v>
      </c>
      <c r="C4646" t="s">
        <v>9637</v>
      </c>
      <c r="D4646" t="s">
        <v>90</v>
      </c>
      <c r="E4646">
        <v>316178</v>
      </c>
      <c r="F4646">
        <v>1692790</v>
      </c>
      <c r="G4646">
        <v>727615</v>
      </c>
      <c r="H4646">
        <v>734358</v>
      </c>
      <c r="I4646">
        <v>1590616</v>
      </c>
      <c r="J4646">
        <v>1544698</v>
      </c>
      <c r="K4646">
        <v>1531797</v>
      </c>
      <c r="L4646">
        <v>11234309</v>
      </c>
      <c r="M4646">
        <v>24136806</v>
      </c>
      <c r="N4646">
        <v>42949380</v>
      </c>
      <c r="O4646">
        <v>52732557</v>
      </c>
      <c r="P4646">
        <v>248</v>
      </c>
      <c r="Q4646" t="s">
        <v>9638</v>
      </c>
    </row>
    <row r="4647" spans="1:17" x14ac:dyDescent="0.3">
      <c r="A4647" t="s">
        <v>17</v>
      </c>
      <c r="B4647" t="str">
        <f>"900939"</f>
        <v>900939</v>
      </c>
      <c r="C4647" t="s">
        <v>9639</v>
      </c>
      <c r="E4647">
        <v>256128.5595</v>
      </c>
      <c r="F4647">
        <v>0</v>
      </c>
      <c r="G4647">
        <v>4795.1189999999997</v>
      </c>
      <c r="H4647">
        <v>90167.498999999996</v>
      </c>
      <c r="I4647">
        <v>77106.721399999995</v>
      </c>
      <c r="J4647">
        <v>0</v>
      </c>
      <c r="K4647">
        <v>0</v>
      </c>
      <c r="L4647">
        <v>0</v>
      </c>
      <c r="M4647">
        <v>139045.36799999999</v>
      </c>
      <c r="N4647">
        <v>94083.731</v>
      </c>
      <c r="O4647">
        <v>73555.0484</v>
      </c>
      <c r="P4647">
        <v>7</v>
      </c>
      <c r="Q4647" t="s">
        <v>9640</v>
      </c>
    </row>
    <row r="4648" spans="1:17" x14ac:dyDescent="0.3">
      <c r="A4648" t="s">
        <v>17</v>
      </c>
      <c r="B4648" t="str">
        <f>"603697"</f>
        <v>603697</v>
      </c>
      <c r="C4648" t="s">
        <v>9641</v>
      </c>
      <c r="D4648" t="s">
        <v>4657</v>
      </c>
      <c r="E4648">
        <v>220246</v>
      </c>
      <c r="F4648">
        <v>2166860</v>
      </c>
      <c r="G4648">
        <v>2274738</v>
      </c>
      <c r="H4648">
        <v>0</v>
      </c>
      <c r="I4648">
        <v>0</v>
      </c>
      <c r="P4648">
        <v>394</v>
      </c>
      <c r="Q4648" t="s">
        <v>9642</v>
      </c>
    </row>
    <row r="4649" spans="1:17" x14ac:dyDescent="0.3">
      <c r="A4649" t="s">
        <v>17</v>
      </c>
      <c r="B4649" t="str">
        <f>"600598"</f>
        <v>600598</v>
      </c>
      <c r="C4649" t="s">
        <v>9643</v>
      </c>
      <c r="D4649" t="s">
        <v>4741</v>
      </c>
      <c r="E4649">
        <v>199224</v>
      </c>
      <c r="F4649">
        <v>12913918</v>
      </c>
      <c r="G4649">
        <v>14177953</v>
      </c>
      <c r="H4649">
        <v>30644016</v>
      </c>
      <c r="I4649">
        <v>79095561</v>
      </c>
      <c r="J4649">
        <v>116468094</v>
      </c>
      <c r="K4649">
        <v>87920282</v>
      </c>
      <c r="L4649">
        <v>223501325</v>
      </c>
      <c r="M4649">
        <v>643811815</v>
      </c>
      <c r="N4649">
        <v>1186525544</v>
      </c>
      <c r="O4649">
        <v>1264954363</v>
      </c>
      <c r="P4649">
        <v>1086</v>
      </c>
      <c r="Q4649" t="s">
        <v>9644</v>
      </c>
    </row>
    <row r="4650" spans="1:17" x14ac:dyDescent="0.3">
      <c r="A4650" t="s">
        <v>73</v>
      </c>
      <c r="B4650" t="str">
        <f>"000737"</f>
        <v>000737</v>
      </c>
      <c r="C4650" t="s">
        <v>9645</v>
      </c>
      <c r="D4650" t="s">
        <v>2246</v>
      </c>
      <c r="E4650">
        <v>166333</v>
      </c>
      <c r="F4650">
        <v>96325168</v>
      </c>
      <c r="G4650">
        <v>131476736</v>
      </c>
      <c r="H4650">
        <v>117038987</v>
      </c>
      <c r="I4650">
        <v>386227654</v>
      </c>
      <c r="J4650">
        <v>445749734</v>
      </c>
      <c r="K4650">
        <v>399710880</v>
      </c>
      <c r="L4650">
        <v>428622554</v>
      </c>
      <c r="M4650">
        <v>367287529</v>
      </c>
      <c r="N4650">
        <v>299492934</v>
      </c>
      <c r="O4650">
        <v>333684081</v>
      </c>
      <c r="P4650">
        <v>83</v>
      </c>
      <c r="Q4650" t="s">
        <v>9646</v>
      </c>
    </row>
    <row r="4651" spans="1:17" x14ac:dyDescent="0.3">
      <c r="A4651" t="s">
        <v>17</v>
      </c>
      <c r="B4651" t="str">
        <f>"688062"</f>
        <v>688062</v>
      </c>
      <c r="C4651" t="s">
        <v>9647</v>
      </c>
      <c r="D4651" t="s">
        <v>348</v>
      </c>
      <c r="E4651">
        <v>91564</v>
      </c>
      <c r="P4651">
        <v>14</v>
      </c>
      <c r="Q4651" t="s">
        <v>9648</v>
      </c>
    </row>
    <row r="4652" spans="1:17" x14ac:dyDescent="0.3">
      <c r="A4652" t="s">
        <v>73</v>
      </c>
      <c r="B4652" t="str">
        <f>"002659"</f>
        <v>002659</v>
      </c>
      <c r="C4652" t="s">
        <v>9649</v>
      </c>
      <c r="D4652" t="s">
        <v>6281</v>
      </c>
      <c r="E4652">
        <v>89523</v>
      </c>
      <c r="F4652">
        <v>134892</v>
      </c>
      <c r="G4652">
        <v>124071291</v>
      </c>
      <c r="H4652">
        <v>18004246</v>
      </c>
      <c r="I4652">
        <v>366330</v>
      </c>
      <c r="J4652">
        <v>229679203</v>
      </c>
      <c r="K4652">
        <v>215234300</v>
      </c>
      <c r="L4652">
        <v>216240726</v>
      </c>
      <c r="M4652">
        <v>299138888</v>
      </c>
      <c r="N4652">
        <v>249835970</v>
      </c>
      <c r="O4652">
        <v>230052315</v>
      </c>
      <c r="P4652">
        <v>96</v>
      </c>
      <c r="Q4652" t="s">
        <v>9650</v>
      </c>
    </row>
    <row r="4653" spans="1:17" x14ac:dyDescent="0.3">
      <c r="A4653" t="s">
        <v>73</v>
      </c>
      <c r="B4653" t="str">
        <f>"000799"</f>
        <v>000799</v>
      </c>
      <c r="C4653" t="s">
        <v>9651</v>
      </c>
      <c r="D4653" t="s">
        <v>7050</v>
      </c>
      <c r="E4653">
        <v>87129</v>
      </c>
      <c r="F4653">
        <v>105561</v>
      </c>
      <c r="G4653">
        <v>4119458</v>
      </c>
      <c r="H4653">
        <v>6035414</v>
      </c>
      <c r="I4653">
        <v>6247514</v>
      </c>
      <c r="J4653">
        <v>8606051</v>
      </c>
      <c r="K4653">
        <v>1395194</v>
      </c>
      <c r="L4653">
        <v>2417402</v>
      </c>
      <c r="M4653">
        <v>2779554</v>
      </c>
      <c r="N4653">
        <v>7619476</v>
      </c>
      <c r="O4653">
        <v>5574638</v>
      </c>
      <c r="P4653">
        <v>1661</v>
      </c>
      <c r="Q4653" t="s">
        <v>9652</v>
      </c>
    </row>
    <row r="4654" spans="1:17" x14ac:dyDescent="0.3">
      <c r="A4654" t="s">
        <v>17</v>
      </c>
      <c r="B4654" t="str">
        <f>"600555"</f>
        <v>600555</v>
      </c>
      <c r="C4654" t="s">
        <v>9653</v>
      </c>
      <c r="D4654" t="s">
        <v>5692</v>
      </c>
      <c r="E4654">
        <v>73417</v>
      </c>
      <c r="F4654">
        <v>97301</v>
      </c>
      <c r="G4654">
        <v>300239</v>
      </c>
      <c r="H4654">
        <v>645937</v>
      </c>
      <c r="I4654">
        <v>5353937</v>
      </c>
      <c r="J4654">
        <v>1706655</v>
      </c>
      <c r="K4654">
        <v>415520</v>
      </c>
      <c r="L4654">
        <v>1291500</v>
      </c>
      <c r="M4654">
        <v>13967</v>
      </c>
      <c r="N4654">
        <v>322296</v>
      </c>
      <c r="O4654">
        <v>746615</v>
      </c>
      <c r="P4654">
        <v>76</v>
      </c>
      <c r="Q4654" t="s">
        <v>9654</v>
      </c>
    </row>
    <row r="4655" spans="1:17" x14ac:dyDescent="0.3">
      <c r="A4655" t="s">
        <v>73</v>
      </c>
      <c r="B4655" t="str">
        <f>"000679"</f>
        <v>000679</v>
      </c>
      <c r="C4655" t="s">
        <v>9655</v>
      </c>
      <c r="D4655" t="s">
        <v>3897</v>
      </c>
      <c r="E4655">
        <v>67911</v>
      </c>
      <c r="F4655">
        <v>110000</v>
      </c>
      <c r="G4655">
        <v>5997173</v>
      </c>
      <c r="H4655">
        <v>10993664</v>
      </c>
      <c r="I4655">
        <v>27651344</v>
      </c>
      <c r="J4655">
        <v>83257273</v>
      </c>
      <c r="K4655">
        <v>18551934</v>
      </c>
      <c r="L4655">
        <v>5221079</v>
      </c>
      <c r="M4655">
        <v>4210488</v>
      </c>
      <c r="N4655">
        <v>4963344</v>
      </c>
      <c r="O4655">
        <v>18655709</v>
      </c>
      <c r="P4655">
        <v>83</v>
      </c>
      <c r="Q4655" t="s">
        <v>9656</v>
      </c>
    </row>
    <row r="4656" spans="1:17" x14ac:dyDescent="0.3">
      <c r="A4656" t="s">
        <v>17</v>
      </c>
      <c r="B4656" t="str">
        <f>"600647"</f>
        <v>600647</v>
      </c>
      <c r="C4656" t="s">
        <v>9657</v>
      </c>
      <c r="D4656" t="s">
        <v>466</v>
      </c>
      <c r="E4656">
        <v>50581</v>
      </c>
      <c r="F4656">
        <v>92277872</v>
      </c>
      <c r="G4656">
        <v>214401</v>
      </c>
      <c r="H4656">
        <v>539592</v>
      </c>
      <c r="I4656">
        <v>1924388</v>
      </c>
      <c r="J4656">
        <v>3048181</v>
      </c>
      <c r="K4656">
        <v>12049123</v>
      </c>
      <c r="L4656">
        <v>14531644</v>
      </c>
      <c r="M4656">
        <v>19968865</v>
      </c>
      <c r="N4656">
        <v>12841539</v>
      </c>
      <c r="O4656">
        <v>11237186</v>
      </c>
      <c r="P4656">
        <v>75</v>
      </c>
      <c r="Q4656" t="s">
        <v>9658</v>
      </c>
    </row>
    <row r="4657" spans="1:17" x14ac:dyDescent="0.3">
      <c r="A4657" t="s">
        <v>17</v>
      </c>
      <c r="B4657" t="str">
        <f>"688176"</f>
        <v>688176</v>
      </c>
      <c r="C4657" t="s">
        <v>9659</v>
      </c>
      <c r="D4657" t="s">
        <v>348</v>
      </c>
      <c r="E4657">
        <v>13038</v>
      </c>
      <c r="P4657">
        <v>9</v>
      </c>
      <c r="Q4657" t="s">
        <v>9660</v>
      </c>
    </row>
    <row r="4658" spans="1:17" x14ac:dyDescent="0.3">
      <c r="A4658" t="s">
        <v>17</v>
      </c>
      <c r="B4658" t="str">
        <f>"600883"</f>
        <v>600883</v>
      </c>
      <c r="C4658" t="s">
        <v>9661</v>
      </c>
      <c r="D4658" t="s">
        <v>90</v>
      </c>
      <c r="E4658">
        <v>7895</v>
      </c>
      <c r="F4658">
        <v>181998</v>
      </c>
      <c r="G4658">
        <v>338514</v>
      </c>
      <c r="H4658">
        <v>1341642</v>
      </c>
      <c r="I4658">
        <v>2235853</v>
      </c>
      <c r="J4658">
        <v>7226385</v>
      </c>
      <c r="K4658">
        <v>11402621</v>
      </c>
      <c r="L4658">
        <v>14644843</v>
      </c>
      <c r="M4658">
        <v>25520131</v>
      </c>
      <c r="N4658">
        <v>30994737</v>
      </c>
      <c r="O4658">
        <v>33688834</v>
      </c>
      <c r="P4658">
        <v>78</v>
      </c>
      <c r="Q4658" t="s">
        <v>9662</v>
      </c>
    </row>
    <row r="4659" spans="1:17" x14ac:dyDescent="0.3">
      <c r="A4659" t="s">
        <v>73</v>
      </c>
      <c r="B4659" t="str">
        <f>"000996"</f>
        <v>000996</v>
      </c>
      <c r="C4659" t="s">
        <v>9663</v>
      </c>
      <c r="D4659" t="s">
        <v>415</v>
      </c>
      <c r="E4659">
        <v>6583</v>
      </c>
      <c r="F4659">
        <v>-1185</v>
      </c>
      <c r="G4659">
        <v>78713</v>
      </c>
      <c r="H4659">
        <v>0</v>
      </c>
      <c r="I4659">
        <v>150260</v>
      </c>
      <c r="J4659">
        <v>50054</v>
      </c>
      <c r="K4659">
        <v>1329294</v>
      </c>
      <c r="L4659">
        <v>1598633</v>
      </c>
      <c r="M4659">
        <v>2073963</v>
      </c>
      <c r="N4659">
        <v>2074232</v>
      </c>
      <c r="O4659">
        <v>1267424</v>
      </c>
      <c r="P4659">
        <v>70</v>
      </c>
      <c r="Q4659" t="s">
        <v>9664</v>
      </c>
    </row>
    <row r="4660" spans="1:17" x14ac:dyDescent="0.3">
      <c r="A4660" t="s">
        <v>17</v>
      </c>
      <c r="B4660" t="str">
        <f>"605098"</f>
        <v>605098</v>
      </c>
      <c r="C4660" t="s">
        <v>9665</v>
      </c>
      <c r="D4660" t="s">
        <v>4778</v>
      </c>
      <c r="E4660">
        <v>5776</v>
      </c>
      <c r="F4660">
        <v>4157</v>
      </c>
      <c r="P4660">
        <v>53</v>
      </c>
      <c r="Q4660" t="s">
        <v>9666</v>
      </c>
    </row>
    <row r="4661" spans="1:17" x14ac:dyDescent="0.3">
      <c r="A4661" t="s">
        <v>73</v>
      </c>
      <c r="B4661" t="str">
        <f>"000835"</f>
        <v>000835</v>
      </c>
      <c r="C4661" t="s">
        <v>9667</v>
      </c>
      <c r="D4661" t="s">
        <v>899</v>
      </c>
      <c r="E4661">
        <v>151</v>
      </c>
      <c r="F4661">
        <v>7688754</v>
      </c>
      <c r="G4661">
        <v>12380358</v>
      </c>
      <c r="H4661">
        <v>32825982</v>
      </c>
      <c r="I4661">
        <v>84149956</v>
      </c>
      <c r="J4661">
        <v>64967156</v>
      </c>
      <c r="K4661">
        <v>232067296</v>
      </c>
      <c r="L4661">
        <v>239841987</v>
      </c>
      <c r="M4661">
        <v>162710351</v>
      </c>
      <c r="N4661">
        <v>156747823</v>
      </c>
      <c r="O4661">
        <v>83407042</v>
      </c>
      <c r="P4661">
        <v>69</v>
      </c>
      <c r="Q4661" t="s">
        <v>9668</v>
      </c>
    </row>
    <row r="4662" spans="1:17" x14ac:dyDescent="0.3">
      <c r="A4662" t="s">
        <v>17</v>
      </c>
      <c r="B4662" t="str">
        <f>"600106"</f>
        <v>600106</v>
      </c>
      <c r="C4662" t="s">
        <v>9669</v>
      </c>
      <c r="D4662" t="s">
        <v>1592</v>
      </c>
      <c r="E4662">
        <v>1</v>
      </c>
      <c r="F4662">
        <v>1</v>
      </c>
      <c r="G4662">
        <v>16870667</v>
      </c>
      <c r="H4662">
        <v>72021916</v>
      </c>
      <c r="I4662">
        <v>71875356</v>
      </c>
      <c r="J4662">
        <v>35084973</v>
      </c>
      <c r="K4662">
        <v>16725189</v>
      </c>
      <c r="L4662">
        <v>16771870</v>
      </c>
      <c r="M4662">
        <v>43015340</v>
      </c>
      <c r="N4662">
        <v>57313771</v>
      </c>
      <c r="O4662">
        <v>121147169</v>
      </c>
      <c r="P4662">
        <v>145</v>
      </c>
      <c r="Q4662" t="s">
        <v>9670</v>
      </c>
    </row>
    <row r="4663" spans="1:17" x14ac:dyDescent="0.3">
      <c r="A4663" t="s">
        <v>17</v>
      </c>
      <c r="B4663" t="str">
        <f>"600012"</f>
        <v>600012</v>
      </c>
      <c r="C4663" t="s">
        <v>9671</v>
      </c>
      <c r="D4663" t="s">
        <v>1592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805</v>
      </c>
      <c r="Q4663" t="s">
        <v>9672</v>
      </c>
    </row>
    <row r="4664" spans="1:17" x14ac:dyDescent="0.3">
      <c r="A4664" t="s">
        <v>17</v>
      </c>
      <c r="B4664" t="str">
        <f>"600155"</f>
        <v>600155</v>
      </c>
      <c r="C4664" t="s">
        <v>9673</v>
      </c>
      <c r="D4664" t="s">
        <v>53</v>
      </c>
      <c r="E4664">
        <v>0</v>
      </c>
      <c r="F4664">
        <v>170583989</v>
      </c>
      <c r="G4664">
        <v>142224240</v>
      </c>
      <c r="H4664">
        <v>0</v>
      </c>
      <c r="I4664">
        <v>180081914</v>
      </c>
      <c r="J4664">
        <v>158934650</v>
      </c>
      <c r="K4664">
        <v>95752684</v>
      </c>
      <c r="L4664">
        <v>91117795</v>
      </c>
      <c r="M4664">
        <v>62296247</v>
      </c>
      <c r="N4664">
        <v>1776602</v>
      </c>
      <c r="O4664">
        <v>13385230</v>
      </c>
      <c r="P4664">
        <v>630</v>
      </c>
      <c r="Q4664" t="s">
        <v>9674</v>
      </c>
    </row>
    <row r="4665" spans="1:17" x14ac:dyDescent="0.3">
      <c r="A4665" t="s">
        <v>17</v>
      </c>
      <c r="B4665" t="str">
        <f>"600291"</f>
        <v>600291</v>
      </c>
      <c r="C4665" t="s">
        <v>9675</v>
      </c>
      <c r="D4665" t="s">
        <v>8893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5581194.3899999997</v>
      </c>
      <c r="N4665">
        <v>19121385.879999999</v>
      </c>
      <c r="O4665">
        <v>17926070.82</v>
      </c>
      <c r="P4665">
        <v>276</v>
      </c>
      <c r="Q4665" t="s">
        <v>9676</v>
      </c>
    </row>
    <row r="4666" spans="1:17" x14ac:dyDescent="0.3">
      <c r="A4666" t="s">
        <v>17</v>
      </c>
      <c r="B4666" t="str">
        <f>"600371"</f>
        <v>600371</v>
      </c>
      <c r="C4666" t="s">
        <v>9677</v>
      </c>
      <c r="D4666" t="s">
        <v>3172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18000</v>
      </c>
      <c r="K4666">
        <v>1005402</v>
      </c>
      <c r="L4666">
        <v>172879</v>
      </c>
      <c r="M4666">
        <v>997965</v>
      </c>
      <c r="N4666">
        <v>4162428</v>
      </c>
      <c r="O4666">
        <v>1092480</v>
      </c>
      <c r="P4666">
        <v>174</v>
      </c>
      <c r="Q4666" t="s">
        <v>9678</v>
      </c>
    </row>
    <row r="4667" spans="1:17" x14ac:dyDescent="0.3">
      <c r="A4667" t="s">
        <v>17</v>
      </c>
      <c r="B4667" t="str">
        <f>"600385"</f>
        <v>600385</v>
      </c>
      <c r="C4667" t="s">
        <v>9679</v>
      </c>
      <c r="D4667" t="s">
        <v>348</v>
      </c>
      <c r="E4667">
        <v>0</v>
      </c>
      <c r="F4667">
        <v>0</v>
      </c>
      <c r="G4667">
        <v>183540</v>
      </c>
      <c r="H4667">
        <v>0</v>
      </c>
      <c r="I4667">
        <v>6650</v>
      </c>
      <c r="J4667">
        <v>0</v>
      </c>
      <c r="K4667">
        <v>145180535</v>
      </c>
      <c r="L4667">
        <v>48939312</v>
      </c>
      <c r="M4667">
        <v>21344865</v>
      </c>
      <c r="N4667">
        <v>167210</v>
      </c>
      <c r="O4667">
        <v>884906</v>
      </c>
      <c r="P4667">
        <v>51</v>
      </c>
      <c r="Q4667" t="s">
        <v>9680</v>
      </c>
    </row>
    <row r="4668" spans="1:17" x14ac:dyDescent="0.3">
      <c r="A4668" t="s">
        <v>17</v>
      </c>
      <c r="B4668" t="str">
        <f>"600519"</f>
        <v>600519</v>
      </c>
      <c r="C4668" t="s">
        <v>9681</v>
      </c>
      <c r="D4668" t="s">
        <v>7050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230769</v>
      </c>
      <c r="L4668">
        <v>491087</v>
      </c>
      <c r="M4668">
        <v>2676415</v>
      </c>
      <c r="N4668">
        <v>1344597</v>
      </c>
      <c r="O4668">
        <v>2056894</v>
      </c>
      <c r="P4668">
        <v>71978</v>
      </c>
      <c r="Q4668" t="s">
        <v>9682</v>
      </c>
    </row>
    <row r="4669" spans="1:17" x14ac:dyDescent="0.3">
      <c r="A4669" t="s">
        <v>17</v>
      </c>
      <c r="B4669" t="str">
        <f>"600573"</f>
        <v>600573</v>
      </c>
      <c r="C4669" t="s">
        <v>9683</v>
      </c>
      <c r="D4669" t="s">
        <v>5451</v>
      </c>
      <c r="E4669">
        <v>0</v>
      </c>
      <c r="F4669">
        <v>543835</v>
      </c>
      <c r="G4669">
        <v>130718</v>
      </c>
      <c r="H4669">
        <v>0</v>
      </c>
      <c r="I4669">
        <v>1321966</v>
      </c>
      <c r="J4669">
        <v>6962745</v>
      </c>
      <c r="K4669">
        <v>1246001</v>
      </c>
      <c r="L4669">
        <v>0</v>
      </c>
      <c r="M4669">
        <v>1576146</v>
      </c>
      <c r="N4669">
        <v>2632737</v>
      </c>
      <c r="O4669">
        <v>558171</v>
      </c>
      <c r="P4669">
        <v>191</v>
      </c>
      <c r="Q4669" t="s">
        <v>9684</v>
      </c>
    </row>
    <row r="4670" spans="1:17" x14ac:dyDescent="0.3">
      <c r="A4670" t="s">
        <v>17</v>
      </c>
      <c r="B4670" t="str">
        <f>"600901"</f>
        <v>600901</v>
      </c>
      <c r="C4670" t="s">
        <v>9685</v>
      </c>
      <c r="D4670" t="s">
        <v>1201</v>
      </c>
      <c r="E4670">
        <v>0</v>
      </c>
      <c r="F4670">
        <v>0</v>
      </c>
      <c r="G4670">
        <v>7039181</v>
      </c>
      <c r="H4670">
        <v>7721675</v>
      </c>
      <c r="I4670">
        <v>14899361</v>
      </c>
      <c r="J4670">
        <v>0</v>
      </c>
      <c r="P4670">
        <v>475</v>
      </c>
      <c r="Q4670" t="s">
        <v>9686</v>
      </c>
    </row>
    <row r="4671" spans="1:17" x14ac:dyDescent="0.3">
      <c r="A4671" t="s">
        <v>17</v>
      </c>
      <c r="B4671" t="str">
        <f>"600906"</f>
        <v>600906</v>
      </c>
      <c r="C4671" t="s">
        <v>9687</v>
      </c>
      <c r="D4671" t="s">
        <v>53</v>
      </c>
      <c r="E4671">
        <v>0</v>
      </c>
      <c r="F4671">
        <v>0</v>
      </c>
      <c r="P4671">
        <v>131</v>
      </c>
      <c r="Q4671" t="s">
        <v>9688</v>
      </c>
    </row>
    <row r="4672" spans="1:17" x14ac:dyDescent="0.3">
      <c r="A4672" t="s">
        <v>17</v>
      </c>
      <c r="B4672" t="str">
        <f>"600927"</f>
        <v>600927</v>
      </c>
      <c r="C4672" t="s">
        <v>9689</v>
      </c>
      <c r="D4672" t="s">
        <v>9575</v>
      </c>
      <c r="E4672">
        <v>0</v>
      </c>
      <c r="P4672">
        <v>22</v>
      </c>
      <c r="Q4672" t="s">
        <v>9690</v>
      </c>
    </row>
    <row r="4673" spans="1:17" x14ac:dyDescent="0.3">
      <c r="A4673" t="s">
        <v>17</v>
      </c>
      <c r="B4673" t="str">
        <f>"600955"</f>
        <v>600955</v>
      </c>
      <c r="C4673" t="s">
        <v>9691</v>
      </c>
      <c r="D4673" t="s">
        <v>4692</v>
      </c>
      <c r="E4673">
        <v>0</v>
      </c>
      <c r="P4673">
        <v>46</v>
      </c>
      <c r="Q4673" t="s">
        <v>9692</v>
      </c>
    </row>
    <row r="4674" spans="1:17" x14ac:dyDescent="0.3">
      <c r="A4674" t="s">
        <v>17</v>
      </c>
      <c r="B4674" t="str">
        <f>"601318"</f>
        <v>601318</v>
      </c>
      <c r="C4674" t="s">
        <v>9693</v>
      </c>
      <c r="D4674" t="s">
        <v>8893</v>
      </c>
      <c r="E4674">
        <v>0</v>
      </c>
      <c r="F4674">
        <v>27819000000</v>
      </c>
      <c r="G4674">
        <v>26193000000</v>
      </c>
      <c r="H4674">
        <v>23829000000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27844</v>
      </c>
      <c r="Q4674" t="s">
        <v>9694</v>
      </c>
    </row>
    <row r="4675" spans="1:17" x14ac:dyDescent="0.3">
      <c r="A4675" t="s">
        <v>17</v>
      </c>
      <c r="B4675" t="str">
        <f>"601319"</f>
        <v>601319</v>
      </c>
      <c r="C4675" t="s">
        <v>9695</v>
      </c>
      <c r="D4675" t="s">
        <v>8893</v>
      </c>
      <c r="E4675">
        <v>0</v>
      </c>
      <c r="F4675">
        <v>0</v>
      </c>
      <c r="G4675">
        <v>0</v>
      </c>
      <c r="H4675">
        <v>0</v>
      </c>
      <c r="I4675">
        <v>0</v>
      </c>
      <c r="P4675">
        <v>901</v>
      </c>
      <c r="Q4675" t="s">
        <v>9696</v>
      </c>
    </row>
    <row r="4676" spans="1:17" x14ac:dyDescent="0.3">
      <c r="A4676" t="s">
        <v>17</v>
      </c>
      <c r="B4676" t="str">
        <f>"601336"</f>
        <v>601336</v>
      </c>
      <c r="C4676" t="s">
        <v>9697</v>
      </c>
      <c r="D4676" t="s">
        <v>8893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1856</v>
      </c>
      <c r="Q4676" t="s">
        <v>9698</v>
      </c>
    </row>
    <row r="4677" spans="1:17" x14ac:dyDescent="0.3">
      <c r="A4677" t="s">
        <v>17</v>
      </c>
      <c r="B4677" t="str">
        <f>"601601"</f>
        <v>601601</v>
      </c>
      <c r="C4677" t="s">
        <v>9699</v>
      </c>
      <c r="D4677" t="s">
        <v>8893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2648</v>
      </c>
      <c r="Q4677" t="s">
        <v>9700</v>
      </c>
    </row>
    <row r="4678" spans="1:17" x14ac:dyDescent="0.3">
      <c r="A4678" t="s">
        <v>17</v>
      </c>
      <c r="B4678" t="str">
        <f>"601628"</f>
        <v>601628</v>
      </c>
      <c r="C4678" t="s">
        <v>9701</v>
      </c>
      <c r="D4678" t="s">
        <v>8893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1729</v>
      </c>
      <c r="Q4678" t="s">
        <v>9702</v>
      </c>
    </row>
    <row r="4679" spans="1:17" x14ac:dyDescent="0.3">
      <c r="A4679" t="s">
        <v>17</v>
      </c>
      <c r="B4679" t="str">
        <f>"603093"</f>
        <v>603093</v>
      </c>
      <c r="C4679" t="s">
        <v>9703</v>
      </c>
      <c r="D4679" t="s">
        <v>9575</v>
      </c>
      <c r="E4679">
        <v>0</v>
      </c>
      <c r="F4679">
        <v>7539800</v>
      </c>
      <c r="G4679">
        <v>79851234</v>
      </c>
      <c r="L4679">
        <v>0</v>
      </c>
      <c r="P4679">
        <v>84</v>
      </c>
      <c r="Q4679" t="s">
        <v>9704</v>
      </c>
    </row>
    <row r="4680" spans="1:17" x14ac:dyDescent="0.3">
      <c r="A4680" t="s">
        <v>17</v>
      </c>
      <c r="B4680" t="str">
        <f>"603132"</f>
        <v>603132</v>
      </c>
      <c r="C4680" t="s">
        <v>9705</v>
      </c>
      <c r="E4680">
        <v>0</v>
      </c>
      <c r="P4680">
        <v>10</v>
      </c>
      <c r="Q4680" t="s">
        <v>9706</v>
      </c>
    </row>
    <row r="4681" spans="1:17" x14ac:dyDescent="0.3">
      <c r="A4681" t="s">
        <v>17</v>
      </c>
      <c r="B4681" t="str">
        <f>"605086"</f>
        <v>605086</v>
      </c>
      <c r="C4681" t="s">
        <v>9707</v>
      </c>
      <c r="D4681" t="s">
        <v>1674</v>
      </c>
      <c r="E4681">
        <v>0</v>
      </c>
      <c r="F4681">
        <v>103</v>
      </c>
      <c r="P4681">
        <v>29</v>
      </c>
      <c r="Q4681" t="s">
        <v>9708</v>
      </c>
    </row>
    <row r="4682" spans="1:17" x14ac:dyDescent="0.3">
      <c r="A4682" t="s">
        <v>17</v>
      </c>
      <c r="B4682" t="str">
        <f>"688192"</f>
        <v>688192</v>
      </c>
      <c r="C4682" t="s">
        <v>9709</v>
      </c>
      <c r="D4682" t="s">
        <v>348</v>
      </c>
      <c r="E4682">
        <v>0</v>
      </c>
      <c r="P4682">
        <v>11</v>
      </c>
      <c r="Q4682" t="s">
        <v>9710</v>
      </c>
    </row>
    <row r="4683" spans="1:17" x14ac:dyDescent="0.3">
      <c r="A4683" t="s">
        <v>17</v>
      </c>
      <c r="B4683" t="str">
        <f>"688197"</f>
        <v>688197</v>
      </c>
      <c r="C4683" t="s">
        <v>9711</v>
      </c>
      <c r="E4683">
        <v>0</v>
      </c>
      <c r="P4683">
        <v>3</v>
      </c>
      <c r="Q4683" t="s">
        <v>9712</v>
      </c>
    </row>
    <row r="4684" spans="1:17" x14ac:dyDescent="0.3">
      <c r="A4684" t="s">
        <v>17</v>
      </c>
      <c r="B4684" t="str">
        <f>"688302"</f>
        <v>688302</v>
      </c>
      <c r="C4684" t="s">
        <v>9713</v>
      </c>
      <c r="E4684">
        <v>0</v>
      </c>
      <c r="P4684">
        <v>2</v>
      </c>
      <c r="Q4684" t="s">
        <v>9714</v>
      </c>
    </row>
    <row r="4685" spans="1:17" x14ac:dyDescent="0.3">
      <c r="A4685" t="s">
        <v>17</v>
      </c>
      <c r="B4685" t="str">
        <f>"688303"</f>
        <v>688303</v>
      </c>
      <c r="C4685" t="s">
        <v>9715</v>
      </c>
      <c r="D4685" t="s">
        <v>512</v>
      </c>
      <c r="E4685">
        <v>0</v>
      </c>
      <c r="F4685">
        <v>118365</v>
      </c>
      <c r="G4685">
        <v>1509378</v>
      </c>
      <c r="P4685">
        <v>108</v>
      </c>
      <c r="Q4685" t="s">
        <v>9716</v>
      </c>
    </row>
    <row r="4686" spans="1:17" x14ac:dyDescent="0.3">
      <c r="A4686" t="s">
        <v>73</v>
      </c>
      <c r="B4686" t="str">
        <f>"000587"</f>
        <v>000587</v>
      </c>
      <c r="C4686" t="s">
        <v>9717</v>
      </c>
      <c r="D4686" t="s">
        <v>1260</v>
      </c>
      <c r="E4686">
        <v>0</v>
      </c>
      <c r="F4686">
        <v>3131005928</v>
      </c>
      <c r="G4686">
        <v>4202327841</v>
      </c>
      <c r="H4686">
        <v>1895036886</v>
      </c>
      <c r="I4686">
        <v>3149891496</v>
      </c>
      <c r="J4686">
        <v>1945627352</v>
      </c>
      <c r="K4686">
        <v>980343274</v>
      </c>
      <c r="L4686">
        <v>213034948</v>
      </c>
      <c r="M4686">
        <v>117052240</v>
      </c>
      <c r="N4686">
        <v>397067905</v>
      </c>
      <c r="O4686">
        <v>176440669</v>
      </c>
      <c r="P4686">
        <v>114</v>
      </c>
      <c r="Q4686" t="s">
        <v>9718</v>
      </c>
    </row>
    <row r="4687" spans="1:17" x14ac:dyDescent="0.3">
      <c r="A4687" t="s">
        <v>73</v>
      </c>
      <c r="B4687" t="str">
        <f>"000609"</f>
        <v>000609</v>
      </c>
      <c r="C4687" t="s">
        <v>9719</v>
      </c>
      <c r="D4687" t="s">
        <v>27</v>
      </c>
      <c r="E4687">
        <v>0</v>
      </c>
      <c r="F4687">
        <v>0</v>
      </c>
      <c r="G4687">
        <v>0</v>
      </c>
      <c r="H4687">
        <v>22541</v>
      </c>
      <c r="I4687">
        <v>22541</v>
      </c>
      <c r="J4687">
        <v>22541</v>
      </c>
      <c r="K4687">
        <v>50394</v>
      </c>
      <c r="L4687">
        <v>53454</v>
      </c>
      <c r="M4687">
        <v>7078</v>
      </c>
      <c r="N4687">
        <v>1563</v>
      </c>
      <c r="O4687">
        <v>51974993</v>
      </c>
      <c r="P4687">
        <v>95</v>
      </c>
      <c r="Q4687" t="s">
        <v>9720</v>
      </c>
    </row>
    <row r="4688" spans="1:17" x14ac:dyDescent="0.3">
      <c r="A4688" t="s">
        <v>73</v>
      </c>
      <c r="B4688" t="str">
        <f>"000985"</f>
        <v>000985</v>
      </c>
      <c r="C4688" t="s">
        <v>9721</v>
      </c>
      <c r="D4688" t="s">
        <v>998</v>
      </c>
      <c r="E4688">
        <v>0</v>
      </c>
      <c r="F4688">
        <v>1213459</v>
      </c>
      <c r="G4688">
        <v>1580261</v>
      </c>
      <c r="H4688">
        <v>2390905</v>
      </c>
      <c r="I4688">
        <v>924514</v>
      </c>
      <c r="J4688">
        <v>43722</v>
      </c>
      <c r="K4688">
        <v>1672083</v>
      </c>
      <c r="L4688">
        <v>5018020</v>
      </c>
      <c r="M4688">
        <v>4062921</v>
      </c>
      <c r="N4688">
        <v>3337227</v>
      </c>
      <c r="O4688">
        <v>2485001</v>
      </c>
      <c r="P4688">
        <v>82</v>
      </c>
      <c r="Q4688" t="s">
        <v>9722</v>
      </c>
    </row>
    <row r="4689" spans="1:17" x14ac:dyDescent="0.3">
      <c r="A4689" t="s">
        <v>73</v>
      </c>
      <c r="B4689" t="str">
        <f>"001227"</f>
        <v>001227</v>
      </c>
      <c r="C4689" t="s">
        <v>9723</v>
      </c>
      <c r="D4689" t="s">
        <v>9724</v>
      </c>
      <c r="E4689">
        <v>0</v>
      </c>
      <c r="P4689">
        <v>31</v>
      </c>
      <c r="Q4689" t="s">
        <v>9725</v>
      </c>
    </row>
    <row r="4690" spans="1:17" x14ac:dyDescent="0.3">
      <c r="A4690" t="s">
        <v>73</v>
      </c>
      <c r="B4690" t="str">
        <f>"002989"</f>
        <v>002989</v>
      </c>
      <c r="C4690" t="s">
        <v>9726</v>
      </c>
      <c r="D4690" t="s">
        <v>258</v>
      </c>
      <c r="E4690">
        <v>0</v>
      </c>
      <c r="F4690">
        <v>0</v>
      </c>
      <c r="G4690">
        <v>10231154</v>
      </c>
      <c r="P4690">
        <v>137</v>
      </c>
      <c r="Q4690" t="s">
        <v>9727</v>
      </c>
    </row>
    <row r="4691" spans="1:17" x14ac:dyDescent="0.3">
      <c r="A4691" t="s">
        <v>73</v>
      </c>
      <c r="B4691" t="str">
        <f>"300834"</f>
        <v>300834</v>
      </c>
      <c r="C4691" t="s">
        <v>9728</v>
      </c>
      <c r="D4691" t="s">
        <v>1557</v>
      </c>
      <c r="E4691">
        <v>0</v>
      </c>
      <c r="P4691">
        <v>19</v>
      </c>
      <c r="Q4691" t="s">
        <v>9729</v>
      </c>
    </row>
    <row r="4692" spans="1:17" x14ac:dyDescent="0.3">
      <c r="A4692" t="s">
        <v>73</v>
      </c>
      <c r="B4692" t="str">
        <f>"301088"</f>
        <v>301088</v>
      </c>
      <c r="C4692" t="s">
        <v>9730</v>
      </c>
      <c r="D4692" t="s">
        <v>991</v>
      </c>
      <c r="E4692">
        <v>0</v>
      </c>
      <c r="P4692">
        <v>28</v>
      </c>
      <c r="Q4692" t="s">
        <v>9731</v>
      </c>
    </row>
    <row r="4693" spans="1:17" x14ac:dyDescent="0.3">
      <c r="A4693" t="s">
        <v>17</v>
      </c>
      <c r="B4693" t="str">
        <f>"600000"</f>
        <v>600000</v>
      </c>
      <c r="C4693" t="s">
        <v>9732</v>
      </c>
      <c r="D4693" t="s">
        <v>9733</v>
      </c>
      <c r="P4693">
        <v>17547</v>
      </c>
      <c r="Q4693" t="s">
        <v>9734</v>
      </c>
    </row>
    <row r="4694" spans="1:17" x14ac:dyDescent="0.3">
      <c r="A4694" t="s">
        <v>17</v>
      </c>
      <c r="B4694" t="str">
        <f>"600005"</f>
        <v>600005</v>
      </c>
      <c r="C4694" t="s">
        <v>9735</v>
      </c>
      <c r="K4694">
        <v>11797696788.709999</v>
      </c>
      <c r="L4694">
        <v>11709316464.459999</v>
      </c>
      <c r="M4694">
        <v>4264257528.2199998</v>
      </c>
      <c r="N4694">
        <v>2322091836.8000002</v>
      </c>
      <c r="O4694">
        <v>693877044.40999997</v>
      </c>
      <c r="P4694">
        <v>25</v>
      </c>
      <c r="Q4694" t="s">
        <v>9736</v>
      </c>
    </row>
    <row r="4695" spans="1:17" x14ac:dyDescent="0.3">
      <c r="A4695" t="s">
        <v>17</v>
      </c>
      <c r="B4695" t="str">
        <f>"600015"</f>
        <v>600015</v>
      </c>
      <c r="C4695" t="s">
        <v>9737</v>
      </c>
      <c r="D4695" t="s">
        <v>9733</v>
      </c>
      <c r="P4695">
        <v>1538</v>
      </c>
      <c r="Q4695" t="s">
        <v>9738</v>
      </c>
    </row>
    <row r="4696" spans="1:17" x14ac:dyDescent="0.3">
      <c r="A4696" t="s">
        <v>17</v>
      </c>
      <c r="B4696" t="str">
        <f>"600016"</f>
        <v>600016</v>
      </c>
      <c r="C4696" t="s">
        <v>9739</v>
      </c>
      <c r="D4696" t="s">
        <v>9733</v>
      </c>
      <c r="P4696">
        <v>20730</v>
      </c>
      <c r="Q4696" t="s">
        <v>9740</v>
      </c>
    </row>
    <row r="4697" spans="1:17" x14ac:dyDescent="0.3">
      <c r="A4697" t="s">
        <v>17</v>
      </c>
      <c r="B4697" t="str">
        <f>"600036"</f>
        <v>600036</v>
      </c>
      <c r="C4697" t="s">
        <v>9741</v>
      </c>
      <c r="D4697" t="s">
        <v>9733</v>
      </c>
      <c r="P4697">
        <v>68589</v>
      </c>
      <c r="Q4697" t="s">
        <v>9742</v>
      </c>
    </row>
    <row r="4698" spans="1:17" x14ac:dyDescent="0.3">
      <c r="A4698" t="s">
        <v>17</v>
      </c>
      <c r="B4698" t="str">
        <f>"600065"</f>
        <v>600065</v>
      </c>
      <c r="C4698" t="s">
        <v>9743</v>
      </c>
      <c r="J4698">
        <v>344545765.48000002</v>
      </c>
      <c r="K4698">
        <v>372470231.45999998</v>
      </c>
      <c r="L4698">
        <v>168676980.78999999</v>
      </c>
      <c r="M4698">
        <v>42770632.890000001</v>
      </c>
      <c r="N4698">
        <v>198472844.86000001</v>
      </c>
      <c r="O4698">
        <v>0</v>
      </c>
      <c r="P4698">
        <v>4</v>
      </c>
      <c r="Q4698" t="s">
        <v>9744</v>
      </c>
    </row>
    <row r="4699" spans="1:17" x14ac:dyDescent="0.3">
      <c r="A4699" t="s">
        <v>17</v>
      </c>
      <c r="B4699" t="str">
        <f>"600068"</f>
        <v>600068</v>
      </c>
      <c r="C4699" t="s">
        <v>9745</v>
      </c>
      <c r="F4699">
        <v>14798430598</v>
      </c>
      <c r="G4699">
        <v>13099847944</v>
      </c>
      <c r="H4699">
        <v>14336155818</v>
      </c>
      <c r="I4699">
        <v>14815079038</v>
      </c>
      <c r="J4699">
        <v>12337951491</v>
      </c>
      <c r="K4699">
        <v>11754455120</v>
      </c>
      <c r="L4699">
        <v>11775452619</v>
      </c>
      <c r="M4699">
        <v>4101994173</v>
      </c>
      <c r="N4699">
        <v>4234049103</v>
      </c>
      <c r="O4699">
        <v>4064711526</v>
      </c>
      <c r="P4699">
        <v>843</v>
      </c>
      <c r="Q4699" t="s">
        <v>9746</v>
      </c>
    </row>
    <row r="4700" spans="1:17" x14ac:dyDescent="0.3">
      <c r="A4700" t="s">
        <v>17</v>
      </c>
      <c r="B4700" t="str">
        <f>"600069"</f>
        <v>600069</v>
      </c>
      <c r="C4700" t="s">
        <v>9747</v>
      </c>
      <c r="G4700">
        <v>907955660</v>
      </c>
      <c r="H4700">
        <v>388622601</v>
      </c>
      <c r="I4700">
        <v>233776011</v>
      </c>
      <c r="J4700">
        <v>240981660</v>
      </c>
      <c r="K4700">
        <v>298216304</v>
      </c>
      <c r="L4700">
        <v>284085540</v>
      </c>
      <c r="M4700">
        <v>356654777</v>
      </c>
      <c r="N4700">
        <v>411602929</v>
      </c>
      <c r="O4700">
        <v>329400756</v>
      </c>
      <c r="P4700">
        <v>48</v>
      </c>
      <c r="Q4700" t="s">
        <v>9748</v>
      </c>
    </row>
    <row r="4701" spans="1:17" x14ac:dyDescent="0.3">
      <c r="A4701" t="s">
        <v>17</v>
      </c>
      <c r="B4701" t="str">
        <f>"600074"</f>
        <v>600074</v>
      </c>
      <c r="C4701" t="s">
        <v>9749</v>
      </c>
      <c r="G4701">
        <v>24300739</v>
      </c>
      <c r="H4701">
        <v>12480043</v>
      </c>
      <c r="I4701">
        <v>526662720</v>
      </c>
      <c r="J4701">
        <v>1363955722</v>
      </c>
      <c r="K4701">
        <v>565472861</v>
      </c>
      <c r="L4701">
        <v>208789965</v>
      </c>
      <c r="M4701">
        <v>71767284</v>
      </c>
      <c r="N4701">
        <v>83213078</v>
      </c>
      <c r="O4701">
        <v>91414219</v>
      </c>
      <c r="P4701">
        <v>61</v>
      </c>
      <c r="Q4701" t="s">
        <v>9750</v>
      </c>
    </row>
    <row r="4702" spans="1:17" x14ac:dyDescent="0.3">
      <c r="A4702" t="s">
        <v>17</v>
      </c>
      <c r="B4702" t="str">
        <f>"600086"</f>
        <v>600086</v>
      </c>
      <c r="C4702" t="s">
        <v>9751</v>
      </c>
      <c r="G4702">
        <v>433854417</v>
      </c>
      <c r="H4702">
        <v>468946390</v>
      </c>
      <c r="I4702">
        <v>833028849</v>
      </c>
      <c r="J4702">
        <v>717568593</v>
      </c>
      <c r="K4702">
        <v>389941203</v>
      </c>
      <c r="L4702">
        <v>91963719</v>
      </c>
      <c r="M4702">
        <v>129033858</v>
      </c>
      <c r="N4702">
        <v>125009097</v>
      </c>
      <c r="O4702">
        <v>31510390</v>
      </c>
      <c r="P4702">
        <v>73</v>
      </c>
      <c r="Q4702" t="s">
        <v>9752</v>
      </c>
    </row>
    <row r="4703" spans="1:17" x14ac:dyDescent="0.3">
      <c r="A4703" t="s">
        <v>17</v>
      </c>
      <c r="B4703" t="str">
        <f>"600087"</f>
        <v>600087</v>
      </c>
      <c r="C4703" t="s">
        <v>9753</v>
      </c>
      <c r="J4703">
        <v>383009133.75999999</v>
      </c>
      <c r="K4703">
        <v>358585785.93000001</v>
      </c>
      <c r="L4703">
        <v>351949473.66000003</v>
      </c>
      <c r="M4703">
        <v>605296481.55999994</v>
      </c>
      <c r="N4703">
        <v>540315519.78999996</v>
      </c>
      <c r="O4703">
        <v>559165162.84000003</v>
      </c>
      <c r="P4703">
        <v>7</v>
      </c>
      <c r="Q4703" t="s">
        <v>9754</v>
      </c>
    </row>
    <row r="4704" spans="1:17" x14ac:dyDescent="0.3">
      <c r="A4704" t="s">
        <v>17</v>
      </c>
      <c r="B4704" t="str">
        <f>"600090"</f>
        <v>600090</v>
      </c>
      <c r="C4704" t="s">
        <v>9755</v>
      </c>
      <c r="D4704" t="s">
        <v>50</v>
      </c>
      <c r="F4704">
        <v>1979827175</v>
      </c>
      <c r="G4704">
        <v>4334182517</v>
      </c>
      <c r="H4704">
        <v>3218050592</v>
      </c>
      <c r="I4704">
        <v>2609451631</v>
      </c>
      <c r="J4704">
        <v>1560712634</v>
      </c>
      <c r="K4704">
        <v>2822502</v>
      </c>
      <c r="L4704">
        <v>3628479</v>
      </c>
      <c r="M4704">
        <v>9977726</v>
      </c>
      <c r="N4704">
        <v>3929622</v>
      </c>
      <c r="O4704">
        <v>2282858</v>
      </c>
      <c r="P4704">
        <v>214</v>
      </c>
      <c r="Q4704" t="s">
        <v>9756</v>
      </c>
    </row>
    <row r="4705" spans="1:17" x14ac:dyDescent="0.3">
      <c r="A4705" t="s">
        <v>17</v>
      </c>
      <c r="B4705" t="str">
        <f>"600092"</f>
        <v>600092</v>
      </c>
      <c r="C4705" t="s">
        <v>9757</v>
      </c>
      <c r="J4705">
        <v>9174368.9000000004</v>
      </c>
      <c r="K4705">
        <v>9323142.0999999996</v>
      </c>
      <c r="L4705">
        <v>9516973.6899999995</v>
      </c>
      <c r="M4705">
        <v>9692695.6999999993</v>
      </c>
      <c r="N4705">
        <v>9136648.9499999993</v>
      </c>
      <c r="O4705">
        <v>8994934.9900000002</v>
      </c>
      <c r="P4705">
        <v>3</v>
      </c>
      <c r="Q4705" t="s">
        <v>9758</v>
      </c>
    </row>
    <row r="4706" spans="1:17" x14ac:dyDescent="0.3">
      <c r="A4706" t="s">
        <v>17</v>
      </c>
      <c r="B4706" t="str">
        <f>"600102"</f>
        <v>600102</v>
      </c>
      <c r="C4706" t="s">
        <v>9759</v>
      </c>
      <c r="M4706">
        <v>635596361.60000002</v>
      </c>
      <c r="N4706">
        <v>4261198654.8499999</v>
      </c>
      <c r="O4706">
        <v>5623108080.6499996</v>
      </c>
      <c r="P4706">
        <v>12</v>
      </c>
      <c r="Q4706" t="s">
        <v>9760</v>
      </c>
    </row>
    <row r="4707" spans="1:17" x14ac:dyDescent="0.3">
      <c r="A4707" t="s">
        <v>17</v>
      </c>
      <c r="B4707" t="str">
        <f>"600145"</f>
        <v>600145</v>
      </c>
      <c r="C4707" t="s">
        <v>9761</v>
      </c>
      <c r="D4707" t="s">
        <v>299</v>
      </c>
      <c r="F4707">
        <v>5900102</v>
      </c>
      <c r="G4707">
        <v>9036191</v>
      </c>
      <c r="H4707">
        <v>0</v>
      </c>
      <c r="I4707">
        <v>320712</v>
      </c>
      <c r="J4707">
        <v>338529</v>
      </c>
      <c r="K4707">
        <v>0</v>
      </c>
      <c r="L4707">
        <v>2405825</v>
      </c>
      <c r="M4707">
        <v>363074</v>
      </c>
      <c r="N4707">
        <v>4857417</v>
      </c>
      <c r="O4707">
        <v>34940451</v>
      </c>
      <c r="P4707">
        <v>46</v>
      </c>
      <c r="Q4707" t="s">
        <v>9762</v>
      </c>
    </row>
    <row r="4708" spans="1:17" x14ac:dyDescent="0.3">
      <c r="A4708" t="s">
        <v>17</v>
      </c>
      <c r="B4708" t="str">
        <f>"600146"</f>
        <v>600146</v>
      </c>
      <c r="C4708" t="s">
        <v>9763</v>
      </c>
      <c r="D4708" t="s">
        <v>991</v>
      </c>
      <c r="F4708">
        <v>55870564</v>
      </c>
      <c r="G4708">
        <v>37106670</v>
      </c>
      <c r="H4708">
        <v>286275953</v>
      </c>
      <c r="I4708">
        <v>483435351</v>
      </c>
      <c r="J4708">
        <v>351678014</v>
      </c>
      <c r="K4708">
        <v>4370878</v>
      </c>
      <c r="L4708">
        <v>1234505</v>
      </c>
      <c r="M4708">
        <v>12504911</v>
      </c>
      <c r="N4708">
        <v>8205332</v>
      </c>
      <c r="O4708">
        <v>10278485</v>
      </c>
      <c r="P4708">
        <v>70</v>
      </c>
      <c r="Q4708" t="s">
        <v>9764</v>
      </c>
    </row>
    <row r="4709" spans="1:17" x14ac:dyDescent="0.3">
      <c r="A4709" t="s">
        <v>17</v>
      </c>
      <c r="B4709" t="str">
        <f>"600175"</f>
        <v>600175</v>
      </c>
      <c r="C4709" t="s">
        <v>9765</v>
      </c>
      <c r="G4709">
        <v>247678379</v>
      </c>
      <c r="H4709">
        <v>386440153</v>
      </c>
      <c r="I4709">
        <v>935168696</v>
      </c>
      <c r="J4709">
        <v>407698400</v>
      </c>
      <c r="K4709">
        <v>174776079</v>
      </c>
      <c r="L4709">
        <v>129577994</v>
      </c>
      <c r="M4709">
        <v>97543508</v>
      </c>
      <c r="N4709">
        <v>28361019</v>
      </c>
      <c r="O4709">
        <v>51175211</v>
      </c>
      <c r="P4709">
        <v>58</v>
      </c>
      <c r="Q4709" t="s">
        <v>9766</v>
      </c>
    </row>
    <row r="4710" spans="1:17" x14ac:dyDescent="0.3">
      <c r="A4710" t="s">
        <v>17</v>
      </c>
      <c r="B4710" t="str">
        <f>"600240"</f>
        <v>600240</v>
      </c>
      <c r="C4710" t="s">
        <v>9767</v>
      </c>
      <c r="G4710">
        <v>411559111</v>
      </c>
      <c r="H4710">
        <v>471576363</v>
      </c>
      <c r="I4710">
        <v>374008301</v>
      </c>
      <c r="J4710">
        <v>192516939</v>
      </c>
      <c r="K4710">
        <v>146624328</v>
      </c>
      <c r="L4710">
        <v>401756</v>
      </c>
      <c r="M4710">
        <v>0</v>
      </c>
      <c r="N4710">
        <v>0</v>
      </c>
      <c r="O4710">
        <v>0</v>
      </c>
      <c r="P4710">
        <v>94</v>
      </c>
      <c r="Q4710" t="s">
        <v>9768</v>
      </c>
    </row>
    <row r="4711" spans="1:17" x14ac:dyDescent="0.3">
      <c r="A4711" t="s">
        <v>17</v>
      </c>
      <c r="B4711" t="str">
        <f>"600247"</f>
        <v>600247</v>
      </c>
      <c r="C4711" t="s">
        <v>9769</v>
      </c>
      <c r="G4711">
        <v>7354923</v>
      </c>
      <c r="H4711">
        <v>9813812</v>
      </c>
      <c r="I4711">
        <v>30169531</v>
      </c>
      <c r="J4711">
        <v>0</v>
      </c>
      <c r="K4711">
        <v>33897237</v>
      </c>
      <c r="L4711">
        <v>0</v>
      </c>
      <c r="M4711">
        <v>432438</v>
      </c>
      <c r="N4711">
        <v>3685654</v>
      </c>
      <c r="O4711">
        <v>18579491</v>
      </c>
      <c r="P4711">
        <v>29</v>
      </c>
      <c r="Q4711" t="s">
        <v>9770</v>
      </c>
    </row>
    <row r="4712" spans="1:17" x14ac:dyDescent="0.3">
      <c r="A4712" t="s">
        <v>17</v>
      </c>
      <c r="B4712" t="str">
        <f>"600253"</f>
        <v>600253</v>
      </c>
      <c r="C4712" t="s">
        <v>9771</v>
      </c>
      <c r="N4712">
        <v>1121805165.3800001</v>
      </c>
      <c r="O4712">
        <v>784041257.35000002</v>
      </c>
      <c r="P4712">
        <v>3</v>
      </c>
      <c r="Q4712" t="s">
        <v>9772</v>
      </c>
    </row>
    <row r="4713" spans="1:17" x14ac:dyDescent="0.3">
      <c r="A4713" t="s">
        <v>17</v>
      </c>
      <c r="B4713" t="str">
        <f>"600270"</f>
        <v>600270</v>
      </c>
      <c r="C4713" t="s">
        <v>9773</v>
      </c>
      <c r="I4713">
        <v>1087765531</v>
      </c>
      <c r="J4713">
        <v>909421972</v>
      </c>
      <c r="K4713">
        <v>881629378.20000005</v>
      </c>
      <c r="L4713">
        <v>884941359.90999997</v>
      </c>
      <c r="M4713">
        <v>748518944.83000004</v>
      </c>
      <c r="N4713">
        <v>691138886.62</v>
      </c>
      <c r="O4713">
        <v>609016356.55999994</v>
      </c>
      <c r="P4713">
        <v>101</v>
      </c>
      <c r="Q4713" t="s">
        <v>9774</v>
      </c>
    </row>
    <row r="4714" spans="1:17" x14ac:dyDescent="0.3">
      <c r="A4714" t="s">
        <v>17</v>
      </c>
      <c r="B4714" t="str">
        <f>"600286"</f>
        <v>600286</v>
      </c>
      <c r="C4714" t="s">
        <v>9775</v>
      </c>
      <c r="J4714">
        <v>54336223.549999997</v>
      </c>
      <c r="K4714">
        <v>47709810.630000003</v>
      </c>
      <c r="P4714">
        <v>18</v>
      </c>
      <c r="Q4714" t="s">
        <v>9776</v>
      </c>
    </row>
    <row r="4715" spans="1:17" x14ac:dyDescent="0.3">
      <c r="A4715" t="s">
        <v>17</v>
      </c>
      <c r="B4715" t="str">
        <f>"600317"</f>
        <v>600317</v>
      </c>
      <c r="C4715" t="s">
        <v>9777</v>
      </c>
      <c r="G4715">
        <v>308200016</v>
      </c>
      <c r="H4715">
        <v>575940130</v>
      </c>
      <c r="I4715">
        <v>452305441</v>
      </c>
      <c r="J4715">
        <v>688657375</v>
      </c>
      <c r="K4715">
        <v>555835458.26999998</v>
      </c>
      <c r="L4715">
        <v>448858748.60000002</v>
      </c>
      <c r="M4715">
        <v>314869083.37</v>
      </c>
      <c r="N4715">
        <v>473992637.74000001</v>
      </c>
      <c r="O4715">
        <v>592033580.47000003</v>
      </c>
      <c r="P4715">
        <v>92</v>
      </c>
      <c r="Q4715" t="s">
        <v>9778</v>
      </c>
    </row>
    <row r="4716" spans="1:17" x14ac:dyDescent="0.3">
      <c r="A4716" t="s">
        <v>17</v>
      </c>
      <c r="B4716" t="str">
        <f>"600401"</f>
        <v>600401</v>
      </c>
      <c r="C4716" t="s">
        <v>9779</v>
      </c>
      <c r="H4716">
        <v>641538258</v>
      </c>
      <c r="I4716">
        <v>3008768183</v>
      </c>
      <c r="J4716">
        <v>3845755150</v>
      </c>
      <c r="K4716">
        <v>3238949862.3699999</v>
      </c>
      <c r="L4716">
        <v>2885249637.2199998</v>
      </c>
      <c r="M4716">
        <v>2448589967.0999999</v>
      </c>
      <c r="N4716">
        <v>1694601008.4000001</v>
      </c>
      <c r="O4716">
        <v>1585083112.3599999</v>
      </c>
      <c r="P4716">
        <v>22</v>
      </c>
      <c r="Q4716" t="s">
        <v>9780</v>
      </c>
    </row>
    <row r="4717" spans="1:17" x14ac:dyDescent="0.3">
      <c r="A4717" t="s">
        <v>17</v>
      </c>
      <c r="B4717" t="str">
        <f>"600432"</f>
        <v>600432</v>
      </c>
      <c r="C4717" t="s">
        <v>9781</v>
      </c>
      <c r="I4717">
        <v>325414767</v>
      </c>
      <c r="J4717">
        <v>239922316</v>
      </c>
      <c r="K4717">
        <v>321433007.52999997</v>
      </c>
      <c r="L4717">
        <v>464601340.20999998</v>
      </c>
      <c r="M4717">
        <v>262481212.31</v>
      </c>
      <c r="N4717">
        <v>222698831.08000001</v>
      </c>
      <c r="O4717">
        <v>154046388.74000001</v>
      </c>
      <c r="P4717">
        <v>14</v>
      </c>
      <c r="Q4717" t="s">
        <v>9782</v>
      </c>
    </row>
    <row r="4718" spans="1:17" x14ac:dyDescent="0.3">
      <c r="A4718" t="s">
        <v>17</v>
      </c>
      <c r="B4718" t="str">
        <f>"600485"</f>
        <v>600485</v>
      </c>
      <c r="C4718" t="s">
        <v>9783</v>
      </c>
      <c r="F4718">
        <v>48062137</v>
      </c>
      <c r="G4718">
        <v>105170218</v>
      </c>
      <c r="H4718">
        <v>2165294693</v>
      </c>
      <c r="I4718">
        <v>3889973604</v>
      </c>
      <c r="J4718">
        <v>4975914837</v>
      </c>
      <c r="K4718">
        <v>4943075345</v>
      </c>
      <c r="L4718">
        <v>2338245395</v>
      </c>
      <c r="M4718">
        <v>114543486</v>
      </c>
      <c r="N4718">
        <v>119368529</v>
      </c>
      <c r="O4718">
        <v>122220031</v>
      </c>
      <c r="P4718">
        <v>124</v>
      </c>
      <c r="Q4718" t="s">
        <v>9784</v>
      </c>
    </row>
    <row r="4719" spans="1:17" x14ac:dyDescent="0.3">
      <c r="A4719" t="s">
        <v>17</v>
      </c>
      <c r="B4719" t="str">
        <f>"600532"</f>
        <v>600532</v>
      </c>
      <c r="C4719" t="s">
        <v>9785</v>
      </c>
      <c r="D4719" t="s">
        <v>218</v>
      </c>
      <c r="F4719">
        <v>48582217</v>
      </c>
      <c r="G4719">
        <v>344496047</v>
      </c>
      <c r="H4719">
        <v>391148808</v>
      </c>
      <c r="I4719">
        <v>3826430</v>
      </c>
      <c r="J4719">
        <v>7993490</v>
      </c>
      <c r="K4719">
        <v>8664135</v>
      </c>
      <c r="L4719">
        <v>55409747</v>
      </c>
      <c r="M4719">
        <v>24000940</v>
      </c>
      <c r="N4719">
        <v>1745087</v>
      </c>
      <c r="O4719">
        <v>83813517</v>
      </c>
      <c r="P4719">
        <v>91</v>
      </c>
      <c r="Q4719" t="s">
        <v>9786</v>
      </c>
    </row>
    <row r="4720" spans="1:17" x14ac:dyDescent="0.3">
      <c r="A4720" t="s">
        <v>17</v>
      </c>
      <c r="B4720" t="str">
        <f>"600614"</f>
        <v>600614</v>
      </c>
      <c r="C4720" t="s">
        <v>9787</v>
      </c>
      <c r="F4720">
        <v>338668123</v>
      </c>
      <c r="G4720">
        <v>549257445</v>
      </c>
      <c r="H4720">
        <v>542863175</v>
      </c>
      <c r="I4720">
        <v>299426517</v>
      </c>
      <c r="J4720">
        <v>254548203</v>
      </c>
      <c r="K4720">
        <v>182329675</v>
      </c>
      <c r="L4720">
        <v>149135891</v>
      </c>
      <c r="M4720">
        <v>199023233</v>
      </c>
      <c r="N4720">
        <v>193717475</v>
      </c>
      <c r="O4720">
        <v>182362648</v>
      </c>
      <c r="P4720">
        <v>55</v>
      </c>
      <c r="Q4720" t="s">
        <v>9788</v>
      </c>
    </row>
    <row r="4721" spans="1:17" x14ac:dyDescent="0.3">
      <c r="A4721" t="s">
        <v>17</v>
      </c>
      <c r="B4721" t="str">
        <f>"600625"</f>
        <v>600625</v>
      </c>
      <c r="C4721" t="s">
        <v>9789</v>
      </c>
      <c r="J4721">
        <v>0</v>
      </c>
      <c r="K4721">
        <v>0</v>
      </c>
      <c r="L4721">
        <v>-2486590.2799999998</v>
      </c>
      <c r="M4721">
        <v>611344.27</v>
      </c>
      <c r="N4721">
        <v>774785.98</v>
      </c>
      <c r="O4721">
        <v>1477036.71</v>
      </c>
      <c r="P4721">
        <v>5</v>
      </c>
      <c r="Q4721" t="s">
        <v>9790</v>
      </c>
    </row>
    <row r="4722" spans="1:17" x14ac:dyDescent="0.3">
      <c r="A4722" t="s">
        <v>17</v>
      </c>
      <c r="B4722" t="str">
        <f>"600631"</f>
        <v>600631</v>
      </c>
      <c r="C4722" t="s">
        <v>3896</v>
      </c>
      <c r="M4722">
        <v>266404348.86000001</v>
      </c>
      <c r="N4722">
        <v>419941333.56</v>
      </c>
      <c r="O4722">
        <v>279843807.93000001</v>
      </c>
      <c r="P4722">
        <v>18</v>
      </c>
      <c r="Q4722" t="s">
        <v>9791</v>
      </c>
    </row>
    <row r="4723" spans="1:17" x14ac:dyDescent="0.3">
      <c r="A4723" t="s">
        <v>17</v>
      </c>
      <c r="B4723" t="str">
        <f>"600634"</f>
        <v>600634</v>
      </c>
      <c r="C4723" t="s">
        <v>9792</v>
      </c>
      <c r="F4723">
        <v>3107840</v>
      </c>
      <c r="G4723">
        <v>1267999</v>
      </c>
      <c r="H4723">
        <v>110093192</v>
      </c>
      <c r="I4723">
        <v>46987364</v>
      </c>
      <c r="J4723">
        <v>53592492</v>
      </c>
      <c r="K4723">
        <v>492446852</v>
      </c>
      <c r="L4723">
        <v>588911567</v>
      </c>
      <c r="M4723">
        <v>815336372</v>
      </c>
      <c r="N4723">
        <v>1484817</v>
      </c>
      <c r="O4723">
        <v>27805246</v>
      </c>
      <c r="P4723">
        <v>48</v>
      </c>
      <c r="Q4723" t="s">
        <v>9793</v>
      </c>
    </row>
    <row r="4724" spans="1:17" x14ac:dyDescent="0.3">
      <c r="A4724" t="s">
        <v>17</v>
      </c>
      <c r="B4724" t="str">
        <f>"600646"</f>
        <v>600646</v>
      </c>
      <c r="C4724" t="s">
        <v>9794</v>
      </c>
      <c r="K4724">
        <v>484500</v>
      </c>
      <c r="P4724">
        <v>2</v>
      </c>
      <c r="Q4724" t="s">
        <v>9795</v>
      </c>
    </row>
    <row r="4725" spans="1:17" x14ac:dyDescent="0.3">
      <c r="A4725" t="s">
        <v>17</v>
      </c>
      <c r="B4725" t="str">
        <f>"600656"</f>
        <v>600656</v>
      </c>
      <c r="C4725" t="s">
        <v>9796</v>
      </c>
      <c r="K4725">
        <v>0</v>
      </c>
      <c r="L4725">
        <v>10593338.140000001</v>
      </c>
      <c r="M4725">
        <v>24640075.219999999</v>
      </c>
      <c r="N4725">
        <v>26695749.030000001</v>
      </c>
      <c r="O4725">
        <v>0</v>
      </c>
      <c r="P4725">
        <v>3</v>
      </c>
      <c r="Q4725" t="s">
        <v>9797</v>
      </c>
    </row>
    <row r="4726" spans="1:17" x14ac:dyDescent="0.3">
      <c r="A4726" t="s">
        <v>17</v>
      </c>
      <c r="B4726" t="str">
        <f>"600669"</f>
        <v>600669</v>
      </c>
      <c r="C4726" t="s">
        <v>9798</v>
      </c>
      <c r="J4726">
        <v>0</v>
      </c>
      <c r="K4726">
        <v>0</v>
      </c>
      <c r="P4726">
        <v>2</v>
      </c>
      <c r="Q4726" t="s">
        <v>9799</v>
      </c>
    </row>
    <row r="4727" spans="1:17" x14ac:dyDescent="0.3">
      <c r="A4727" t="s">
        <v>17</v>
      </c>
      <c r="B4727" t="str">
        <f>"600670"</f>
        <v>600670</v>
      </c>
      <c r="C4727" t="s">
        <v>9800</v>
      </c>
      <c r="J4727">
        <v>342156</v>
      </c>
      <c r="K4727">
        <v>0</v>
      </c>
      <c r="N4727">
        <v>0</v>
      </c>
      <c r="O4727">
        <v>0</v>
      </c>
      <c r="P4727">
        <v>2</v>
      </c>
      <c r="Q4727" t="s">
        <v>9801</v>
      </c>
    </row>
    <row r="4728" spans="1:17" x14ac:dyDescent="0.3">
      <c r="A4728" t="s">
        <v>17</v>
      </c>
      <c r="B4728" t="str">
        <f>"600672"</f>
        <v>600672</v>
      </c>
      <c r="C4728" t="s">
        <v>9802</v>
      </c>
      <c r="J4728">
        <v>4237935.08</v>
      </c>
      <c r="K4728">
        <v>10306836.16</v>
      </c>
      <c r="P4728">
        <v>2</v>
      </c>
      <c r="Q4728" t="s">
        <v>9803</v>
      </c>
    </row>
    <row r="4729" spans="1:17" x14ac:dyDescent="0.3">
      <c r="A4729" t="s">
        <v>17</v>
      </c>
      <c r="B4729" t="str">
        <f>"600677"</f>
        <v>600677</v>
      </c>
      <c r="C4729" t="s">
        <v>9804</v>
      </c>
      <c r="G4729">
        <v>1204260198</v>
      </c>
      <c r="H4729">
        <v>2031246714</v>
      </c>
      <c r="I4729">
        <v>5281368757</v>
      </c>
      <c r="J4729">
        <v>5246000167</v>
      </c>
      <c r="K4729">
        <v>3302778983</v>
      </c>
      <c r="L4729">
        <v>1246624186</v>
      </c>
      <c r="M4729">
        <v>1330358930</v>
      </c>
      <c r="N4729">
        <v>1385865826</v>
      </c>
      <c r="O4729">
        <v>1014736398</v>
      </c>
      <c r="P4729">
        <v>77</v>
      </c>
      <c r="Q4729" t="s">
        <v>9805</v>
      </c>
    </row>
    <row r="4730" spans="1:17" x14ac:dyDescent="0.3">
      <c r="A4730" t="s">
        <v>17</v>
      </c>
      <c r="B4730" t="str">
        <f>"600679"</f>
        <v>600679</v>
      </c>
      <c r="C4730" t="s">
        <v>9806</v>
      </c>
      <c r="D4730" t="s">
        <v>3193</v>
      </c>
      <c r="F4730">
        <v>430202053</v>
      </c>
      <c r="G4730">
        <v>228100182</v>
      </c>
      <c r="H4730">
        <v>175608012</v>
      </c>
      <c r="I4730">
        <v>195287856</v>
      </c>
      <c r="J4730">
        <v>177287454</v>
      </c>
      <c r="K4730">
        <v>40668094</v>
      </c>
      <c r="L4730">
        <v>63745439</v>
      </c>
      <c r="M4730">
        <v>72234679</v>
      </c>
      <c r="N4730">
        <v>90322341</v>
      </c>
      <c r="O4730">
        <v>56369588</v>
      </c>
      <c r="P4730">
        <v>77</v>
      </c>
      <c r="Q4730" t="s">
        <v>9807</v>
      </c>
    </row>
    <row r="4731" spans="1:17" x14ac:dyDescent="0.3">
      <c r="A4731" t="s">
        <v>17</v>
      </c>
      <c r="B4731" t="str">
        <f>"600680"</f>
        <v>600680</v>
      </c>
      <c r="C4731" t="s">
        <v>9808</v>
      </c>
      <c r="G4731">
        <v>34662321</v>
      </c>
      <c r="H4731">
        <v>114813777</v>
      </c>
      <c r="I4731">
        <v>181975828</v>
      </c>
      <c r="J4731">
        <v>440781846</v>
      </c>
      <c r="K4731">
        <v>610352991.52999997</v>
      </c>
      <c r="L4731">
        <v>540500657.07000005</v>
      </c>
      <c r="M4731">
        <v>491068856.79000002</v>
      </c>
      <c r="N4731">
        <v>569629727.04999995</v>
      </c>
      <c r="O4731">
        <v>533655563.08999997</v>
      </c>
      <c r="P4731">
        <v>20</v>
      </c>
      <c r="Q4731" t="s">
        <v>9809</v>
      </c>
    </row>
    <row r="4732" spans="1:17" x14ac:dyDescent="0.3">
      <c r="A4732" t="s">
        <v>17</v>
      </c>
      <c r="B4732" t="str">
        <f>"600687"</f>
        <v>600687</v>
      </c>
      <c r="C4732" t="s">
        <v>9810</v>
      </c>
      <c r="G4732">
        <v>1443865465</v>
      </c>
      <c r="H4732">
        <v>3547869699</v>
      </c>
      <c r="I4732">
        <v>1803362760</v>
      </c>
      <c r="J4732">
        <v>1346000118</v>
      </c>
      <c r="K4732">
        <v>416086490</v>
      </c>
      <c r="L4732">
        <v>302500587</v>
      </c>
      <c r="M4732">
        <v>22627656</v>
      </c>
      <c r="N4732">
        <v>0</v>
      </c>
      <c r="O4732">
        <v>2485592</v>
      </c>
      <c r="P4732">
        <v>58</v>
      </c>
      <c r="Q4732" t="s">
        <v>9811</v>
      </c>
    </row>
    <row r="4733" spans="1:17" x14ac:dyDescent="0.3">
      <c r="A4733" t="s">
        <v>17</v>
      </c>
      <c r="B4733" t="str">
        <f>"600700"</f>
        <v>600700</v>
      </c>
      <c r="C4733" t="s">
        <v>9812</v>
      </c>
      <c r="J4733">
        <v>22520480.460000001</v>
      </c>
      <c r="K4733">
        <v>22520480.460000001</v>
      </c>
      <c r="L4733">
        <v>22520480.460000001</v>
      </c>
      <c r="M4733">
        <v>22520480.460000001</v>
      </c>
      <c r="N4733">
        <v>22396037.239999998</v>
      </c>
      <c r="O4733">
        <v>22924078.780000001</v>
      </c>
      <c r="P4733">
        <v>5</v>
      </c>
      <c r="Q4733" t="s">
        <v>9813</v>
      </c>
    </row>
    <row r="4734" spans="1:17" x14ac:dyDescent="0.3">
      <c r="A4734" t="s">
        <v>17</v>
      </c>
      <c r="B4734" t="str">
        <f>"600701"</f>
        <v>600701</v>
      </c>
      <c r="C4734" t="s">
        <v>9814</v>
      </c>
      <c r="F4734">
        <v>25257954</v>
      </c>
      <c r="G4734">
        <v>23146696</v>
      </c>
      <c r="H4734">
        <v>187609556</v>
      </c>
      <c r="I4734">
        <v>1422413068</v>
      </c>
      <c r="J4734">
        <v>1179794463</v>
      </c>
      <c r="K4734">
        <v>49378739</v>
      </c>
      <c r="L4734">
        <v>31608899</v>
      </c>
      <c r="M4734">
        <v>28247522</v>
      </c>
      <c r="N4734">
        <v>30449297</v>
      </c>
      <c r="O4734">
        <v>24727441</v>
      </c>
      <c r="P4734">
        <v>55</v>
      </c>
      <c r="Q4734" t="s">
        <v>9815</v>
      </c>
    </row>
    <row r="4735" spans="1:17" x14ac:dyDescent="0.3">
      <c r="A4735" t="s">
        <v>17</v>
      </c>
      <c r="B4735" t="str">
        <f>"600709"</f>
        <v>600709</v>
      </c>
      <c r="C4735" t="s">
        <v>9816</v>
      </c>
      <c r="J4735">
        <v>123564.55</v>
      </c>
      <c r="K4735">
        <v>501303.91</v>
      </c>
      <c r="L4735">
        <v>776345.74</v>
      </c>
      <c r="M4735">
        <v>1542845.97</v>
      </c>
      <c r="P4735">
        <v>4</v>
      </c>
      <c r="Q4735" t="s">
        <v>9817</v>
      </c>
    </row>
    <row r="4736" spans="1:17" x14ac:dyDescent="0.3">
      <c r="A4736" t="s">
        <v>17</v>
      </c>
      <c r="B4736" t="str">
        <f>"600723"</f>
        <v>600723</v>
      </c>
      <c r="C4736" t="s">
        <v>9818</v>
      </c>
      <c r="F4736">
        <v>47165099</v>
      </c>
      <c r="G4736">
        <v>55604975</v>
      </c>
      <c r="H4736">
        <v>126327439</v>
      </c>
      <c r="I4736">
        <v>112179806</v>
      </c>
      <c r="J4736">
        <v>78913175</v>
      </c>
      <c r="K4736">
        <v>76004145</v>
      </c>
      <c r="L4736">
        <v>66811034</v>
      </c>
      <c r="M4736">
        <v>100983735</v>
      </c>
      <c r="N4736">
        <v>167761336</v>
      </c>
      <c r="O4736">
        <v>122711153</v>
      </c>
      <c r="P4736">
        <v>180</v>
      </c>
      <c r="Q4736" t="s">
        <v>9819</v>
      </c>
    </row>
    <row r="4737" spans="1:17" x14ac:dyDescent="0.3">
      <c r="A4737" t="s">
        <v>17</v>
      </c>
      <c r="B4737" t="str">
        <f>"600747"</f>
        <v>600747</v>
      </c>
      <c r="C4737" t="s">
        <v>9820</v>
      </c>
      <c r="G4737">
        <v>63973688</v>
      </c>
      <c r="H4737">
        <v>27803459</v>
      </c>
      <c r="I4737">
        <v>41781770</v>
      </c>
      <c r="J4737">
        <v>29223159</v>
      </c>
      <c r="K4737">
        <v>353230314</v>
      </c>
      <c r="L4737">
        <v>9892638</v>
      </c>
      <c r="M4737">
        <v>19440471</v>
      </c>
      <c r="N4737">
        <v>44141037</v>
      </c>
      <c r="O4737">
        <v>77848961</v>
      </c>
      <c r="P4737">
        <v>21</v>
      </c>
      <c r="Q4737" t="s">
        <v>9821</v>
      </c>
    </row>
    <row r="4738" spans="1:17" x14ac:dyDescent="0.3">
      <c r="A4738" t="s">
        <v>17</v>
      </c>
      <c r="B4738" t="str">
        <f>"600748"</f>
        <v>600748</v>
      </c>
      <c r="C4738" t="s">
        <v>9822</v>
      </c>
      <c r="D4738" t="s">
        <v>27</v>
      </c>
      <c r="F4738">
        <v>570405171</v>
      </c>
      <c r="G4738">
        <v>723625818</v>
      </c>
      <c r="H4738">
        <v>559617785</v>
      </c>
      <c r="I4738">
        <v>1611448633</v>
      </c>
      <c r="J4738">
        <v>218012726</v>
      </c>
      <c r="K4738">
        <v>176953249</v>
      </c>
      <c r="L4738">
        <v>967299</v>
      </c>
      <c r="M4738">
        <v>1579129</v>
      </c>
      <c r="N4738">
        <v>642567</v>
      </c>
      <c r="O4738">
        <v>648910</v>
      </c>
      <c r="P4738">
        <v>188</v>
      </c>
      <c r="Q4738" t="s">
        <v>9823</v>
      </c>
    </row>
    <row r="4739" spans="1:17" x14ac:dyDescent="0.3">
      <c r="A4739" t="s">
        <v>17</v>
      </c>
      <c r="B4739" t="str">
        <f>"600752"</f>
        <v>600752</v>
      </c>
      <c r="C4739" t="s">
        <v>9824</v>
      </c>
      <c r="J4739">
        <v>43620</v>
      </c>
      <c r="L4739">
        <v>198988.65</v>
      </c>
      <c r="M4739">
        <v>198988.65</v>
      </c>
      <c r="N4739">
        <v>198988.65</v>
      </c>
      <c r="O4739">
        <v>0</v>
      </c>
      <c r="P4739">
        <v>2</v>
      </c>
      <c r="Q4739" t="s">
        <v>9825</v>
      </c>
    </row>
    <row r="4740" spans="1:17" x14ac:dyDescent="0.3">
      <c r="A4740" t="s">
        <v>17</v>
      </c>
      <c r="B4740" t="str">
        <f>"600781"</f>
        <v>600781</v>
      </c>
      <c r="C4740" t="s">
        <v>9826</v>
      </c>
      <c r="D4740" t="s">
        <v>348</v>
      </c>
      <c r="F4740">
        <v>3755978391</v>
      </c>
      <c r="G4740">
        <v>3763627068</v>
      </c>
      <c r="H4740">
        <v>2942664675</v>
      </c>
      <c r="I4740">
        <v>2720004110</v>
      </c>
      <c r="J4740">
        <v>72794489</v>
      </c>
      <c r="K4740">
        <v>72444105</v>
      </c>
      <c r="L4740">
        <v>76675167</v>
      </c>
      <c r="M4740">
        <v>82234784</v>
      </c>
      <c r="N4740">
        <v>95271225</v>
      </c>
      <c r="O4740">
        <v>108017430</v>
      </c>
      <c r="P4740">
        <v>194</v>
      </c>
      <c r="Q4740" t="s">
        <v>9827</v>
      </c>
    </row>
    <row r="4741" spans="1:17" x14ac:dyDescent="0.3">
      <c r="A4741" t="s">
        <v>17</v>
      </c>
      <c r="B4741" t="str">
        <f>"600806"</f>
        <v>600806</v>
      </c>
      <c r="C4741" t="s">
        <v>9828</v>
      </c>
      <c r="I4741">
        <v>198224881</v>
      </c>
      <c r="J4741">
        <v>205228956</v>
      </c>
      <c r="K4741">
        <v>542378600.79999995</v>
      </c>
      <c r="L4741">
        <v>634624621.92999995</v>
      </c>
      <c r="M4741">
        <v>465130577.73000002</v>
      </c>
      <c r="N4741">
        <v>310841531.10000002</v>
      </c>
      <c r="O4741">
        <v>301796792.93000001</v>
      </c>
      <c r="P4741">
        <v>11</v>
      </c>
      <c r="Q4741" t="s">
        <v>9829</v>
      </c>
    </row>
    <row r="4742" spans="1:17" x14ac:dyDescent="0.3">
      <c r="A4742" t="s">
        <v>17</v>
      </c>
      <c r="B4742" t="str">
        <f>"600813"</f>
        <v>600813</v>
      </c>
      <c r="C4742" t="s">
        <v>9830</v>
      </c>
      <c r="J4742">
        <v>19403750</v>
      </c>
      <c r="K4742">
        <v>22219250</v>
      </c>
      <c r="L4742">
        <v>0</v>
      </c>
      <c r="M4742">
        <v>2051644.26</v>
      </c>
      <c r="N4742">
        <v>4424156.45</v>
      </c>
      <c r="O4742">
        <v>8292944.3399999999</v>
      </c>
      <c r="P4742">
        <v>2</v>
      </c>
      <c r="Q4742" t="s">
        <v>9831</v>
      </c>
    </row>
    <row r="4743" spans="1:17" x14ac:dyDescent="0.3">
      <c r="A4743" t="s">
        <v>17</v>
      </c>
      <c r="B4743" t="str">
        <f>"600832"</f>
        <v>600832</v>
      </c>
      <c r="C4743" t="s">
        <v>1188</v>
      </c>
      <c r="L4743">
        <v>578398619.20000005</v>
      </c>
      <c r="M4743">
        <v>341466364.50999999</v>
      </c>
      <c r="N4743">
        <v>225072855.16999999</v>
      </c>
      <c r="O4743">
        <v>287178361.45999998</v>
      </c>
      <c r="P4743">
        <v>15</v>
      </c>
      <c r="Q4743" t="s">
        <v>9832</v>
      </c>
    </row>
    <row r="4744" spans="1:17" x14ac:dyDescent="0.3">
      <c r="A4744" t="s">
        <v>17</v>
      </c>
      <c r="B4744" t="str">
        <f>"600849"</f>
        <v>600849</v>
      </c>
      <c r="C4744" t="s">
        <v>49</v>
      </c>
      <c r="J4744">
        <v>30916697300</v>
      </c>
      <c r="K4744">
        <v>27447839799.48</v>
      </c>
      <c r="L4744">
        <v>22802376868.619999</v>
      </c>
      <c r="M4744">
        <v>17682358638.389999</v>
      </c>
      <c r="N4744">
        <v>16069025666.059999</v>
      </c>
      <c r="O4744">
        <v>13149596468.059999</v>
      </c>
      <c r="P4744">
        <v>3</v>
      </c>
      <c r="Q4744" t="s">
        <v>9833</v>
      </c>
    </row>
    <row r="4745" spans="1:17" x14ac:dyDescent="0.3">
      <c r="A4745" t="s">
        <v>17</v>
      </c>
      <c r="B4745" t="str">
        <f>"600878"</f>
        <v>600878</v>
      </c>
      <c r="C4745" t="s">
        <v>9834</v>
      </c>
      <c r="J4745">
        <v>0</v>
      </c>
      <c r="K4745">
        <v>0</v>
      </c>
      <c r="P4745">
        <v>2</v>
      </c>
      <c r="Q4745" t="s">
        <v>9835</v>
      </c>
    </row>
    <row r="4746" spans="1:17" x14ac:dyDescent="0.3">
      <c r="A4746" t="s">
        <v>17</v>
      </c>
      <c r="B4746" t="str">
        <f>"600891"</f>
        <v>600891</v>
      </c>
      <c r="C4746" t="s">
        <v>9836</v>
      </c>
      <c r="F4746">
        <v>3974043</v>
      </c>
      <c r="G4746">
        <v>241475997</v>
      </c>
      <c r="H4746">
        <v>0</v>
      </c>
      <c r="I4746">
        <v>1900558790</v>
      </c>
      <c r="J4746">
        <v>441727994</v>
      </c>
      <c r="K4746">
        <v>357496095</v>
      </c>
      <c r="L4746">
        <v>2756093</v>
      </c>
      <c r="M4746">
        <v>2673051</v>
      </c>
      <c r="N4746">
        <v>3044268</v>
      </c>
      <c r="O4746">
        <v>18729</v>
      </c>
      <c r="P4746">
        <v>45</v>
      </c>
      <c r="Q4746" t="s">
        <v>9837</v>
      </c>
    </row>
    <row r="4747" spans="1:17" x14ac:dyDescent="0.3">
      <c r="A4747" t="s">
        <v>17</v>
      </c>
      <c r="B4747" t="str">
        <f>"600908"</f>
        <v>600908</v>
      </c>
      <c r="C4747" t="s">
        <v>9838</v>
      </c>
      <c r="D4747" t="s">
        <v>9839</v>
      </c>
      <c r="P4747">
        <v>897</v>
      </c>
      <c r="Q4747" t="s">
        <v>9840</v>
      </c>
    </row>
    <row r="4748" spans="1:17" x14ac:dyDescent="0.3">
      <c r="A4748" t="s">
        <v>17</v>
      </c>
      <c r="B4748" t="str">
        <f>"600919"</f>
        <v>600919</v>
      </c>
      <c r="C4748" t="s">
        <v>9841</v>
      </c>
      <c r="D4748" t="s">
        <v>9724</v>
      </c>
      <c r="P4748">
        <v>1465</v>
      </c>
      <c r="Q4748" t="s">
        <v>9842</v>
      </c>
    </row>
    <row r="4749" spans="1:17" x14ac:dyDescent="0.3">
      <c r="A4749" t="s">
        <v>17</v>
      </c>
      <c r="B4749" t="str">
        <f>"600926"</f>
        <v>600926</v>
      </c>
      <c r="C4749" t="s">
        <v>9843</v>
      </c>
      <c r="D4749" t="s">
        <v>9724</v>
      </c>
      <c r="P4749">
        <v>1141</v>
      </c>
      <c r="Q4749" t="s">
        <v>9844</v>
      </c>
    </row>
    <row r="4750" spans="1:17" x14ac:dyDescent="0.3">
      <c r="A4750" t="s">
        <v>17</v>
      </c>
      <c r="B4750" t="str">
        <f>"600928"</f>
        <v>600928</v>
      </c>
      <c r="C4750" t="s">
        <v>9845</v>
      </c>
      <c r="D4750" t="s">
        <v>9724</v>
      </c>
      <c r="P4750">
        <v>409</v>
      </c>
      <c r="Q4750" t="s">
        <v>9846</v>
      </c>
    </row>
    <row r="4751" spans="1:17" x14ac:dyDescent="0.3">
      <c r="A4751" t="s">
        <v>17</v>
      </c>
      <c r="B4751" t="str">
        <f>"600978"</f>
        <v>600978</v>
      </c>
      <c r="C4751" t="s">
        <v>9847</v>
      </c>
      <c r="G4751">
        <v>2317276287</v>
      </c>
      <c r="H4751">
        <v>2249793963</v>
      </c>
      <c r="I4751">
        <v>1587278777</v>
      </c>
      <c r="J4751">
        <v>1864940912</v>
      </c>
      <c r="K4751">
        <v>1210334407</v>
      </c>
      <c r="L4751">
        <v>1106815638</v>
      </c>
      <c r="M4751">
        <v>1020070591</v>
      </c>
      <c r="N4751">
        <v>990753704</v>
      </c>
      <c r="O4751">
        <v>739953937</v>
      </c>
      <c r="P4751">
        <v>167</v>
      </c>
      <c r="Q4751" t="s">
        <v>9848</v>
      </c>
    </row>
    <row r="4752" spans="1:17" x14ac:dyDescent="0.3">
      <c r="A4752" t="s">
        <v>17</v>
      </c>
      <c r="B4752" t="str">
        <f>"601009"</f>
        <v>601009</v>
      </c>
      <c r="C4752" t="s">
        <v>9849</v>
      </c>
      <c r="D4752" t="s">
        <v>9724</v>
      </c>
      <c r="P4752">
        <v>44247</v>
      </c>
      <c r="Q4752" t="s">
        <v>9850</v>
      </c>
    </row>
    <row r="4753" spans="1:17" x14ac:dyDescent="0.3">
      <c r="A4753" t="s">
        <v>17</v>
      </c>
      <c r="B4753" t="str">
        <f>"601077"</f>
        <v>601077</v>
      </c>
      <c r="C4753" t="s">
        <v>9851</v>
      </c>
      <c r="D4753" t="s">
        <v>9839</v>
      </c>
      <c r="P4753">
        <v>509</v>
      </c>
      <c r="Q4753" t="s">
        <v>9852</v>
      </c>
    </row>
    <row r="4754" spans="1:17" x14ac:dyDescent="0.3">
      <c r="A4754" t="s">
        <v>17</v>
      </c>
      <c r="B4754" t="str">
        <f>"601128"</f>
        <v>601128</v>
      </c>
      <c r="C4754" t="s">
        <v>9853</v>
      </c>
      <c r="D4754" t="s">
        <v>9839</v>
      </c>
      <c r="P4754">
        <v>939</v>
      </c>
      <c r="Q4754" t="s">
        <v>9854</v>
      </c>
    </row>
    <row r="4755" spans="1:17" x14ac:dyDescent="0.3">
      <c r="A4755" t="s">
        <v>17</v>
      </c>
      <c r="B4755" t="str">
        <f>"601166"</f>
        <v>601166</v>
      </c>
      <c r="C4755" t="s">
        <v>9855</v>
      </c>
      <c r="D4755" t="s">
        <v>9733</v>
      </c>
      <c r="P4755">
        <v>24372</v>
      </c>
      <c r="Q4755" t="s">
        <v>9856</v>
      </c>
    </row>
    <row r="4756" spans="1:17" x14ac:dyDescent="0.3">
      <c r="A4756" t="s">
        <v>17</v>
      </c>
      <c r="B4756" t="str">
        <f>"601169"</f>
        <v>601169</v>
      </c>
      <c r="C4756" t="s">
        <v>9857</v>
      </c>
      <c r="D4756" t="s">
        <v>9724</v>
      </c>
      <c r="P4756">
        <v>16385</v>
      </c>
      <c r="Q4756" t="s">
        <v>9858</v>
      </c>
    </row>
    <row r="4757" spans="1:17" x14ac:dyDescent="0.3">
      <c r="A4757" t="s">
        <v>17</v>
      </c>
      <c r="B4757" t="str">
        <f>"601187"</f>
        <v>601187</v>
      </c>
      <c r="C4757" t="s">
        <v>9859</v>
      </c>
      <c r="D4757" t="s">
        <v>9724</v>
      </c>
      <c r="P4757">
        <v>177</v>
      </c>
      <c r="Q4757" t="s">
        <v>9860</v>
      </c>
    </row>
    <row r="4758" spans="1:17" x14ac:dyDescent="0.3">
      <c r="A4758" t="s">
        <v>17</v>
      </c>
      <c r="B4758" t="str">
        <f>"601229"</f>
        <v>601229</v>
      </c>
      <c r="C4758" t="s">
        <v>9861</v>
      </c>
      <c r="D4758" t="s">
        <v>9724</v>
      </c>
      <c r="P4758">
        <v>1546</v>
      </c>
      <c r="Q4758" t="s">
        <v>9862</v>
      </c>
    </row>
    <row r="4759" spans="1:17" x14ac:dyDescent="0.3">
      <c r="A4759" t="s">
        <v>17</v>
      </c>
      <c r="B4759" t="str">
        <f>"601268"</f>
        <v>601268</v>
      </c>
      <c r="C4759" t="s">
        <v>9863</v>
      </c>
      <c r="J4759">
        <v>2263319575.5700002</v>
      </c>
      <c r="K4759">
        <v>2549131362.5900002</v>
      </c>
      <c r="L4759">
        <v>2752481242.3800001</v>
      </c>
      <c r="M4759">
        <v>3537121263.9499998</v>
      </c>
      <c r="N4759">
        <v>4196642336.96</v>
      </c>
      <c r="O4759">
        <v>3848142646.3600001</v>
      </c>
      <c r="P4759">
        <v>2</v>
      </c>
      <c r="Q4759" t="s">
        <v>9864</v>
      </c>
    </row>
    <row r="4760" spans="1:17" x14ac:dyDescent="0.3">
      <c r="A4760" t="s">
        <v>17</v>
      </c>
      <c r="B4760" t="str">
        <f>"601288"</f>
        <v>601288</v>
      </c>
      <c r="C4760" t="s">
        <v>9865</v>
      </c>
      <c r="D4760" t="s">
        <v>9866</v>
      </c>
      <c r="P4760">
        <v>9498</v>
      </c>
      <c r="Q4760" t="s">
        <v>9867</v>
      </c>
    </row>
    <row r="4761" spans="1:17" x14ac:dyDescent="0.3">
      <c r="A4761" t="s">
        <v>17</v>
      </c>
      <c r="B4761" t="str">
        <f>"601299"</f>
        <v>601299</v>
      </c>
      <c r="C4761" t="s">
        <v>9868</v>
      </c>
      <c r="L4761">
        <v>26012940000</v>
      </c>
      <c r="M4761">
        <v>32314360000</v>
      </c>
      <c r="N4761">
        <v>24881196000</v>
      </c>
      <c r="O4761">
        <v>17224930000</v>
      </c>
      <c r="P4761">
        <v>12</v>
      </c>
      <c r="Q4761" t="s">
        <v>9869</v>
      </c>
    </row>
    <row r="4762" spans="1:17" x14ac:dyDescent="0.3">
      <c r="A4762" t="s">
        <v>17</v>
      </c>
      <c r="B4762" t="str">
        <f>"601313"</f>
        <v>601313</v>
      </c>
      <c r="C4762" t="s">
        <v>9870</v>
      </c>
      <c r="I4762">
        <v>2017589000</v>
      </c>
      <c r="J4762">
        <v>786000028</v>
      </c>
      <c r="K4762">
        <v>738919999.40999997</v>
      </c>
      <c r="L4762">
        <v>698494839.15999997</v>
      </c>
      <c r="M4762">
        <v>495027971.76999998</v>
      </c>
      <c r="N4762">
        <v>457779241.85000002</v>
      </c>
      <c r="O4762">
        <v>358010191</v>
      </c>
      <c r="P4762">
        <v>53</v>
      </c>
      <c r="Q4762" t="s">
        <v>9871</v>
      </c>
    </row>
    <row r="4763" spans="1:17" x14ac:dyDescent="0.3">
      <c r="A4763" t="s">
        <v>17</v>
      </c>
      <c r="B4763" t="str">
        <f>"601328"</f>
        <v>601328</v>
      </c>
      <c r="C4763" t="s">
        <v>9872</v>
      </c>
      <c r="D4763" t="s">
        <v>9866</v>
      </c>
      <c r="P4763">
        <v>4577</v>
      </c>
      <c r="Q4763" t="s">
        <v>9873</v>
      </c>
    </row>
    <row r="4764" spans="1:17" x14ac:dyDescent="0.3">
      <c r="A4764" t="s">
        <v>17</v>
      </c>
      <c r="B4764" t="str">
        <f>"601398"</f>
        <v>601398</v>
      </c>
      <c r="C4764" t="s">
        <v>9874</v>
      </c>
      <c r="D4764" t="s">
        <v>9866</v>
      </c>
      <c r="P4764">
        <v>20387</v>
      </c>
      <c r="Q4764" t="s">
        <v>9875</v>
      </c>
    </row>
    <row r="4765" spans="1:17" x14ac:dyDescent="0.3">
      <c r="A4765" t="s">
        <v>17</v>
      </c>
      <c r="B4765" t="str">
        <f>"601528"</f>
        <v>601528</v>
      </c>
      <c r="C4765" t="s">
        <v>9876</v>
      </c>
      <c r="D4765" t="s">
        <v>9839</v>
      </c>
      <c r="P4765">
        <v>49</v>
      </c>
      <c r="Q4765" t="s">
        <v>9877</v>
      </c>
    </row>
    <row r="4766" spans="1:17" x14ac:dyDescent="0.3">
      <c r="A4766" t="s">
        <v>17</v>
      </c>
      <c r="B4766" t="str">
        <f>"601558"</f>
        <v>601558</v>
      </c>
      <c r="C4766" t="s">
        <v>9878</v>
      </c>
      <c r="G4766">
        <v>538355439</v>
      </c>
      <c r="H4766">
        <v>1451506911</v>
      </c>
      <c r="I4766">
        <v>2177600583</v>
      </c>
      <c r="J4766">
        <v>3804576780</v>
      </c>
      <c r="K4766">
        <v>4849631866</v>
      </c>
      <c r="L4766">
        <v>6358652144</v>
      </c>
      <c r="M4766">
        <v>9106221408</v>
      </c>
      <c r="N4766">
        <v>9195630732</v>
      </c>
      <c r="O4766">
        <v>11122270088</v>
      </c>
      <c r="P4766">
        <v>47</v>
      </c>
      <c r="Q4766" t="s">
        <v>9879</v>
      </c>
    </row>
    <row r="4767" spans="1:17" x14ac:dyDescent="0.3">
      <c r="A4767" t="s">
        <v>17</v>
      </c>
      <c r="B4767" t="str">
        <f>"601577"</f>
        <v>601577</v>
      </c>
      <c r="C4767" t="s">
        <v>9880</v>
      </c>
      <c r="D4767" t="s">
        <v>9724</v>
      </c>
      <c r="P4767">
        <v>927</v>
      </c>
      <c r="Q4767" t="s">
        <v>9881</v>
      </c>
    </row>
    <row r="4768" spans="1:17" x14ac:dyDescent="0.3">
      <c r="A4768" t="s">
        <v>17</v>
      </c>
      <c r="B4768" t="str">
        <f>"601658"</f>
        <v>601658</v>
      </c>
      <c r="C4768" t="s">
        <v>9882</v>
      </c>
      <c r="D4768" t="s">
        <v>9866</v>
      </c>
      <c r="P4768">
        <v>1193</v>
      </c>
      <c r="Q4768" t="s">
        <v>9883</v>
      </c>
    </row>
    <row r="4769" spans="1:17" x14ac:dyDescent="0.3">
      <c r="A4769" t="s">
        <v>17</v>
      </c>
      <c r="B4769" t="str">
        <f>"601665"</f>
        <v>601665</v>
      </c>
      <c r="C4769" t="s">
        <v>9884</v>
      </c>
      <c r="D4769" t="s">
        <v>9724</v>
      </c>
      <c r="P4769">
        <v>52</v>
      </c>
      <c r="Q4769" t="s">
        <v>9885</v>
      </c>
    </row>
    <row r="4770" spans="1:17" x14ac:dyDescent="0.3">
      <c r="A4770" t="s">
        <v>17</v>
      </c>
      <c r="B4770" t="str">
        <f>"601818"</f>
        <v>601818</v>
      </c>
      <c r="C4770" t="s">
        <v>9886</v>
      </c>
      <c r="D4770" t="s">
        <v>9733</v>
      </c>
      <c r="P4770">
        <v>15856</v>
      </c>
      <c r="Q4770" t="s">
        <v>9887</v>
      </c>
    </row>
    <row r="4771" spans="1:17" x14ac:dyDescent="0.3">
      <c r="A4771" t="s">
        <v>17</v>
      </c>
      <c r="B4771" t="str">
        <f>"601825"</f>
        <v>601825</v>
      </c>
      <c r="C4771" t="s">
        <v>9888</v>
      </c>
      <c r="D4771" t="s">
        <v>9839</v>
      </c>
      <c r="P4771">
        <v>57</v>
      </c>
      <c r="Q4771" t="s">
        <v>9889</v>
      </c>
    </row>
    <row r="4772" spans="1:17" x14ac:dyDescent="0.3">
      <c r="A4772" t="s">
        <v>17</v>
      </c>
      <c r="B4772" t="str">
        <f>"601838"</f>
        <v>601838</v>
      </c>
      <c r="C4772" t="s">
        <v>9890</v>
      </c>
      <c r="D4772" t="s">
        <v>9724</v>
      </c>
      <c r="P4772">
        <v>1326</v>
      </c>
      <c r="Q4772" t="s">
        <v>9891</v>
      </c>
    </row>
    <row r="4773" spans="1:17" x14ac:dyDescent="0.3">
      <c r="A4773" t="s">
        <v>17</v>
      </c>
      <c r="B4773" t="str">
        <f>"601860"</f>
        <v>601860</v>
      </c>
      <c r="C4773" t="s">
        <v>9892</v>
      </c>
      <c r="D4773" t="s">
        <v>9839</v>
      </c>
      <c r="P4773">
        <v>332</v>
      </c>
      <c r="Q4773" t="s">
        <v>9893</v>
      </c>
    </row>
    <row r="4774" spans="1:17" x14ac:dyDescent="0.3">
      <c r="A4774" t="s">
        <v>17</v>
      </c>
      <c r="B4774" t="str">
        <f>"601916"</f>
        <v>601916</v>
      </c>
      <c r="C4774" t="s">
        <v>9894</v>
      </c>
      <c r="D4774" t="s">
        <v>9733</v>
      </c>
      <c r="P4774">
        <v>537</v>
      </c>
      <c r="Q4774" t="s">
        <v>9895</v>
      </c>
    </row>
    <row r="4775" spans="1:17" x14ac:dyDescent="0.3">
      <c r="A4775" t="s">
        <v>17</v>
      </c>
      <c r="B4775" t="str">
        <f>"601939"</f>
        <v>601939</v>
      </c>
      <c r="C4775" t="s">
        <v>9896</v>
      </c>
      <c r="D4775" t="s">
        <v>9866</v>
      </c>
      <c r="P4775">
        <v>19332</v>
      </c>
      <c r="Q4775" t="s">
        <v>9897</v>
      </c>
    </row>
    <row r="4776" spans="1:17" x14ac:dyDescent="0.3">
      <c r="A4776" t="s">
        <v>17</v>
      </c>
      <c r="B4776" t="str">
        <f>"601963"</f>
        <v>601963</v>
      </c>
      <c r="C4776" t="s">
        <v>9898</v>
      </c>
      <c r="D4776" t="s">
        <v>9724</v>
      </c>
      <c r="P4776">
        <v>149</v>
      </c>
      <c r="Q4776" t="s">
        <v>9899</v>
      </c>
    </row>
    <row r="4777" spans="1:17" x14ac:dyDescent="0.3">
      <c r="A4777" t="s">
        <v>17</v>
      </c>
      <c r="B4777" t="str">
        <f>"601988"</f>
        <v>601988</v>
      </c>
      <c r="C4777" t="s">
        <v>9900</v>
      </c>
      <c r="D4777" t="s">
        <v>9866</v>
      </c>
      <c r="P4777">
        <v>4259</v>
      </c>
      <c r="Q4777" t="s">
        <v>9901</v>
      </c>
    </row>
    <row r="4778" spans="1:17" x14ac:dyDescent="0.3">
      <c r="A4778" t="s">
        <v>17</v>
      </c>
      <c r="B4778" t="str">
        <f>"601997"</f>
        <v>601997</v>
      </c>
      <c r="C4778" t="s">
        <v>9902</v>
      </c>
      <c r="D4778" t="s">
        <v>9724</v>
      </c>
      <c r="P4778">
        <v>2050</v>
      </c>
      <c r="Q4778" t="s">
        <v>9903</v>
      </c>
    </row>
    <row r="4779" spans="1:17" x14ac:dyDescent="0.3">
      <c r="A4779" t="s">
        <v>17</v>
      </c>
      <c r="B4779" t="str">
        <f>"601998"</f>
        <v>601998</v>
      </c>
      <c r="C4779" t="s">
        <v>9904</v>
      </c>
      <c r="D4779" t="s">
        <v>9733</v>
      </c>
      <c r="P4779">
        <v>1903</v>
      </c>
      <c r="Q4779" t="s">
        <v>9905</v>
      </c>
    </row>
    <row r="4780" spans="1:17" x14ac:dyDescent="0.3">
      <c r="A4780" t="s">
        <v>17</v>
      </c>
      <c r="B4780" t="str">
        <f>"603323"</f>
        <v>603323</v>
      </c>
      <c r="C4780" t="s">
        <v>9906</v>
      </c>
      <c r="D4780" t="s">
        <v>9839</v>
      </c>
      <c r="P4780">
        <v>498</v>
      </c>
      <c r="Q4780" t="s">
        <v>9907</v>
      </c>
    </row>
    <row r="4781" spans="1:17" x14ac:dyDescent="0.3">
      <c r="A4781" t="s">
        <v>17</v>
      </c>
      <c r="B4781" t="str">
        <f>"603393"</f>
        <v>603393</v>
      </c>
      <c r="C4781" t="s">
        <v>9908</v>
      </c>
      <c r="D4781" t="s">
        <v>469</v>
      </c>
      <c r="F4781">
        <v>747065118</v>
      </c>
      <c r="G4781">
        <v>607701325</v>
      </c>
      <c r="H4781">
        <v>264247234</v>
      </c>
      <c r="I4781">
        <v>79906831</v>
      </c>
      <c r="J4781">
        <v>42177593</v>
      </c>
      <c r="P4781">
        <v>498</v>
      </c>
      <c r="Q4781" t="s">
        <v>9909</v>
      </c>
    </row>
    <row r="4782" spans="1:17" x14ac:dyDescent="0.3">
      <c r="A4782" t="s">
        <v>17</v>
      </c>
      <c r="B4782" t="str">
        <f>"688213"</f>
        <v>688213</v>
      </c>
      <c r="C4782" t="s">
        <v>9910</v>
      </c>
      <c r="F4782">
        <v>104604955</v>
      </c>
      <c r="Q4782" t="s">
        <v>9911</v>
      </c>
    </row>
    <row r="4783" spans="1:17" x14ac:dyDescent="0.3">
      <c r="A4783" t="s">
        <v>17</v>
      </c>
      <c r="B4783" t="str">
        <f>"688981"</f>
        <v>688981</v>
      </c>
      <c r="C4783" t="s">
        <v>9912</v>
      </c>
      <c r="D4783" t="s">
        <v>2401</v>
      </c>
      <c r="F4783">
        <v>3595105000</v>
      </c>
      <c r="G4783">
        <v>3816242996</v>
      </c>
      <c r="H4783">
        <v>0</v>
      </c>
      <c r="P4783">
        <v>1041</v>
      </c>
      <c r="Q4783" t="s">
        <v>9913</v>
      </c>
    </row>
    <row r="4784" spans="1:17" x14ac:dyDescent="0.3">
      <c r="A4784" t="s">
        <v>17</v>
      </c>
      <c r="B4784" t="str">
        <f>"900901"</f>
        <v>900901</v>
      </c>
      <c r="C4784" t="s">
        <v>9914</v>
      </c>
      <c r="F4784">
        <v>147513597.8856</v>
      </c>
      <c r="G4784">
        <v>130606364.3761</v>
      </c>
      <c r="H4784">
        <v>163105041.641</v>
      </c>
      <c r="I4784">
        <v>207539069.8642</v>
      </c>
      <c r="J4784">
        <v>133274949.3504</v>
      </c>
      <c r="K4784">
        <v>116911988.4866</v>
      </c>
      <c r="L4784">
        <v>47684058.7751</v>
      </c>
      <c r="M4784">
        <v>34668234.780000001</v>
      </c>
      <c r="N4784">
        <v>38074202.851999998</v>
      </c>
      <c r="O4784">
        <v>30248575.424400002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"900902"</f>
        <v>900902</v>
      </c>
      <c r="C4785" t="s">
        <v>9916</v>
      </c>
      <c r="F4785">
        <v>14002791.958799999</v>
      </c>
      <c r="G4785">
        <v>92232377.038200006</v>
      </c>
      <c r="H4785">
        <v>8868886.9189999998</v>
      </c>
      <c r="I4785">
        <v>9402783.4776000008</v>
      </c>
      <c r="J4785">
        <v>6876783.0779999997</v>
      </c>
      <c r="K4785">
        <v>36168654.629799999</v>
      </c>
      <c r="L4785">
        <v>1855581.8121</v>
      </c>
      <c r="M4785">
        <v>2409977.94</v>
      </c>
      <c r="N4785">
        <v>13249084.611</v>
      </c>
      <c r="O4785">
        <v>15633765.514</v>
      </c>
      <c r="P4785">
        <v>10</v>
      </c>
      <c r="Q4785" t="s">
        <v>9917</v>
      </c>
    </row>
    <row r="4786" spans="1:17" x14ac:dyDescent="0.3">
      <c r="A4786" t="s">
        <v>17</v>
      </c>
      <c r="B4786" t="str">
        <f>"900903"</f>
        <v>900903</v>
      </c>
      <c r="C4786" t="s">
        <v>9918</v>
      </c>
      <c r="F4786">
        <v>21561939.400800001</v>
      </c>
      <c r="G4786">
        <v>23259277.374499999</v>
      </c>
      <c r="H4786">
        <v>20529542.436000001</v>
      </c>
      <c r="I4786">
        <v>36485317.373800002</v>
      </c>
      <c r="J4786">
        <v>17446738.32</v>
      </c>
      <c r="K4786">
        <v>21335598.5414</v>
      </c>
      <c r="L4786">
        <v>27432111.795699999</v>
      </c>
      <c r="M4786">
        <v>23585335.819200002</v>
      </c>
      <c r="N4786">
        <v>25563987.491</v>
      </c>
      <c r="O4786">
        <v>19476990.233600002</v>
      </c>
      <c r="P4786">
        <v>32</v>
      </c>
      <c r="Q4786" t="s">
        <v>9919</v>
      </c>
    </row>
    <row r="4787" spans="1:17" x14ac:dyDescent="0.3">
      <c r="A4787" t="s">
        <v>17</v>
      </c>
      <c r="B4787" t="str">
        <f>"900904"</f>
        <v>900904</v>
      </c>
      <c r="C4787" t="s">
        <v>9920</v>
      </c>
      <c r="F4787">
        <v>79210437.514799997</v>
      </c>
      <c r="G4787">
        <v>105504439.4765</v>
      </c>
      <c r="H4787">
        <v>134592190.95500001</v>
      </c>
      <c r="I4787">
        <v>135922490.456</v>
      </c>
      <c r="J4787">
        <v>127275926.2632</v>
      </c>
      <c r="K4787">
        <v>102346972.90719999</v>
      </c>
      <c r="L4787">
        <v>91079797.524499997</v>
      </c>
      <c r="M4787">
        <v>61540259.404799998</v>
      </c>
      <c r="N4787">
        <v>11074382.263</v>
      </c>
      <c r="O4787">
        <v>7677643.3439999996</v>
      </c>
      <c r="P4787">
        <v>8</v>
      </c>
      <c r="Q4787" t="s">
        <v>9921</v>
      </c>
    </row>
    <row r="4788" spans="1:17" x14ac:dyDescent="0.3">
      <c r="A4788" t="s">
        <v>17</v>
      </c>
      <c r="B4788" t="str">
        <f>"900905"</f>
        <v>900905</v>
      </c>
      <c r="C4788" t="s">
        <v>9922</v>
      </c>
      <c r="F4788">
        <v>124036566.70919999</v>
      </c>
      <c r="G4788">
        <v>213561666.96990001</v>
      </c>
      <c r="H4788">
        <v>117527671.08400001</v>
      </c>
      <c r="I4788">
        <v>136739091.55520001</v>
      </c>
      <c r="J4788">
        <v>108634698.546</v>
      </c>
      <c r="K4788">
        <v>103603943.4999</v>
      </c>
      <c r="L4788">
        <v>92875091.687299997</v>
      </c>
      <c r="M4788">
        <v>66664913.918399997</v>
      </c>
      <c r="N4788">
        <v>83416973.366999999</v>
      </c>
      <c r="O4788">
        <v>91298402.200800002</v>
      </c>
      <c r="P4788">
        <v>473</v>
      </c>
      <c r="Q4788" t="s">
        <v>9923</v>
      </c>
    </row>
    <row r="4789" spans="1:17" x14ac:dyDescent="0.3">
      <c r="A4789" t="s">
        <v>17</v>
      </c>
      <c r="B4789" t="str">
        <f>"900906"</f>
        <v>900906</v>
      </c>
      <c r="C4789" t="s">
        <v>9924</v>
      </c>
      <c r="F4789">
        <v>5583095.2092000004</v>
      </c>
      <c r="G4789">
        <v>5191725.6604000004</v>
      </c>
      <c r="H4789">
        <v>0</v>
      </c>
      <c r="I4789">
        <v>2916687.9698000001</v>
      </c>
      <c r="J4789">
        <v>43897760.609999999</v>
      </c>
      <c r="K4789">
        <v>1522089.9975000001</v>
      </c>
      <c r="L4789">
        <v>2108681.8358999998</v>
      </c>
      <c r="M4789">
        <v>465279.30239999999</v>
      </c>
      <c r="N4789">
        <v>1682497.334</v>
      </c>
      <c r="O4789">
        <v>1098068.9696</v>
      </c>
      <c r="P4789">
        <v>4</v>
      </c>
      <c r="Q4789" t="s">
        <v>9925</v>
      </c>
    </row>
    <row r="4790" spans="1:17" x14ac:dyDescent="0.3">
      <c r="A4790" t="s">
        <v>17</v>
      </c>
      <c r="B4790" t="str">
        <f>"900907"</f>
        <v>900907</v>
      </c>
      <c r="C4790" t="s">
        <v>9926</v>
      </c>
      <c r="F4790">
        <v>51613021.945200004</v>
      </c>
      <c r="G4790">
        <v>77417836.872799993</v>
      </c>
      <c r="H4790">
        <v>80886613.075000003</v>
      </c>
      <c r="I4790">
        <v>47728586.809799999</v>
      </c>
      <c r="J4790">
        <v>36960399.075599998</v>
      </c>
      <c r="K4790">
        <v>28242866.657499999</v>
      </c>
      <c r="L4790">
        <v>24055619.2183</v>
      </c>
      <c r="M4790">
        <v>32002935.8664</v>
      </c>
      <c r="N4790">
        <v>31188513.475000001</v>
      </c>
      <c r="O4790">
        <v>28959188.5024</v>
      </c>
      <c r="P4790">
        <v>4</v>
      </c>
      <c r="Q4790" t="s">
        <v>9927</v>
      </c>
    </row>
    <row r="4791" spans="1:17" x14ac:dyDescent="0.3">
      <c r="A4791" t="s">
        <v>17</v>
      </c>
      <c r="B4791" t="str">
        <f>"900908"</f>
        <v>900908</v>
      </c>
      <c r="C4791" t="s">
        <v>9928</v>
      </c>
      <c r="F4791">
        <v>29223469.924800001</v>
      </c>
      <c r="G4791">
        <v>38598757.343000002</v>
      </c>
      <c r="H4791">
        <v>31422124.260000002</v>
      </c>
      <c r="I4791">
        <v>38700790.397600003</v>
      </c>
      <c r="J4791">
        <v>47499558.704400003</v>
      </c>
      <c r="K4791">
        <v>48244524.7962</v>
      </c>
      <c r="L4791">
        <v>60671806.218999997</v>
      </c>
      <c r="M4791">
        <v>37675397.227200001</v>
      </c>
      <c r="N4791">
        <v>51111220.516999997</v>
      </c>
      <c r="O4791">
        <v>38191689.651199996</v>
      </c>
      <c r="P4791">
        <v>50</v>
      </c>
      <c r="Q4791" t="s">
        <v>9929</v>
      </c>
    </row>
    <row r="4792" spans="1:17" x14ac:dyDescent="0.3">
      <c r="A4792" t="s">
        <v>17</v>
      </c>
      <c r="B4792" t="str">
        <f>"900909"</f>
        <v>900909</v>
      </c>
      <c r="C4792" t="s">
        <v>9930</v>
      </c>
      <c r="F4792">
        <v>396843469.8624</v>
      </c>
      <c r="G4792">
        <v>335719913.45120001</v>
      </c>
      <c r="H4792">
        <v>382500097.89899999</v>
      </c>
      <c r="I4792">
        <v>354302277.32999998</v>
      </c>
      <c r="J4792">
        <v>388460450.61119998</v>
      </c>
      <c r="K4792">
        <v>344154350.89399999</v>
      </c>
      <c r="L4792">
        <v>293197808.0711</v>
      </c>
      <c r="M4792">
        <v>219762979.83840001</v>
      </c>
      <c r="N4792">
        <v>199358551.553</v>
      </c>
      <c r="O4792">
        <v>170908989.58039999</v>
      </c>
      <c r="P4792">
        <v>24</v>
      </c>
      <c r="Q4792" t="s">
        <v>9931</v>
      </c>
    </row>
    <row r="4793" spans="1:17" x14ac:dyDescent="0.3">
      <c r="A4793" t="s">
        <v>17</v>
      </c>
      <c r="B4793" t="str">
        <f>"900910"</f>
        <v>900910</v>
      </c>
      <c r="C4793" t="s">
        <v>9932</v>
      </c>
      <c r="F4793">
        <v>606172732.48319995</v>
      </c>
      <c r="G4793">
        <v>474607457.50199997</v>
      </c>
      <c r="H4793">
        <v>540984209.245</v>
      </c>
      <c r="I4793">
        <v>455841809.05159998</v>
      </c>
      <c r="J4793">
        <v>350589587.27759999</v>
      </c>
      <c r="K4793">
        <v>303316578.55790001</v>
      </c>
      <c r="L4793">
        <v>296947778.53969997</v>
      </c>
      <c r="M4793">
        <v>294297441.25440001</v>
      </c>
      <c r="N4793">
        <v>312175947.11799997</v>
      </c>
      <c r="O4793">
        <v>235578718.7308</v>
      </c>
      <c r="P4793">
        <v>13</v>
      </c>
      <c r="Q4793" t="s">
        <v>9933</v>
      </c>
    </row>
    <row r="4794" spans="1:17" x14ac:dyDescent="0.3">
      <c r="A4794" t="s">
        <v>17</v>
      </c>
      <c r="B4794" t="str">
        <f>"900911"</f>
        <v>900911</v>
      </c>
      <c r="C4794" t="s">
        <v>9934</v>
      </c>
      <c r="F4794">
        <v>27875703.456</v>
      </c>
      <c r="G4794">
        <v>32693241.995200001</v>
      </c>
      <c r="H4794">
        <v>32802912.177000001</v>
      </c>
      <c r="I4794">
        <v>46563624.821199998</v>
      </c>
      <c r="J4794">
        <v>16401016.1964</v>
      </c>
      <c r="K4794">
        <v>12590667.4597</v>
      </c>
      <c r="L4794">
        <v>22819475.215399999</v>
      </c>
      <c r="M4794">
        <v>4332059.7359999996</v>
      </c>
      <c r="N4794">
        <v>14355384.518999999</v>
      </c>
      <c r="O4794">
        <v>25245828.9936</v>
      </c>
      <c r="P4794">
        <v>73</v>
      </c>
      <c r="Q4794" t="s">
        <v>9935</v>
      </c>
    </row>
    <row r="4795" spans="1:17" x14ac:dyDescent="0.3">
      <c r="A4795" t="s">
        <v>17</v>
      </c>
      <c r="B4795" t="str">
        <f>"900912"</f>
        <v>900912</v>
      </c>
      <c r="C4795" t="s">
        <v>9936</v>
      </c>
      <c r="F4795">
        <v>89818852.010399997</v>
      </c>
      <c r="G4795">
        <v>93422260.024200007</v>
      </c>
      <c r="H4795">
        <v>99078629.207000002</v>
      </c>
      <c r="I4795">
        <v>91814630.970599994</v>
      </c>
      <c r="J4795">
        <v>90972037.371600002</v>
      </c>
      <c r="K4795">
        <v>43834613.9617</v>
      </c>
      <c r="L4795">
        <v>29698452.929299999</v>
      </c>
      <c r="M4795">
        <v>31799251.953600001</v>
      </c>
      <c r="N4795">
        <v>41761241.472999997</v>
      </c>
      <c r="O4795">
        <v>38330676.333999999</v>
      </c>
      <c r="P4795">
        <v>18</v>
      </c>
      <c r="Q4795" t="s">
        <v>9937</v>
      </c>
    </row>
    <row r="4796" spans="1:17" x14ac:dyDescent="0.3">
      <c r="A4796" t="s">
        <v>17</v>
      </c>
      <c r="B4796" t="str">
        <f>"900913"</f>
        <v>900913</v>
      </c>
      <c r="C4796" t="s">
        <v>9938</v>
      </c>
      <c r="F4796">
        <v>251336732.32679999</v>
      </c>
      <c r="G4796">
        <v>303710022.28600001</v>
      </c>
      <c r="H4796">
        <v>234886316.866</v>
      </c>
      <c r="I4796">
        <v>147865932.84020001</v>
      </c>
      <c r="J4796">
        <v>105345996.954</v>
      </c>
      <c r="K4796">
        <v>120481477.4438</v>
      </c>
      <c r="L4796">
        <v>78128999.394199997</v>
      </c>
      <c r="M4796">
        <v>64147150.130400002</v>
      </c>
      <c r="N4796">
        <v>0</v>
      </c>
      <c r="O4796">
        <v>0</v>
      </c>
      <c r="P4796">
        <v>7</v>
      </c>
      <c r="Q4796" t="s">
        <v>9939</v>
      </c>
    </row>
    <row r="4797" spans="1:17" x14ac:dyDescent="0.3">
      <c r="A4797" t="s">
        <v>17</v>
      </c>
      <c r="B4797" t="str">
        <f>"900914"</f>
        <v>900914</v>
      </c>
      <c r="C4797" t="s">
        <v>9940</v>
      </c>
      <c r="F4797">
        <v>24295571.271600001</v>
      </c>
      <c r="G4797">
        <v>25172981.036400001</v>
      </c>
      <c r="H4797">
        <v>21110929.112</v>
      </c>
      <c r="I4797">
        <v>22287771.057</v>
      </c>
      <c r="J4797">
        <v>14326688.706</v>
      </c>
      <c r="K4797">
        <v>12997243.713099999</v>
      </c>
      <c r="L4797">
        <v>13979426.4572</v>
      </c>
      <c r="M4797">
        <v>13462948.483200001</v>
      </c>
      <c r="N4797">
        <v>11302196.297</v>
      </c>
      <c r="O4797">
        <v>9164114.2464000005</v>
      </c>
      <c r="P4797">
        <v>20</v>
      </c>
      <c r="Q4797" t="s">
        <v>9941</v>
      </c>
    </row>
    <row r="4798" spans="1:17" x14ac:dyDescent="0.3">
      <c r="A4798" t="s">
        <v>17</v>
      </c>
      <c r="B4798" t="str">
        <f>"900915"</f>
        <v>900915</v>
      </c>
      <c r="C4798" t="s">
        <v>9942</v>
      </c>
      <c r="F4798">
        <v>5438946.1452000001</v>
      </c>
      <c r="G4798">
        <v>4276130.2468999997</v>
      </c>
      <c r="H4798">
        <v>5565796.8090000004</v>
      </c>
      <c r="I4798">
        <v>9697844.1950000003</v>
      </c>
      <c r="J4798">
        <v>7637194.7520000003</v>
      </c>
      <c r="K4798">
        <v>10463496.394099999</v>
      </c>
      <c r="L4798">
        <v>8553753.5170000009</v>
      </c>
      <c r="M4798">
        <v>7526120.3448000001</v>
      </c>
      <c r="N4798">
        <v>7230816.7050000001</v>
      </c>
      <c r="O4798">
        <v>5426018.6204000004</v>
      </c>
      <c r="P4798">
        <v>6</v>
      </c>
      <c r="Q4798" t="s">
        <v>9943</v>
      </c>
    </row>
    <row r="4799" spans="1:17" x14ac:dyDescent="0.3">
      <c r="A4799" t="s">
        <v>17</v>
      </c>
      <c r="B4799" t="str">
        <f>"900916"</f>
        <v>900916</v>
      </c>
      <c r="C4799" t="s">
        <v>9944</v>
      </c>
      <c r="F4799">
        <v>65562792.8772</v>
      </c>
      <c r="G4799">
        <v>32150720.652899999</v>
      </c>
      <c r="H4799">
        <v>26165593.787999999</v>
      </c>
      <c r="I4799">
        <v>31128884.246399999</v>
      </c>
      <c r="J4799">
        <v>25742138.320799999</v>
      </c>
      <c r="K4799">
        <v>6299487.7605999997</v>
      </c>
      <c r="L4799">
        <v>10282139.310699999</v>
      </c>
      <c r="M4799">
        <v>11615336.383199999</v>
      </c>
      <c r="N4799">
        <v>14541896.901000001</v>
      </c>
      <c r="O4799">
        <v>8951490.5744000003</v>
      </c>
      <c r="P4799">
        <v>7</v>
      </c>
      <c r="Q4799" t="s">
        <v>9945</v>
      </c>
    </row>
    <row r="4800" spans="1:17" x14ac:dyDescent="0.3">
      <c r="A4800" t="s">
        <v>17</v>
      </c>
      <c r="B4800" t="str">
        <f>"900917"</f>
        <v>900917</v>
      </c>
      <c r="C4800" t="s">
        <v>9946</v>
      </c>
      <c r="F4800">
        <v>20359206.677999999</v>
      </c>
      <c r="G4800">
        <v>21480198.722199999</v>
      </c>
      <c r="H4800">
        <v>27171598.131000001</v>
      </c>
      <c r="I4800">
        <v>28305573.593600001</v>
      </c>
      <c r="J4800">
        <v>28940243.534400001</v>
      </c>
      <c r="K4800">
        <v>34398669.952600002</v>
      </c>
      <c r="L4800">
        <v>35647356.132399999</v>
      </c>
      <c r="M4800">
        <v>44814824.767200001</v>
      </c>
      <c r="N4800">
        <v>40031027.924999997</v>
      </c>
      <c r="O4800">
        <v>34186147.670400001</v>
      </c>
      <c r="P4800">
        <v>12</v>
      </c>
      <c r="Q4800" t="s">
        <v>9947</v>
      </c>
    </row>
    <row r="4801" spans="1:17" x14ac:dyDescent="0.3">
      <c r="A4801" t="s">
        <v>17</v>
      </c>
      <c r="B4801" t="str">
        <f>"900918"</f>
        <v>900918</v>
      </c>
      <c r="C4801" t="s">
        <v>9948</v>
      </c>
      <c r="F4801">
        <v>99406920.007200003</v>
      </c>
      <c r="G4801">
        <v>71370990.396200001</v>
      </c>
      <c r="H4801">
        <v>110099570.65700001</v>
      </c>
      <c r="I4801">
        <v>95858609.927000001</v>
      </c>
      <c r="J4801">
        <v>84542516.031599998</v>
      </c>
      <c r="K4801">
        <v>91790027.511700004</v>
      </c>
      <c r="L4801">
        <v>86273044.943100005</v>
      </c>
      <c r="M4801">
        <v>80896230.086400002</v>
      </c>
      <c r="N4801">
        <v>81187188.410999998</v>
      </c>
      <c r="O4801">
        <v>59778747.588799998</v>
      </c>
      <c r="P4801">
        <v>10</v>
      </c>
      <c r="Q4801" t="s">
        <v>9949</v>
      </c>
    </row>
    <row r="4802" spans="1:17" x14ac:dyDescent="0.3">
      <c r="A4802" t="s">
        <v>17</v>
      </c>
      <c r="B4802" t="str">
        <f>"900919"</f>
        <v>900919</v>
      </c>
      <c r="C4802" t="s">
        <v>9950</v>
      </c>
      <c r="F4802">
        <v>341298.27600000001</v>
      </c>
      <c r="G4802">
        <v>819292.31270000001</v>
      </c>
      <c r="H4802">
        <v>383862.59100000001</v>
      </c>
      <c r="I4802">
        <v>15397.402400000001</v>
      </c>
      <c r="J4802">
        <v>0</v>
      </c>
      <c r="K4802">
        <v>5680700.5208999999</v>
      </c>
      <c r="L4802">
        <v>10925153.534399999</v>
      </c>
      <c r="M4802">
        <v>4583910.6456000004</v>
      </c>
      <c r="N4802">
        <v>5571836.6409999998</v>
      </c>
      <c r="O4802">
        <v>7303060.1871999996</v>
      </c>
      <c r="P4802">
        <v>5</v>
      </c>
      <c r="Q4802" t="s">
        <v>9951</v>
      </c>
    </row>
    <row r="4803" spans="1:17" x14ac:dyDescent="0.3">
      <c r="A4803" t="s">
        <v>17</v>
      </c>
      <c r="B4803" t="str">
        <f>"900920"</f>
        <v>900920</v>
      </c>
      <c r="C4803" t="s">
        <v>9952</v>
      </c>
      <c r="F4803">
        <v>245793292.51199999</v>
      </c>
      <c r="G4803">
        <v>148754447.8725</v>
      </c>
      <c r="H4803">
        <v>123724112.03200001</v>
      </c>
      <c r="I4803">
        <v>151601625.66119999</v>
      </c>
      <c r="J4803">
        <v>103261075.5264</v>
      </c>
      <c r="K4803">
        <v>85655204.492200002</v>
      </c>
      <c r="L4803">
        <v>84986472.753399998</v>
      </c>
      <c r="M4803">
        <v>102744286.404</v>
      </c>
      <c r="N4803">
        <v>85706024.998999998</v>
      </c>
      <c r="O4803">
        <v>104951542.6548</v>
      </c>
      <c r="P4803">
        <v>12</v>
      </c>
      <c r="Q4803" t="s">
        <v>9953</v>
      </c>
    </row>
    <row r="4804" spans="1:17" x14ac:dyDescent="0.3">
      <c r="A4804" t="s">
        <v>17</v>
      </c>
      <c r="B4804" t="str">
        <f>"900921"</f>
        <v>900921</v>
      </c>
      <c r="C4804" t="s">
        <v>9954</v>
      </c>
      <c r="F4804">
        <v>8120510.2511999998</v>
      </c>
      <c r="G4804">
        <v>7178371.3702999996</v>
      </c>
      <c r="H4804">
        <v>9500640.3629999999</v>
      </c>
      <c r="I4804">
        <v>3922350.0616000001</v>
      </c>
      <c r="J4804">
        <v>5049983.8355999999</v>
      </c>
      <c r="K4804">
        <v>4076257.4737</v>
      </c>
      <c r="L4804">
        <v>841938.41650000005</v>
      </c>
      <c r="M4804">
        <v>1912408.5504000001</v>
      </c>
      <c r="N4804">
        <v>1889035.862</v>
      </c>
      <c r="O4804">
        <v>2847421.3620000002</v>
      </c>
      <c r="P4804">
        <v>6</v>
      </c>
      <c r="Q4804" t="s">
        <v>9955</v>
      </c>
    </row>
    <row r="4805" spans="1:17" x14ac:dyDescent="0.3">
      <c r="A4805" t="s">
        <v>17</v>
      </c>
      <c r="B4805" t="str">
        <f>"900922"</f>
        <v>900922</v>
      </c>
      <c r="C4805" t="s">
        <v>9956</v>
      </c>
      <c r="F4805">
        <v>4605683.4479999999</v>
      </c>
      <c r="G4805">
        <v>6512259.7119000005</v>
      </c>
      <c r="H4805">
        <v>9500719.7799999993</v>
      </c>
      <c r="I4805">
        <v>11711543.9168</v>
      </c>
      <c r="J4805">
        <v>7925647.0392000005</v>
      </c>
      <c r="K4805">
        <v>10125429.9323</v>
      </c>
      <c r="L4805">
        <v>8828501.7751000002</v>
      </c>
      <c r="M4805">
        <v>7160062.8432</v>
      </c>
      <c r="N4805">
        <v>24496775.646000002</v>
      </c>
      <c r="O4805">
        <v>36620983.765199997</v>
      </c>
      <c r="P4805">
        <v>9</v>
      </c>
      <c r="Q4805" t="s">
        <v>9957</v>
      </c>
    </row>
    <row r="4806" spans="1:17" x14ac:dyDescent="0.3">
      <c r="A4806" t="s">
        <v>17</v>
      </c>
      <c r="B4806" t="str">
        <f>"900923"</f>
        <v>900923</v>
      </c>
      <c r="C4806" t="s">
        <v>9958</v>
      </c>
      <c r="F4806">
        <v>74660737.597200006</v>
      </c>
      <c r="G4806">
        <v>70649192.211799994</v>
      </c>
      <c r="H4806">
        <v>73072330.424999997</v>
      </c>
      <c r="I4806">
        <v>58034685.145999998</v>
      </c>
      <c r="J4806">
        <v>46290466.8336</v>
      </c>
      <c r="K4806">
        <v>34155402.290799998</v>
      </c>
      <c r="L4806">
        <v>39307611.541000001</v>
      </c>
      <c r="M4806">
        <v>42837819.319200002</v>
      </c>
      <c r="N4806">
        <v>67610554.774000004</v>
      </c>
      <c r="O4806">
        <v>44439196.7104</v>
      </c>
      <c r="P4806">
        <v>26</v>
      </c>
      <c r="Q4806" t="s">
        <v>9959</v>
      </c>
    </row>
    <row r="4807" spans="1:17" x14ac:dyDescent="0.3">
      <c r="A4807" t="s">
        <v>17</v>
      </c>
      <c r="B4807" t="str">
        <f>"900924"</f>
        <v>900924</v>
      </c>
      <c r="C4807" t="s">
        <v>9960</v>
      </c>
      <c r="F4807">
        <v>83994639.731999993</v>
      </c>
      <c r="G4807">
        <v>72579205.902999997</v>
      </c>
      <c r="H4807">
        <v>90644821.245000005</v>
      </c>
      <c r="I4807">
        <v>74476808.376200005</v>
      </c>
      <c r="J4807">
        <v>60315965.8728</v>
      </c>
      <c r="K4807">
        <v>66443001.9485</v>
      </c>
      <c r="L4807">
        <v>39788229.731200002</v>
      </c>
      <c r="M4807">
        <v>49753381.259999998</v>
      </c>
      <c r="N4807">
        <v>34850011.217</v>
      </c>
      <c r="O4807">
        <v>35385216.774800003</v>
      </c>
      <c r="P4807">
        <v>11</v>
      </c>
      <c r="Q4807" t="s">
        <v>9961</v>
      </c>
    </row>
    <row r="4808" spans="1:17" x14ac:dyDescent="0.3">
      <c r="A4808" t="s">
        <v>17</v>
      </c>
      <c r="B4808" t="str">
        <f>"900925"</f>
        <v>900925</v>
      </c>
      <c r="C4808" t="s">
        <v>9962</v>
      </c>
      <c r="F4808">
        <v>470703488.71560001</v>
      </c>
      <c r="G4808">
        <v>354412065.77999997</v>
      </c>
      <c r="H4808">
        <v>338363133.73500001</v>
      </c>
      <c r="I4808">
        <v>394920905.72399998</v>
      </c>
      <c r="J4808">
        <v>302417735.73000002</v>
      </c>
      <c r="K4808">
        <v>307031950.16649997</v>
      </c>
      <c r="L4808">
        <v>343991879.56480002</v>
      </c>
      <c r="M4808">
        <v>316756550.27520001</v>
      </c>
      <c r="N4808">
        <v>302999357.50700003</v>
      </c>
      <c r="O4808">
        <v>224219149.86160001</v>
      </c>
      <c r="P4808">
        <v>83</v>
      </c>
      <c r="Q4808" t="s">
        <v>9963</v>
      </c>
    </row>
    <row r="4809" spans="1:17" x14ac:dyDescent="0.3">
      <c r="A4809" t="s">
        <v>17</v>
      </c>
      <c r="B4809" t="str">
        <f>"900926"</f>
        <v>900926</v>
      </c>
      <c r="C4809" t="s">
        <v>9964</v>
      </c>
      <c r="F4809">
        <v>237194984.79120001</v>
      </c>
      <c r="G4809">
        <v>164122494.88229999</v>
      </c>
      <c r="H4809">
        <v>272799892.389</v>
      </c>
      <c r="I4809">
        <v>308450479.19099998</v>
      </c>
      <c r="J4809">
        <v>278473097.61479998</v>
      </c>
      <c r="K4809">
        <v>302007319.30159998</v>
      </c>
      <c r="L4809">
        <v>333448313.1178</v>
      </c>
      <c r="M4809">
        <v>315679735.54799998</v>
      </c>
      <c r="N4809">
        <v>274886144.63800001</v>
      </c>
      <c r="O4809">
        <v>225665311.766</v>
      </c>
      <c r="P4809">
        <v>63</v>
      </c>
      <c r="Q4809" t="s">
        <v>9965</v>
      </c>
    </row>
    <row r="4810" spans="1:17" x14ac:dyDescent="0.3">
      <c r="A4810" t="s">
        <v>17</v>
      </c>
      <c r="B4810" t="str">
        <f>"900927"</f>
        <v>900927</v>
      </c>
      <c r="C4810" t="s">
        <v>9966</v>
      </c>
      <c r="F4810">
        <v>5894336.7000000002</v>
      </c>
      <c r="G4810">
        <v>6917618.0987999998</v>
      </c>
      <c r="H4810">
        <v>13881110.435000001</v>
      </c>
      <c r="I4810">
        <v>20722740.412999999</v>
      </c>
      <c r="J4810">
        <v>10430383.6296</v>
      </c>
      <c r="K4810">
        <v>21364810.512800001</v>
      </c>
      <c r="L4810">
        <v>67966483.228200004</v>
      </c>
      <c r="M4810">
        <v>109604238.39839999</v>
      </c>
      <c r="N4810">
        <v>96710436.018000007</v>
      </c>
      <c r="O4810">
        <v>97968642.005999997</v>
      </c>
      <c r="P4810">
        <v>5</v>
      </c>
      <c r="Q4810" t="s">
        <v>9967</v>
      </c>
    </row>
    <row r="4811" spans="1:17" x14ac:dyDescent="0.3">
      <c r="A4811" t="s">
        <v>17</v>
      </c>
      <c r="B4811" t="str">
        <f>"900928"</f>
        <v>900928</v>
      </c>
      <c r="C4811" t="s">
        <v>9968</v>
      </c>
      <c r="F4811">
        <v>44457116.216399997</v>
      </c>
      <c r="G4811">
        <v>96337226.536400005</v>
      </c>
      <c r="H4811">
        <v>72778385.907000005</v>
      </c>
      <c r="I4811">
        <v>55991138.093000002</v>
      </c>
      <c r="J4811">
        <v>33204743.140799999</v>
      </c>
      <c r="K4811">
        <v>14645983.048599999</v>
      </c>
      <c r="L4811">
        <v>87326001.503800005</v>
      </c>
      <c r="M4811">
        <v>91510305.873600006</v>
      </c>
      <c r="N4811">
        <v>86300260.864999995</v>
      </c>
      <c r="O4811">
        <v>83935530.628800005</v>
      </c>
      <c r="P4811">
        <v>14</v>
      </c>
      <c r="Q4811" t="s">
        <v>9969</v>
      </c>
    </row>
    <row r="4812" spans="1:17" x14ac:dyDescent="0.3">
      <c r="A4812" t="s">
        <v>17</v>
      </c>
      <c r="B4812" t="str">
        <f>"900930"</f>
        <v>900930</v>
      </c>
      <c r="C4812" t="s">
        <v>9970</v>
      </c>
      <c r="G4812">
        <v>4885654.1449999996</v>
      </c>
      <c r="H4812">
        <v>17107252.772999998</v>
      </c>
      <c r="I4812">
        <v>29006946.983199999</v>
      </c>
      <c r="J4812">
        <v>64001524.0392</v>
      </c>
      <c r="K4812">
        <v>94543678.387999997</v>
      </c>
      <c r="L4812">
        <v>87182755.985400006</v>
      </c>
      <c r="M4812">
        <v>78963872.171800002</v>
      </c>
      <c r="N4812">
        <v>91710386.055099994</v>
      </c>
      <c r="O4812">
        <v>84744503.418699995</v>
      </c>
      <c r="P4812">
        <v>1</v>
      </c>
      <c r="Q4812" t="s">
        <v>9971</v>
      </c>
    </row>
    <row r="4813" spans="1:17" x14ac:dyDescent="0.3">
      <c r="A4813" t="s">
        <v>17</v>
      </c>
      <c r="B4813" t="str">
        <f>"900931"</f>
        <v>900931</v>
      </c>
      <c r="C4813" t="s">
        <v>9972</v>
      </c>
      <c r="J4813">
        <v>0</v>
      </c>
      <c r="K4813">
        <v>0</v>
      </c>
      <c r="L4813">
        <v>-401087.0122</v>
      </c>
      <c r="M4813">
        <v>98304.158599999995</v>
      </c>
      <c r="N4813">
        <v>124740.5428</v>
      </c>
      <c r="O4813">
        <v>234553.4295</v>
      </c>
      <c r="P4813">
        <v>1</v>
      </c>
      <c r="Q4813" t="s">
        <v>9973</v>
      </c>
    </row>
    <row r="4814" spans="1:17" x14ac:dyDescent="0.3">
      <c r="A4814" t="s">
        <v>17</v>
      </c>
      <c r="B4814" t="str">
        <f>"900932"</f>
        <v>900932</v>
      </c>
      <c r="C4814" t="s">
        <v>9974</v>
      </c>
      <c r="F4814">
        <v>122505302.868</v>
      </c>
      <c r="G4814">
        <v>78972552.7245</v>
      </c>
      <c r="H4814">
        <v>102138384.139</v>
      </c>
      <c r="I4814">
        <v>44019577.867600001</v>
      </c>
      <c r="J4814">
        <v>19433334.663600001</v>
      </c>
      <c r="K4814">
        <v>7630038.0219000001</v>
      </c>
      <c r="L4814">
        <v>6890077.8959999997</v>
      </c>
      <c r="M4814">
        <v>6491885.2967999997</v>
      </c>
      <c r="N4814">
        <v>7964069.9529999997</v>
      </c>
      <c r="O4814">
        <v>3646067.6911999998</v>
      </c>
      <c r="P4814">
        <v>138</v>
      </c>
      <c r="Q4814" t="s">
        <v>9975</v>
      </c>
    </row>
    <row r="4815" spans="1:17" x14ac:dyDescent="0.3">
      <c r="A4815" t="s">
        <v>17</v>
      </c>
      <c r="B4815" t="str">
        <f>"900933"</f>
        <v>900933</v>
      </c>
      <c r="C4815" t="s">
        <v>9976</v>
      </c>
      <c r="F4815">
        <v>174940786.61759999</v>
      </c>
      <c r="G4815">
        <v>113446273.28740001</v>
      </c>
      <c r="H4815">
        <v>145968271.074</v>
      </c>
      <c r="I4815">
        <v>143027563.26179999</v>
      </c>
      <c r="J4815">
        <v>141934494.68880001</v>
      </c>
      <c r="K4815">
        <v>116067936.37289999</v>
      </c>
      <c r="L4815">
        <v>179097321.32359999</v>
      </c>
      <c r="M4815">
        <v>223768434.35280001</v>
      </c>
      <c r="N4815">
        <v>203430562.104</v>
      </c>
      <c r="O4815">
        <v>159526246.07440001</v>
      </c>
      <c r="P4815">
        <v>142</v>
      </c>
      <c r="Q4815" t="s">
        <v>9977</v>
      </c>
    </row>
    <row r="4816" spans="1:17" x14ac:dyDescent="0.3">
      <c r="A4816" t="s">
        <v>17</v>
      </c>
      <c r="B4816" t="str">
        <f>"900934"</f>
        <v>900934</v>
      </c>
      <c r="C4816" t="s">
        <v>9978</v>
      </c>
      <c r="F4816">
        <v>177010495.96560001</v>
      </c>
      <c r="G4816">
        <v>176216160.773</v>
      </c>
      <c r="H4816">
        <v>157777723.206</v>
      </c>
      <c r="I4816">
        <v>161853828.1476</v>
      </c>
      <c r="J4816">
        <v>104019206.3988</v>
      </c>
      <c r="K4816">
        <v>93863722.450299993</v>
      </c>
      <c r="L4816">
        <v>75971552.535799995</v>
      </c>
      <c r="M4816">
        <v>12077974.223999999</v>
      </c>
      <c r="N4816">
        <v>10865256.465</v>
      </c>
      <c r="O4816">
        <v>7555491.5256000003</v>
      </c>
      <c r="P4816">
        <v>47</v>
      </c>
      <c r="Q4816" t="s">
        <v>9979</v>
      </c>
    </row>
    <row r="4817" spans="1:17" x14ac:dyDescent="0.3">
      <c r="A4817" t="s">
        <v>17</v>
      </c>
      <c r="B4817" t="str">
        <f>"900935"</f>
        <v>900935</v>
      </c>
      <c r="C4817" t="s">
        <v>9980</v>
      </c>
      <c r="K4817">
        <v>4916319.6716999998</v>
      </c>
      <c r="L4817">
        <v>4767914.3287000004</v>
      </c>
      <c r="M4817">
        <v>4784281.6732000001</v>
      </c>
      <c r="N4817">
        <v>4752442.9576000003</v>
      </c>
      <c r="O4817">
        <v>4837949.8235999998</v>
      </c>
      <c r="P4817">
        <v>1</v>
      </c>
      <c r="Q4817" t="s">
        <v>9981</v>
      </c>
    </row>
    <row r="4818" spans="1:17" x14ac:dyDescent="0.3">
      <c r="A4818" t="s">
        <v>17</v>
      </c>
      <c r="B4818" t="str">
        <f>"900936"</f>
        <v>900936</v>
      </c>
      <c r="C4818" t="s">
        <v>9982</v>
      </c>
      <c r="F4818">
        <v>159701571.32519999</v>
      </c>
      <c r="G4818">
        <v>195090674.35280001</v>
      </c>
      <c r="H4818">
        <v>233813578.10499999</v>
      </c>
      <c r="I4818">
        <v>315685948.36979997</v>
      </c>
      <c r="J4818">
        <v>229014992.44800001</v>
      </c>
      <c r="K4818">
        <v>320013691.7974</v>
      </c>
      <c r="L4818">
        <v>318207998.59249997</v>
      </c>
      <c r="M4818">
        <v>306870428.79119998</v>
      </c>
      <c r="N4818">
        <v>312660048.84100002</v>
      </c>
      <c r="O4818">
        <v>226759709.27959999</v>
      </c>
      <c r="P4818">
        <v>53</v>
      </c>
      <c r="Q4818" t="s">
        <v>9983</v>
      </c>
    </row>
    <row r="4819" spans="1:17" x14ac:dyDescent="0.3">
      <c r="A4819" t="s">
        <v>17</v>
      </c>
      <c r="B4819" t="str">
        <f>"900937"</f>
        <v>900937</v>
      </c>
      <c r="C4819" t="s">
        <v>9984</v>
      </c>
      <c r="F4819">
        <v>189567128.8152</v>
      </c>
      <c r="G4819">
        <v>204923440.64840001</v>
      </c>
      <c r="H4819">
        <v>169131854.58199999</v>
      </c>
      <c r="I4819">
        <v>256516510.56380001</v>
      </c>
      <c r="J4819">
        <v>140513653.1568</v>
      </c>
      <c r="K4819">
        <v>211505316.42480001</v>
      </c>
      <c r="L4819">
        <v>228388016.32980001</v>
      </c>
      <c r="M4819">
        <v>258105465.03119999</v>
      </c>
      <c r="N4819">
        <v>139175017.42199999</v>
      </c>
      <c r="O4819">
        <v>134715988.4892</v>
      </c>
      <c r="P4819">
        <v>10</v>
      </c>
      <c r="Q4819" t="s">
        <v>9985</v>
      </c>
    </row>
    <row r="4820" spans="1:17" x14ac:dyDescent="0.3">
      <c r="A4820" t="s">
        <v>17</v>
      </c>
      <c r="B4820" t="str">
        <f>"900938"</f>
        <v>900938</v>
      </c>
      <c r="C4820" t="s">
        <v>9986</v>
      </c>
      <c r="F4820">
        <v>7808208970.8000002</v>
      </c>
      <c r="G4820">
        <v>6831906262.8000002</v>
      </c>
      <c r="H4820">
        <v>0</v>
      </c>
      <c r="I4820">
        <v>6798465152.3999996</v>
      </c>
      <c r="J4820">
        <v>5537732851.1999998</v>
      </c>
      <c r="K4820">
        <v>117300608.73199999</v>
      </c>
      <c r="L4820">
        <v>8004524.2748999996</v>
      </c>
      <c r="M4820">
        <v>14147266.329600001</v>
      </c>
      <c r="N4820">
        <v>7230097.8399999999</v>
      </c>
      <c r="O4820">
        <v>7754134.9220000003</v>
      </c>
      <c r="P4820">
        <v>12</v>
      </c>
      <c r="Q4820" t="s">
        <v>9987</v>
      </c>
    </row>
    <row r="4821" spans="1:17" x14ac:dyDescent="0.3">
      <c r="A4821" t="s">
        <v>17</v>
      </c>
      <c r="B4821" t="str">
        <f>"900940"</f>
        <v>900940</v>
      </c>
      <c r="C4821" t="s">
        <v>9988</v>
      </c>
      <c r="F4821">
        <v>39371149.045199998</v>
      </c>
      <c r="G4821">
        <v>32945244.6679</v>
      </c>
      <c r="H4821">
        <v>37981806.497000001</v>
      </c>
      <c r="I4821">
        <v>30729126.421</v>
      </c>
      <c r="J4821">
        <v>1721488.7316000001</v>
      </c>
      <c r="K4821">
        <v>21982587.959399998</v>
      </c>
      <c r="L4821">
        <v>21937829.2553</v>
      </c>
      <c r="M4821">
        <v>537216.39839999995</v>
      </c>
      <c r="N4821">
        <v>384913.48700000002</v>
      </c>
      <c r="O4821">
        <v>291162.65840000001</v>
      </c>
      <c r="P4821">
        <v>15</v>
      </c>
      <c r="Q4821" t="s">
        <v>9989</v>
      </c>
    </row>
    <row r="4822" spans="1:17" x14ac:dyDescent="0.3">
      <c r="A4822" t="s">
        <v>17</v>
      </c>
      <c r="B4822" t="str">
        <f>"900941"</f>
        <v>900941</v>
      </c>
      <c r="C4822" t="s">
        <v>9990</v>
      </c>
      <c r="F4822">
        <v>159821125.3152</v>
      </c>
      <c r="G4822">
        <v>144456602.023</v>
      </c>
      <c r="H4822">
        <v>128244744.169</v>
      </c>
      <c r="I4822">
        <v>128102744.7216</v>
      </c>
      <c r="J4822">
        <v>121590664.5492</v>
      </c>
      <c r="K4822">
        <v>128720773.56720001</v>
      </c>
      <c r="L4822">
        <v>107119914.06730001</v>
      </c>
      <c r="M4822">
        <v>101752696.80239999</v>
      </c>
      <c r="N4822">
        <v>90488188.034999996</v>
      </c>
      <c r="O4822">
        <v>58088353.825199999</v>
      </c>
      <c r="P4822">
        <v>8</v>
      </c>
      <c r="Q4822" t="s">
        <v>9991</v>
      </c>
    </row>
    <row r="4823" spans="1:17" x14ac:dyDescent="0.3">
      <c r="A4823" t="s">
        <v>17</v>
      </c>
      <c r="B4823" t="str">
        <f>"900942"</f>
        <v>900942</v>
      </c>
      <c r="C4823" t="s">
        <v>9992</v>
      </c>
      <c r="F4823">
        <v>2618513.1779999998</v>
      </c>
      <c r="G4823">
        <v>3542712.9901999999</v>
      </c>
      <c r="H4823">
        <v>9322524.1239999998</v>
      </c>
      <c r="I4823">
        <v>8391868.3587999996</v>
      </c>
      <c r="J4823">
        <v>4587860.7324000001</v>
      </c>
      <c r="K4823">
        <v>6891066.5055</v>
      </c>
      <c r="L4823">
        <v>4765021.3679999998</v>
      </c>
      <c r="M4823">
        <v>5864688.9167999998</v>
      </c>
      <c r="N4823">
        <v>7980387.9469999997</v>
      </c>
      <c r="O4823">
        <v>4355835.8836000003</v>
      </c>
      <c r="P4823">
        <v>55</v>
      </c>
      <c r="Q4823" t="s">
        <v>9993</v>
      </c>
    </row>
    <row r="4824" spans="1:17" x14ac:dyDescent="0.3">
      <c r="A4824" t="s">
        <v>17</v>
      </c>
      <c r="B4824" t="str">
        <f>"900943"</f>
        <v>900943</v>
      </c>
      <c r="C4824" t="s">
        <v>9994</v>
      </c>
      <c r="F4824">
        <v>18732629.285999998</v>
      </c>
      <c r="G4824">
        <v>17872437.166099999</v>
      </c>
      <c r="H4824">
        <v>21271751.964000002</v>
      </c>
      <c r="I4824">
        <v>20368996.1074</v>
      </c>
      <c r="J4824">
        <v>23325856.989599999</v>
      </c>
      <c r="K4824">
        <v>21999570.730700001</v>
      </c>
      <c r="L4824">
        <v>22898824.653499998</v>
      </c>
      <c r="M4824">
        <v>23849720.445599999</v>
      </c>
      <c r="N4824">
        <v>20670441.274</v>
      </c>
      <c r="O4824">
        <v>18214182.3028</v>
      </c>
      <c r="P4824">
        <v>3</v>
      </c>
      <c r="Q4824" t="s">
        <v>9995</v>
      </c>
    </row>
    <row r="4825" spans="1:17" x14ac:dyDescent="0.3">
      <c r="A4825" t="s">
        <v>17</v>
      </c>
      <c r="B4825" t="str">
        <f>"900945"</f>
        <v>900945</v>
      </c>
      <c r="C4825" t="s">
        <v>9996</v>
      </c>
      <c r="F4825">
        <v>455734978.80000001</v>
      </c>
      <c r="G4825">
        <v>624925363.64999998</v>
      </c>
      <c r="H4825">
        <v>530066904</v>
      </c>
      <c r="I4825">
        <v>458898572.80000001</v>
      </c>
      <c r="J4825">
        <v>233367763.19999999</v>
      </c>
      <c r="K4825">
        <v>137809108.5</v>
      </c>
      <c r="L4825">
        <v>114043777.7</v>
      </c>
      <c r="M4825">
        <v>110318769.59999999</v>
      </c>
      <c r="N4825">
        <v>61401375</v>
      </c>
      <c r="O4825">
        <v>61783998.399999999</v>
      </c>
      <c r="P4825">
        <v>7</v>
      </c>
      <c r="Q4825" t="s">
        <v>9997</v>
      </c>
    </row>
    <row r="4826" spans="1:17" x14ac:dyDescent="0.3">
      <c r="A4826" t="s">
        <v>17</v>
      </c>
      <c r="B4826" t="str">
        <f>"900946"</f>
        <v>900946</v>
      </c>
      <c r="C4826" t="s">
        <v>9998</v>
      </c>
      <c r="F4826">
        <v>43414298.3376</v>
      </c>
      <c r="G4826">
        <v>32463049.0799</v>
      </c>
      <c r="H4826">
        <v>30525068.568</v>
      </c>
      <c r="I4826">
        <v>40589651.865000002</v>
      </c>
      <c r="J4826">
        <v>49785397.582800001</v>
      </c>
      <c r="K4826">
        <v>37408047.790100001</v>
      </c>
      <c r="L4826">
        <v>40387603.433399998</v>
      </c>
      <c r="M4826">
        <v>43066554.585600004</v>
      </c>
      <c r="N4826">
        <v>37402885.821000002</v>
      </c>
      <c r="O4826">
        <v>35568508.340000004</v>
      </c>
      <c r="P4826">
        <v>3</v>
      </c>
      <c r="Q4826" t="s">
        <v>9999</v>
      </c>
    </row>
    <row r="4827" spans="1:17" x14ac:dyDescent="0.3">
      <c r="A4827" t="s">
        <v>17</v>
      </c>
      <c r="B4827" t="str">
        <f>"900947"</f>
        <v>900947</v>
      </c>
      <c r="C4827" t="s">
        <v>10000</v>
      </c>
      <c r="F4827">
        <v>1135445441.6268001</v>
      </c>
      <c r="G4827">
        <v>1354772212.2353001</v>
      </c>
      <c r="H4827">
        <v>869158861.84800005</v>
      </c>
      <c r="I4827">
        <v>671233888.24220002</v>
      </c>
      <c r="J4827">
        <v>649593751.15799999</v>
      </c>
      <c r="K4827">
        <v>641957652.4411</v>
      </c>
      <c r="L4827">
        <v>569865914.25829995</v>
      </c>
      <c r="M4827">
        <v>635681494.33920002</v>
      </c>
      <c r="N4827">
        <v>533657064.14999998</v>
      </c>
      <c r="O4827">
        <v>634864806.70679998</v>
      </c>
      <c r="P4827">
        <v>18</v>
      </c>
      <c r="Q4827" t="s">
        <v>10001</v>
      </c>
    </row>
    <row r="4828" spans="1:17" x14ac:dyDescent="0.3">
      <c r="A4828" t="s">
        <v>17</v>
      </c>
      <c r="B4828" t="str">
        <f>"900949"</f>
        <v>900949</v>
      </c>
      <c r="C4828" t="s">
        <v>10002</v>
      </c>
      <c r="N4828">
        <v>94264029.242500007</v>
      </c>
      <c r="O4828">
        <v>109433059.736</v>
      </c>
      <c r="P4828">
        <v>2</v>
      </c>
      <c r="Q4828" t="s">
        <v>10003</v>
      </c>
    </row>
    <row r="4829" spans="1:17" x14ac:dyDescent="0.3">
      <c r="A4829" t="s">
        <v>17</v>
      </c>
      <c r="B4829" t="str">
        <f>"900950"</f>
        <v>900950</v>
      </c>
      <c r="C4829" t="s">
        <v>10004</v>
      </c>
      <c r="L4829">
        <v>408289.7524</v>
      </c>
      <c r="M4829">
        <v>215698.19409999999</v>
      </c>
      <c r="N4829">
        <v>848793.58100000001</v>
      </c>
      <c r="O4829">
        <v>985687.78330000001</v>
      </c>
      <c r="P4829">
        <v>7</v>
      </c>
      <c r="Q4829" t="s">
        <v>10005</v>
      </c>
    </row>
    <row r="4830" spans="1:17" x14ac:dyDescent="0.3">
      <c r="A4830" t="s">
        <v>17</v>
      </c>
      <c r="B4830" t="str">
        <f>"900951"</f>
        <v>900951</v>
      </c>
      <c r="C4830" t="s">
        <v>10006</v>
      </c>
      <c r="G4830">
        <v>7874175.2737999996</v>
      </c>
      <c r="H4830">
        <v>21375050.833000001</v>
      </c>
      <c r="I4830">
        <v>17114868.698600002</v>
      </c>
      <c r="J4830">
        <v>16463194.466399999</v>
      </c>
      <c r="K4830">
        <v>9583931.3178000003</v>
      </c>
      <c r="L4830">
        <v>12049555.983200001</v>
      </c>
      <c r="M4830">
        <v>14240754.7984</v>
      </c>
      <c r="N4830">
        <v>4339416.7035999997</v>
      </c>
      <c r="O4830">
        <v>7687403.2714</v>
      </c>
      <c r="P4830">
        <v>2</v>
      </c>
      <c r="Q4830" t="s">
        <v>10007</v>
      </c>
    </row>
    <row r="4831" spans="1:17" x14ac:dyDescent="0.3">
      <c r="A4831" t="s">
        <v>17</v>
      </c>
      <c r="B4831" t="str">
        <f>"900952"</f>
        <v>900952</v>
      </c>
      <c r="C4831" t="s">
        <v>10008</v>
      </c>
      <c r="F4831">
        <v>45682586.561999999</v>
      </c>
      <c r="G4831">
        <v>46478474.629799999</v>
      </c>
      <c r="H4831">
        <v>32423224.416999999</v>
      </c>
      <c r="I4831">
        <v>38602771.830799997</v>
      </c>
      <c r="J4831">
        <v>102045528.9348</v>
      </c>
      <c r="K4831">
        <v>16169483.410599999</v>
      </c>
      <c r="L4831">
        <v>22752189.5656</v>
      </c>
      <c r="M4831">
        <v>36614475.007200003</v>
      </c>
      <c r="N4831">
        <v>28939929.193</v>
      </c>
      <c r="O4831">
        <v>19183894.8204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"900955"</f>
        <v>900955</v>
      </c>
      <c r="C4832" t="s">
        <v>10010</v>
      </c>
      <c r="F4832">
        <v>14828.672399999999</v>
      </c>
      <c r="G4832">
        <v>42318.687100000003</v>
      </c>
      <c r="H4832">
        <v>96244.612999999998</v>
      </c>
      <c r="I4832">
        <v>853417.55779999995</v>
      </c>
      <c r="J4832">
        <v>247806.30600000001</v>
      </c>
      <c r="K4832">
        <v>64364.048000000003</v>
      </c>
      <c r="L4832">
        <v>208318.95</v>
      </c>
      <c r="M4832">
        <v>2245.8935999999999</v>
      </c>
      <c r="N4832">
        <v>51889.656000000003</v>
      </c>
      <c r="O4832">
        <v>118562.462</v>
      </c>
      <c r="P4832">
        <v>4</v>
      </c>
      <c r="Q4832" t="s">
        <v>10011</v>
      </c>
    </row>
    <row r="4833" spans="1:17" x14ac:dyDescent="0.3">
      <c r="A4833" t="s">
        <v>17</v>
      </c>
      <c r="B4833" t="str">
        <f>"900956"</f>
        <v>900956</v>
      </c>
      <c r="C4833" t="s">
        <v>10012</v>
      </c>
      <c r="G4833">
        <v>133274706.8677</v>
      </c>
      <c r="H4833">
        <v>190151154.95199999</v>
      </c>
      <c r="I4833">
        <v>198379976.3096</v>
      </c>
      <c r="J4833">
        <v>139814319.8628</v>
      </c>
      <c r="K4833">
        <v>143677996.16190001</v>
      </c>
      <c r="L4833">
        <v>137756674.05450001</v>
      </c>
      <c r="M4833">
        <v>200470539.579</v>
      </c>
      <c r="N4833">
        <v>173722034.4765</v>
      </c>
      <c r="O4833">
        <v>149946684.31150001</v>
      </c>
      <c r="P4833">
        <v>10</v>
      </c>
      <c r="Q4833" t="s">
        <v>10013</v>
      </c>
    </row>
    <row r="4834" spans="1:17" x14ac:dyDescent="0.3">
      <c r="A4834" t="s">
        <v>73</v>
      </c>
      <c r="B4834" t="str">
        <f>"000001"</f>
        <v>000001</v>
      </c>
      <c r="C4834" t="s">
        <v>10014</v>
      </c>
      <c r="D4834" t="s">
        <v>9733</v>
      </c>
      <c r="P4834">
        <v>6180</v>
      </c>
      <c r="Q4834" t="s">
        <v>10015</v>
      </c>
    </row>
    <row r="4835" spans="1:17" x14ac:dyDescent="0.3">
      <c r="A4835" t="s">
        <v>73</v>
      </c>
      <c r="B4835" t="str">
        <f>"000015"</f>
        <v>000015</v>
      </c>
      <c r="C4835" t="s">
        <v>10016</v>
      </c>
      <c r="J4835">
        <v>167430041.18000001</v>
      </c>
      <c r="K4835">
        <v>218768714.53999999</v>
      </c>
      <c r="L4835">
        <v>0</v>
      </c>
      <c r="M4835">
        <v>0</v>
      </c>
      <c r="N4835">
        <v>0</v>
      </c>
      <c r="O4835">
        <v>0</v>
      </c>
      <c r="P4835">
        <v>13</v>
      </c>
      <c r="Q4835" t="s">
        <v>10017</v>
      </c>
    </row>
    <row r="4836" spans="1:17" x14ac:dyDescent="0.3">
      <c r="A4836" t="s">
        <v>73</v>
      </c>
      <c r="B4836" t="str">
        <f>"000018"</f>
        <v>000018</v>
      </c>
      <c r="C4836" t="s">
        <v>10018</v>
      </c>
      <c r="G4836">
        <v>1139080684</v>
      </c>
      <c r="H4836">
        <v>4054556874</v>
      </c>
      <c r="I4836">
        <v>5591716105</v>
      </c>
      <c r="J4836">
        <v>4114754710</v>
      </c>
      <c r="K4836">
        <v>2759708358</v>
      </c>
      <c r="L4836">
        <v>0</v>
      </c>
      <c r="M4836">
        <v>0</v>
      </c>
      <c r="N4836">
        <v>744712</v>
      </c>
      <c r="O4836">
        <v>723417</v>
      </c>
      <c r="P4836">
        <v>99</v>
      </c>
      <c r="Q4836" t="s">
        <v>10019</v>
      </c>
    </row>
    <row r="4837" spans="1:17" x14ac:dyDescent="0.3">
      <c r="A4837" t="s">
        <v>73</v>
      </c>
      <c r="B4837" t="str">
        <f>"000022"</f>
        <v>000022</v>
      </c>
      <c r="C4837" t="s">
        <v>10020</v>
      </c>
      <c r="I4837">
        <v>324892482</v>
      </c>
      <c r="J4837">
        <v>213653062</v>
      </c>
      <c r="K4837">
        <v>265387429.69999999</v>
      </c>
      <c r="L4837">
        <v>212095324.06</v>
      </c>
      <c r="M4837">
        <v>215972940.09999999</v>
      </c>
      <c r="N4837">
        <v>286440280</v>
      </c>
      <c r="O4837">
        <v>239650018</v>
      </c>
      <c r="P4837">
        <v>83</v>
      </c>
      <c r="Q4837" t="s">
        <v>10021</v>
      </c>
    </row>
    <row r="4838" spans="1:17" x14ac:dyDescent="0.3">
      <c r="A4838" t="s">
        <v>73</v>
      </c>
      <c r="B4838" t="str">
        <f>"000024"</f>
        <v>000024</v>
      </c>
      <c r="C4838" t="s">
        <v>10022</v>
      </c>
      <c r="L4838">
        <v>81740000.599999994</v>
      </c>
      <c r="M4838">
        <v>121918936.59</v>
      </c>
      <c r="N4838">
        <v>75079706.590000004</v>
      </c>
      <c r="O4838">
        <v>107416311</v>
      </c>
      <c r="P4838">
        <v>36</v>
      </c>
      <c r="Q4838" t="s">
        <v>10023</v>
      </c>
    </row>
    <row r="4839" spans="1:17" x14ac:dyDescent="0.3">
      <c r="A4839" t="s">
        <v>73</v>
      </c>
      <c r="B4839" t="str">
        <f>"000033"</f>
        <v>000033</v>
      </c>
      <c r="C4839" t="s">
        <v>10024</v>
      </c>
      <c r="J4839">
        <v>10063609.48</v>
      </c>
      <c r="K4839">
        <v>7531176.0899999999</v>
      </c>
      <c r="L4839">
        <v>7182655.1799999997</v>
      </c>
      <c r="M4839">
        <v>14418744.48</v>
      </c>
      <c r="N4839">
        <v>13390175.18</v>
      </c>
      <c r="O4839">
        <v>10195551.970000001</v>
      </c>
      <c r="P4839">
        <v>7</v>
      </c>
      <c r="Q4839" t="s">
        <v>10025</v>
      </c>
    </row>
    <row r="4840" spans="1:17" x14ac:dyDescent="0.3">
      <c r="A4840" t="s">
        <v>73</v>
      </c>
      <c r="B4840" t="str">
        <f>"000043"</f>
        <v>000043</v>
      </c>
      <c r="C4840" t="s">
        <v>10026</v>
      </c>
      <c r="G4840">
        <v>1588064973</v>
      </c>
      <c r="H4840">
        <v>973530806</v>
      </c>
      <c r="I4840">
        <v>746380764</v>
      </c>
      <c r="J4840">
        <v>585338975</v>
      </c>
      <c r="K4840">
        <v>532353621</v>
      </c>
      <c r="L4840">
        <v>439325516</v>
      </c>
      <c r="M4840">
        <v>461321220</v>
      </c>
      <c r="N4840">
        <v>346228268</v>
      </c>
      <c r="O4840">
        <v>303439205</v>
      </c>
      <c r="P4840">
        <v>73</v>
      </c>
      <c r="Q4840" t="s">
        <v>10027</v>
      </c>
    </row>
    <row r="4841" spans="1:17" x14ac:dyDescent="0.3">
      <c r="A4841" t="s">
        <v>73</v>
      </c>
      <c r="B4841" t="str">
        <f>"000047"</f>
        <v>000047</v>
      </c>
      <c r="C4841" t="s">
        <v>10028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6</v>
      </c>
      <c r="Q4841" t="s">
        <v>10029</v>
      </c>
    </row>
    <row r="4842" spans="1:17" x14ac:dyDescent="0.3">
      <c r="A4842" t="s">
        <v>73</v>
      </c>
      <c r="B4842" t="str">
        <f>"000418"</f>
        <v>000418</v>
      </c>
      <c r="C4842" t="s">
        <v>10030</v>
      </c>
      <c r="H4842">
        <v>2346607302</v>
      </c>
      <c r="I4842">
        <v>1570536471</v>
      </c>
      <c r="J4842">
        <v>1400073561</v>
      </c>
      <c r="K4842">
        <v>1234419143.9200001</v>
      </c>
      <c r="L4842">
        <v>1068886722.15</v>
      </c>
      <c r="M4842">
        <v>949532381.02999997</v>
      </c>
      <c r="N4842">
        <v>839678545.64999998</v>
      </c>
      <c r="O4842">
        <v>1031060791.12</v>
      </c>
      <c r="P4842">
        <v>653</v>
      </c>
      <c r="Q4842" t="s">
        <v>10031</v>
      </c>
    </row>
    <row r="4843" spans="1:17" x14ac:dyDescent="0.3">
      <c r="A4843" t="s">
        <v>73</v>
      </c>
      <c r="B4843" t="str">
        <f>"000420"</f>
        <v>000420</v>
      </c>
      <c r="C4843" t="s">
        <v>10032</v>
      </c>
      <c r="D4843" t="s">
        <v>3596</v>
      </c>
      <c r="F4843">
        <v>556746114</v>
      </c>
      <c r="G4843">
        <v>426820995</v>
      </c>
      <c r="H4843">
        <v>329304865</v>
      </c>
      <c r="I4843">
        <v>142989963</v>
      </c>
      <c r="J4843">
        <v>145550834</v>
      </c>
      <c r="K4843">
        <v>91532584</v>
      </c>
      <c r="L4843">
        <v>101631803</v>
      </c>
      <c r="M4843">
        <v>83574984</v>
      </c>
      <c r="N4843">
        <v>120873995</v>
      </c>
      <c r="O4843">
        <v>121619212</v>
      </c>
      <c r="P4843">
        <v>101</v>
      </c>
      <c r="Q4843" t="s">
        <v>10033</v>
      </c>
    </row>
    <row r="4844" spans="1:17" x14ac:dyDescent="0.3">
      <c r="A4844" t="s">
        <v>73</v>
      </c>
      <c r="B4844" t="str">
        <f>"000511"</f>
        <v>000511</v>
      </c>
      <c r="C4844" t="s">
        <v>10034</v>
      </c>
      <c r="I4844">
        <v>579452416</v>
      </c>
      <c r="J4844">
        <v>9841217</v>
      </c>
      <c r="K4844">
        <v>25768396.829999998</v>
      </c>
      <c r="L4844">
        <v>14007650.029999999</v>
      </c>
      <c r="M4844">
        <v>82064587.579999998</v>
      </c>
      <c r="N4844">
        <v>41989076.340000004</v>
      </c>
      <c r="O4844">
        <v>10466882.48</v>
      </c>
      <c r="P4844">
        <v>14</v>
      </c>
      <c r="Q4844" t="s">
        <v>10035</v>
      </c>
    </row>
    <row r="4845" spans="1:17" x14ac:dyDescent="0.3">
      <c r="A4845" t="s">
        <v>73</v>
      </c>
      <c r="B4845" t="str">
        <f>"000522"</f>
        <v>000522</v>
      </c>
      <c r="C4845" t="s">
        <v>10036</v>
      </c>
      <c r="M4845">
        <v>1190107771.6300001</v>
      </c>
      <c r="N4845">
        <v>0</v>
      </c>
      <c r="O4845">
        <v>221510868.97999999</v>
      </c>
      <c r="P4845">
        <v>63</v>
      </c>
      <c r="Q4845" t="s">
        <v>10037</v>
      </c>
    </row>
    <row r="4846" spans="1:17" x14ac:dyDescent="0.3">
      <c r="A4846" t="s">
        <v>73</v>
      </c>
      <c r="B4846" t="str">
        <f>"000527"</f>
        <v>000527</v>
      </c>
      <c r="C4846" t="s">
        <v>10038</v>
      </c>
      <c r="N4846">
        <v>9997634910</v>
      </c>
      <c r="O4846">
        <v>7342148950</v>
      </c>
      <c r="P4846">
        <v>296</v>
      </c>
      <c r="Q4846" t="s">
        <v>10039</v>
      </c>
    </row>
    <row r="4847" spans="1:17" x14ac:dyDescent="0.3">
      <c r="A4847" t="s">
        <v>73</v>
      </c>
      <c r="B4847" t="str">
        <f>"000556"</f>
        <v>000556</v>
      </c>
      <c r="C4847" t="s">
        <v>10040</v>
      </c>
      <c r="J4847">
        <v>31183190.129999999</v>
      </c>
      <c r="K4847">
        <v>15847992.5</v>
      </c>
      <c r="L4847">
        <v>0</v>
      </c>
      <c r="M4847">
        <v>0</v>
      </c>
      <c r="N4847">
        <v>0</v>
      </c>
      <c r="O4847">
        <v>0</v>
      </c>
      <c r="P4847">
        <v>4</v>
      </c>
      <c r="Q4847" t="s">
        <v>10041</v>
      </c>
    </row>
    <row r="4848" spans="1:17" x14ac:dyDescent="0.3">
      <c r="A4848" t="s">
        <v>73</v>
      </c>
      <c r="B4848" t="str">
        <f>"000562"</f>
        <v>000562</v>
      </c>
      <c r="C4848" t="s">
        <v>10042</v>
      </c>
      <c r="M4848">
        <v>106453317.28</v>
      </c>
      <c r="N4848">
        <v>0</v>
      </c>
      <c r="O4848">
        <v>0</v>
      </c>
      <c r="P4848">
        <v>18</v>
      </c>
      <c r="Q4848" t="s">
        <v>10043</v>
      </c>
    </row>
    <row r="4849" spans="1:17" x14ac:dyDescent="0.3">
      <c r="A4849" t="s">
        <v>73</v>
      </c>
      <c r="B4849" t="str">
        <f>"000563"</f>
        <v>000563</v>
      </c>
      <c r="C4849" t="s">
        <v>10044</v>
      </c>
      <c r="D4849" t="s">
        <v>2153</v>
      </c>
      <c r="P4849">
        <v>205</v>
      </c>
      <c r="Q4849" t="s">
        <v>10045</v>
      </c>
    </row>
    <row r="4850" spans="1:17" x14ac:dyDescent="0.3">
      <c r="A4850" t="s">
        <v>73</v>
      </c>
      <c r="B4850" t="str">
        <f>"000578"</f>
        <v>000578</v>
      </c>
      <c r="C4850" t="s">
        <v>10046</v>
      </c>
      <c r="M4850">
        <v>460199872.49000001</v>
      </c>
      <c r="N4850">
        <v>83702560.849999994</v>
      </c>
      <c r="O4850">
        <v>77174097.590000004</v>
      </c>
      <c r="P4850">
        <v>12</v>
      </c>
      <c r="Q4850" t="s">
        <v>10047</v>
      </c>
    </row>
    <row r="4851" spans="1:17" x14ac:dyDescent="0.3">
      <c r="A4851" t="s">
        <v>73</v>
      </c>
      <c r="B4851" t="str">
        <f>"000583"</f>
        <v>000583</v>
      </c>
      <c r="C4851" t="s">
        <v>10048</v>
      </c>
      <c r="J4851">
        <v>0</v>
      </c>
      <c r="K4851">
        <v>0</v>
      </c>
      <c r="L4851">
        <v>4029523.41</v>
      </c>
      <c r="M4851">
        <v>4029523.41</v>
      </c>
      <c r="N4851">
        <v>4029523.41</v>
      </c>
      <c r="O4851">
        <v>4029523.41</v>
      </c>
      <c r="P4851">
        <v>3</v>
      </c>
      <c r="Q4851" t="s">
        <v>10049</v>
      </c>
    </row>
    <row r="4852" spans="1:17" x14ac:dyDescent="0.3">
      <c r="A4852" t="s">
        <v>73</v>
      </c>
      <c r="B4852" t="str">
        <f>"000588"</f>
        <v>000588</v>
      </c>
      <c r="C4852" t="s">
        <v>10050</v>
      </c>
      <c r="J4852">
        <v>29134962.91</v>
      </c>
      <c r="K4852">
        <v>22954538.719999999</v>
      </c>
      <c r="L4852">
        <v>30000000</v>
      </c>
      <c r="P4852">
        <v>5</v>
      </c>
      <c r="Q4852" t="s">
        <v>10051</v>
      </c>
    </row>
    <row r="4853" spans="1:17" x14ac:dyDescent="0.3">
      <c r="A4853" t="s">
        <v>73</v>
      </c>
      <c r="B4853" t="str">
        <f>"000594"</f>
        <v>000594</v>
      </c>
      <c r="C4853" t="s">
        <v>10052</v>
      </c>
      <c r="K4853">
        <v>122126128.56</v>
      </c>
      <c r="L4853">
        <v>354620157.29000002</v>
      </c>
      <c r="M4853">
        <v>270132926.23000002</v>
      </c>
      <c r="N4853">
        <v>267701375.68000001</v>
      </c>
      <c r="O4853">
        <v>232737476.94999999</v>
      </c>
      <c r="P4853">
        <v>3</v>
      </c>
      <c r="Q4853" t="s">
        <v>10053</v>
      </c>
    </row>
    <row r="4854" spans="1:17" x14ac:dyDescent="0.3">
      <c r="A4854" t="s">
        <v>73</v>
      </c>
      <c r="B4854" t="str">
        <f>"000602"</f>
        <v>000602</v>
      </c>
      <c r="C4854" t="s">
        <v>10054</v>
      </c>
      <c r="N4854">
        <v>767625893.83000004</v>
      </c>
      <c r="O4854">
        <v>865361788.13</v>
      </c>
      <c r="P4854">
        <v>5</v>
      </c>
      <c r="Q4854" t="s">
        <v>10055</v>
      </c>
    </row>
    <row r="4855" spans="1:17" x14ac:dyDescent="0.3">
      <c r="A4855" t="s">
        <v>73</v>
      </c>
      <c r="B4855" t="str">
        <f>"000658"</f>
        <v>000658</v>
      </c>
      <c r="C4855" t="s">
        <v>10056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5</v>
      </c>
      <c r="Q4855" t="s">
        <v>10057</v>
      </c>
    </row>
    <row r="4856" spans="1:17" x14ac:dyDescent="0.3">
      <c r="A4856" t="s">
        <v>73</v>
      </c>
      <c r="B4856" t="str">
        <f>"000660"</f>
        <v>000660</v>
      </c>
      <c r="C4856" t="s">
        <v>10058</v>
      </c>
      <c r="M4856">
        <v>8680379.2100000009</v>
      </c>
      <c r="N4856">
        <v>0</v>
      </c>
      <c r="O4856">
        <v>10133735.42</v>
      </c>
      <c r="P4856">
        <v>6</v>
      </c>
      <c r="Q4856" t="s">
        <v>10059</v>
      </c>
    </row>
    <row r="4857" spans="1:17" x14ac:dyDescent="0.3">
      <c r="A4857" t="s">
        <v>73</v>
      </c>
      <c r="B4857" t="str">
        <f>"000662"</f>
        <v>000662</v>
      </c>
      <c r="C4857" t="s">
        <v>10060</v>
      </c>
      <c r="G4857">
        <v>1290326213</v>
      </c>
      <c r="H4857">
        <v>1699864025</v>
      </c>
      <c r="I4857">
        <v>1508117690</v>
      </c>
      <c r="J4857">
        <v>956675377</v>
      </c>
      <c r="K4857">
        <v>149406593</v>
      </c>
      <c r="L4857">
        <v>131903184</v>
      </c>
      <c r="M4857">
        <v>126750461</v>
      </c>
      <c r="N4857">
        <v>145105044</v>
      </c>
      <c r="O4857">
        <v>173330083</v>
      </c>
      <c r="P4857">
        <v>146</v>
      </c>
      <c r="Q4857" t="s">
        <v>10061</v>
      </c>
    </row>
    <row r="4858" spans="1:17" x14ac:dyDescent="0.3">
      <c r="A4858" t="s">
        <v>73</v>
      </c>
      <c r="B4858" t="str">
        <f>"000675"</f>
        <v>000675</v>
      </c>
      <c r="C4858" t="s">
        <v>10062</v>
      </c>
      <c r="J4858">
        <v>0</v>
      </c>
      <c r="L4858">
        <v>403593.05</v>
      </c>
      <c r="M4858">
        <v>405913.05</v>
      </c>
      <c r="N4858">
        <v>405913.05</v>
      </c>
      <c r="O4858">
        <v>405913.05</v>
      </c>
      <c r="P4858">
        <v>5</v>
      </c>
      <c r="Q4858" t="s">
        <v>10063</v>
      </c>
    </row>
    <row r="4859" spans="1:17" x14ac:dyDescent="0.3">
      <c r="A4859" t="s">
        <v>73</v>
      </c>
      <c r="B4859" t="str">
        <f>"000689"</f>
        <v>000689</v>
      </c>
      <c r="C4859" t="s">
        <v>10064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5</v>
      </c>
      <c r="Q4859" t="s">
        <v>10065</v>
      </c>
    </row>
    <row r="4860" spans="1:17" x14ac:dyDescent="0.3">
      <c r="A4860" t="s">
        <v>73</v>
      </c>
      <c r="B4860" t="str">
        <f>"000693"</f>
        <v>000693</v>
      </c>
      <c r="C4860" t="s">
        <v>10066</v>
      </c>
      <c r="I4860">
        <v>477232</v>
      </c>
      <c r="J4860">
        <v>236967382</v>
      </c>
      <c r="K4860">
        <v>253130948.12</v>
      </c>
      <c r="L4860">
        <v>541078832.58000004</v>
      </c>
      <c r="M4860">
        <v>335102567.67000002</v>
      </c>
      <c r="N4860">
        <v>1799479.29</v>
      </c>
      <c r="O4860">
        <v>3294015.19</v>
      </c>
      <c r="P4860">
        <v>17</v>
      </c>
      <c r="Q4860" t="s">
        <v>10067</v>
      </c>
    </row>
    <row r="4861" spans="1:17" x14ac:dyDescent="0.3">
      <c r="A4861" t="s">
        <v>73</v>
      </c>
      <c r="B4861" t="str">
        <f>"000730"</f>
        <v>000730</v>
      </c>
      <c r="C4861" t="s">
        <v>10068</v>
      </c>
      <c r="J4861">
        <v>78827003.790000007</v>
      </c>
      <c r="K4861">
        <v>47508359.380000003</v>
      </c>
      <c r="P4861">
        <v>4</v>
      </c>
      <c r="Q4861" t="s">
        <v>10069</v>
      </c>
    </row>
    <row r="4862" spans="1:17" x14ac:dyDescent="0.3">
      <c r="A4862" t="s">
        <v>73</v>
      </c>
      <c r="B4862" t="str">
        <f>"000748"</f>
        <v>000748</v>
      </c>
      <c r="C4862" t="s">
        <v>10070</v>
      </c>
      <c r="K4862">
        <v>568166959.05999994</v>
      </c>
      <c r="L4862">
        <v>549505449.07000005</v>
      </c>
      <c r="M4862">
        <v>553447075.63999999</v>
      </c>
      <c r="N4862">
        <v>377240493.63999999</v>
      </c>
      <c r="O4862">
        <v>302428976.42000002</v>
      </c>
      <c r="P4862">
        <v>8</v>
      </c>
      <c r="Q4862" t="s">
        <v>10071</v>
      </c>
    </row>
    <row r="4863" spans="1:17" x14ac:dyDescent="0.3">
      <c r="A4863" t="s">
        <v>73</v>
      </c>
      <c r="B4863" t="str">
        <f>"000760"</f>
        <v>000760</v>
      </c>
      <c r="C4863" t="s">
        <v>10072</v>
      </c>
      <c r="F4863">
        <v>925244</v>
      </c>
      <c r="G4863">
        <v>705488</v>
      </c>
      <c r="H4863">
        <v>3163134</v>
      </c>
      <c r="I4863">
        <v>59851200</v>
      </c>
      <c r="J4863">
        <v>101058275</v>
      </c>
      <c r="K4863">
        <v>50843905</v>
      </c>
      <c r="L4863">
        <v>211781221</v>
      </c>
      <c r="M4863">
        <v>187526243</v>
      </c>
      <c r="N4863">
        <v>197392629</v>
      </c>
      <c r="O4863">
        <v>182462241</v>
      </c>
      <c r="P4863">
        <v>59</v>
      </c>
      <c r="Q4863" t="s">
        <v>10073</v>
      </c>
    </row>
    <row r="4864" spans="1:17" x14ac:dyDescent="0.3">
      <c r="A4864" t="s">
        <v>73</v>
      </c>
      <c r="B4864" t="str">
        <f>"000765"</f>
        <v>000765</v>
      </c>
      <c r="C4864" t="s">
        <v>10074</v>
      </c>
      <c r="J4864">
        <v>162995668.93000001</v>
      </c>
      <c r="K4864">
        <v>151248500.87</v>
      </c>
      <c r="L4864">
        <v>1206800</v>
      </c>
      <c r="M4864">
        <v>0</v>
      </c>
      <c r="N4864">
        <v>0</v>
      </c>
      <c r="O4864">
        <v>0</v>
      </c>
      <c r="P4864">
        <v>4</v>
      </c>
      <c r="Q4864" t="s">
        <v>10075</v>
      </c>
    </row>
    <row r="4865" spans="1:17" x14ac:dyDescent="0.3">
      <c r="A4865" t="s">
        <v>73</v>
      </c>
      <c r="B4865" t="str">
        <f>"000780"</f>
        <v>000780</v>
      </c>
      <c r="C4865" t="s">
        <v>10076</v>
      </c>
      <c r="D4865" t="s">
        <v>218</v>
      </c>
      <c r="F4865">
        <v>487536400</v>
      </c>
      <c r="G4865">
        <v>637443164</v>
      </c>
      <c r="H4865">
        <v>678423926</v>
      </c>
      <c r="I4865">
        <v>751015670</v>
      </c>
      <c r="J4865">
        <v>697911421</v>
      </c>
      <c r="K4865">
        <v>948834552</v>
      </c>
      <c r="L4865">
        <v>1181940303</v>
      </c>
      <c r="M4865">
        <v>1247483383</v>
      </c>
      <c r="N4865">
        <v>1071841446</v>
      </c>
      <c r="O4865">
        <v>885258614</v>
      </c>
      <c r="P4865">
        <v>99</v>
      </c>
      <c r="Q4865" t="s">
        <v>10077</v>
      </c>
    </row>
    <row r="4866" spans="1:17" x14ac:dyDescent="0.3">
      <c r="A4866" t="s">
        <v>73</v>
      </c>
      <c r="B4866" t="str">
        <f>"000787"</f>
        <v>000787</v>
      </c>
      <c r="C4866" t="s">
        <v>10078</v>
      </c>
      <c r="J4866">
        <v>1451368870.1600001</v>
      </c>
      <c r="K4866">
        <v>1157197613.78</v>
      </c>
      <c r="L4866">
        <v>894491083.74000001</v>
      </c>
      <c r="M4866">
        <v>0</v>
      </c>
      <c r="N4866">
        <v>0</v>
      </c>
      <c r="O4866">
        <v>0</v>
      </c>
      <c r="P4866">
        <v>3</v>
      </c>
      <c r="Q4866" t="s">
        <v>10079</v>
      </c>
    </row>
    <row r="4867" spans="1:17" x14ac:dyDescent="0.3">
      <c r="A4867" t="s">
        <v>73</v>
      </c>
      <c r="B4867" t="str">
        <f>"000805"</f>
        <v>000805</v>
      </c>
      <c r="C4867" t="s">
        <v>10080</v>
      </c>
      <c r="J4867">
        <v>65067206.170000002</v>
      </c>
      <c r="K4867">
        <v>65863176.170000002</v>
      </c>
      <c r="L4867">
        <v>3955085.78</v>
      </c>
      <c r="M4867">
        <v>15196368.52</v>
      </c>
      <c r="N4867">
        <v>5759810.0999999996</v>
      </c>
      <c r="O4867">
        <v>0</v>
      </c>
      <c r="P4867">
        <v>3</v>
      </c>
      <c r="Q4867" t="s">
        <v>10081</v>
      </c>
    </row>
    <row r="4868" spans="1:17" x14ac:dyDescent="0.3">
      <c r="A4868" t="s">
        <v>73</v>
      </c>
      <c r="B4868" t="str">
        <f>"000832"</f>
        <v>000832</v>
      </c>
      <c r="C4868" t="s">
        <v>10082</v>
      </c>
      <c r="J4868">
        <v>0</v>
      </c>
      <c r="K4868">
        <v>0</v>
      </c>
      <c r="L4868">
        <v>0</v>
      </c>
      <c r="M4868">
        <v>-5920.56</v>
      </c>
      <c r="N4868">
        <v>763525.85</v>
      </c>
      <c r="O4868">
        <v>2119524.11</v>
      </c>
      <c r="P4868">
        <v>6</v>
      </c>
      <c r="Q4868" t="s">
        <v>10083</v>
      </c>
    </row>
    <row r="4869" spans="1:17" x14ac:dyDescent="0.3">
      <c r="A4869" t="s">
        <v>73</v>
      </c>
      <c r="B4869" t="str">
        <f>"000916"</f>
        <v>000916</v>
      </c>
      <c r="C4869" t="s">
        <v>10084</v>
      </c>
      <c r="J4869">
        <v>478203590</v>
      </c>
      <c r="K4869">
        <v>398868663.81999999</v>
      </c>
      <c r="L4869">
        <v>167548035.49000001</v>
      </c>
      <c r="M4869">
        <v>25299156.510000002</v>
      </c>
      <c r="N4869">
        <v>25273487.93</v>
      </c>
      <c r="O4869">
        <v>29239973.579999998</v>
      </c>
      <c r="P4869">
        <v>27</v>
      </c>
      <c r="Q4869" t="s">
        <v>10085</v>
      </c>
    </row>
    <row r="4870" spans="1:17" x14ac:dyDescent="0.3">
      <c r="A4870" t="s">
        <v>73</v>
      </c>
      <c r="B4870" t="str">
        <f>"000939"</f>
        <v>000939</v>
      </c>
      <c r="C4870" t="s">
        <v>10086</v>
      </c>
      <c r="G4870">
        <v>2217897251</v>
      </c>
      <c r="H4870">
        <v>1629738036</v>
      </c>
      <c r="I4870">
        <v>2677667985</v>
      </c>
      <c r="J4870">
        <v>2143026178</v>
      </c>
      <c r="K4870">
        <v>1605200710</v>
      </c>
      <c r="L4870">
        <v>1669709141</v>
      </c>
      <c r="M4870">
        <v>1749137462</v>
      </c>
      <c r="N4870">
        <v>1842625556</v>
      </c>
      <c r="O4870">
        <v>1000377305</v>
      </c>
      <c r="P4870">
        <v>61</v>
      </c>
      <c r="Q4870" t="s">
        <v>10087</v>
      </c>
    </row>
    <row r="4871" spans="1:17" x14ac:dyDescent="0.3">
      <c r="A4871" t="s">
        <v>73</v>
      </c>
      <c r="B4871" t="str">
        <f>"000971"</f>
        <v>000971</v>
      </c>
      <c r="C4871" t="s">
        <v>10088</v>
      </c>
      <c r="D4871" t="s">
        <v>1004</v>
      </c>
      <c r="F4871">
        <v>526245144</v>
      </c>
      <c r="G4871">
        <v>491314124</v>
      </c>
      <c r="H4871">
        <v>519545107</v>
      </c>
      <c r="I4871">
        <v>329818442</v>
      </c>
      <c r="J4871">
        <v>257708036</v>
      </c>
      <c r="K4871">
        <v>118292226</v>
      </c>
      <c r="L4871">
        <v>7850159</v>
      </c>
      <c r="M4871">
        <v>9486489</v>
      </c>
      <c r="N4871">
        <v>16342591</v>
      </c>
      <c r="O4871">
        <v>13995496</v>
      </c>
      <c r="P4871">
        <v>74</v>
      </c>
      <c r="Q4871" t="s">
        <v>10089</v>
      </c>
    </row>
    <row r="4872" spans="1:17" x14ac:dyDescent="0.3">
      <c r="A4872" t="s">
        <v>73</v>
      </c>
      <c r="B4872" t="str">
        <f>"000979"</f>
        <v>000979</v>
      </c>
      <c r="C4872" t="s">
        <v>10090</v>
      </c>
      <c r="I4872">
        <v>424810484</v>
      </c>
      <c r="J4872">
        <v>1119895949</v>
      </c>
      <c r="K4872">
        <v>246862188.41</v>
      </c>
      <c r="L4872">
        <v>33056046.039999999</v>
      </c>
      <c r="M4872">
        <v>74608207.219999999</v>
      </c>
      <c r="N4872">
        <v>96061296.939999998</v>
      </c>
      <c r="O4872">
        <v>124750934.81</v>
      </c>
      <c r="P4872">
        <v>30</v>
      </c>
      <c r="Q4872" t="s">
        <v>10091</v>
      </c>
    </row>
    <row r="4873" spans="1:17" x14ac:dyDescent="0.3">
      <c r="A4873" t="s">
        <v>73</v>
      </c>
      <c r="B4873" t="str">
        <f>"002018"</f>
        <v>002018</v>
      </c>
      <c r="C4873" t="s">
        <v>10092</v>
      </c>
      <c r="G4873">
        <v>2030139</v>
      </c>
      <c r="H4873">
        <v>22486445</v>
      </c>
      <c r="I4873">
        <v>4360252444</v>
      </c>
      <c r="J4873">
        <v>5899591202</v>
      </c>
      <c r="K4873">
        <v>4268323479</v>
      </c>
      <c r="L4873">
        <v>1673255009</v>
      </c>
      <c r="M4873">
        <v>1101808198</v>
      </c>
      <c r="N4873">
        <v>203594542</v>
      </c>
      <c r="O4873">
        <v>232116437</v>
      </c>
      <c r="P4873">
        <v>40</v>
      </c>
      <c r="Q4873" t="s">
        <v>10093</v>
      </c>
    </row>
    <row r="4874" spans="1:17" x14ac:dyDescent="0.3">
      <c r="A4874" t="s">
        <v>73</v>
      </c>
      <c r="B4874" t="str">
        <f>"002070"</f>
        <v>002070</v>
      </c>
      <c r="C4874" t="s">
        <v>10094</v>
      </c>
      <c r="H4874">
        <v>237055400</v>
      </c>
      <c r="I4874">
        <v>359533384</v>
      </c>
      <c r="J4874">
        <v>544301247</v>
      </c>
      <c r="K4874">
        <v>0</v>
      </c>
      <c r="L4874">
        <v>615581825.88999999</v>
      </c>
      <c r="M4874">
        <v>462314665.55000001</v>
      </c>
      <c r="N4874">
        <v>477204606.58999997</v>
      </c>
      <c r="O4874">
        <v>200767340.94999999</v>
      </c>
      <c r="P4874">
        <v>27</v>
      </c>
      <c r="Q4874" t="s">
        <v>10095</v>
      </c>
    </row>
    <row r="4875" spans="1:17" x14ac:dyDescent="0.3">
      <c r="A4875" t="s">
        <v>73</v>
      </c>
      <c r="B4875" t="str">
        <f>"002071"</f>
        <v>002071</v>
      </c>
      <c r="C4875" t="s">
        <v>10096</v>
      </c>
      <c r="F4875">
        <v>123106350</v>
      </c>
      <c r="G4875">
        <v>331359171</v>
      </c>
      <c r="H4875">
        <v>754601903</v>
      </c>
      <c r="I4875">
        <v>1079549098</v>
      </c>
      <c r="J4875">
        <v>997002741</v>
      </c>
      <c r="K4875">
        <v>895793341</v>
      </c>
      <c r="L4875">
        <v>642536850</v>
      </c>
      <c r="M4875">
        <v>89201043</v>
      </c>
      <c r="N4875">
        <v>84032198</v>
      </c>
      <c r="O4875">
        <v>90825434</v>
      </c>
      <c r="P4875">
        <v>97</v>
      </c>
      <c r="Q4875" t="s">
        <v>10097</v>
      </c>
    </row>
    <row r="4876" spans="1:17" x14ac:dyDescent="0.3">
      <c r="A4876" t="s">
        <v>73</v>
      </c>
      <c r="B4876" t="str">
        <f>"002118"</f>
        <v>002118</v>
      </c>
      <c r="C4876" t="s">
        <v>10098</v>
      </c>
      <c r="D4876" t="s">
        <v>215</v>
      </c>
      <c r="F4876">
        <v>969077521</v>
      </c>
      <c r="G4876">
        <v>1114292814</v>
      </c>
      <c r="H4876">
        <v>948537519</v>
      </c>
      <c r="I4876">
        <v>776066192</v>
      </c>
      <c r="J4876">
        <v>616594715</v>
      </c>
      <c r="K4876">
        <v>467437743</v>
      </c>
      <c r="L4876">
        <v>521406271</v>
      </c>
      <c r="M4876">
        <v>440222856</v>
      </c>
      <c r="N4876">
        <v>233483356</v>
      </c>
      <c r="O4876">
        <v>511892898</v>
      </c>
      <c r="P4876">
        <v>226</v>
      </c>
      <c r="Q4876" t="s">
        <v>10099</v>
      </c>
    </row>
    <row r="4877" spans="1:17" x14ac:dyDescent="0.3">
      <c r="A4877" t="s">
        <v>73</v>
      </c>
      <c r="B4877" t="str">
        <f>"002142"</f>
        <v>002142</v>
      </c>
      <c r="C4877" t="s">
        <v>10100</v>
      </c>
      <c r="D4877" t="s">
        <v>9724</v>
      </c>
      <c r="P4877">
        <v>59332</v>
      </c>
      <c r="Q4877" t="s">
        <v>10101</v>
      </c>
    </row>
    <row r="4878" spans="1:17" x14ac:dyDescent="0.3">
      <c r="A4878" t="s">
        <v>73</v>
      </c>
      <c r="B4878" t="str">
        <f>"002143"</f>
        <v>002143</v>
      </c>
      <c r="C4878" t="s">
        <v>10102</v>
      </c>
      <c r="H4878">
        <v>1121658823</v>
      </c>
      <c r="I4878">
        <v>2252804276</v>
      </c>
      <c r="J4878">
        <v>1352275747</v>
      </c>
      <c r="K4878">
        <v>1166318161</v>
      </c>
      <c r="L4878">
        <v>991836690</v>
      </c>
      <c r="M4878">
        <v>54641547</v>
      </c>
      <c r="N4878">
        <v>57876299</v>
      </c>
      <c r="O4878">
        <v>36575266</v>
      </c>
      <c r="P4878">
        <v>59</v>
      </c>
      <c r="Q4878" t="s">
        <v>10103</v>
      </c>
    </row>
    <row r="4879" spans="1:17" x14ac:dyDescent="0.3">
      <c r="A4879" t="s">
        <v>73</v>
      </c>
      <c r="B4879" t="str">
        <f>"002220"</f>
        <v>002220</v>
      </c>
      <c r="C4879" t="s">
        <v>10104</v>
      </c>
      <c r="G4879">
        <v>479296396</v>
      </c>
      <c r="H4879">
        <v>1320191234</v>
      </c>
      <c r="I4879">
        <v>1259060527</v>
      </c>
      <c r="J4879">
        <v>970934890</v>
      </c>
      <c r="K4879">
        <v>813326181</v>
      </c>
      <c r="L4879">
        <v>603125506</v>
      </c>
      <c r="M4879">
        <v>389069351</v>
      </c>
      <c r="N4879">
        <v>345917719</v>
      </c>
      <c r="O4879">
        <v>375947047</v>
      </c>
      <c r="P4879">
        <v>51</v>
      </c>
      <c r="Q4879" t="s">
        <v>10105</v>
      </c>
    </row>
    <row r="4880" spans="1:17" x14ac:dyDescent="0.3">
      <c r="A4880" t="s">
        <v>73</v>
      </c>
      <c r="B4880" t="str">
        <f>"002359"</f>
        <v>002359</v>
      </c>
      <c r="C4880" t="s">
        <v>10106</v>
      </c>
      <c r="F4880">
        <v>407124784</v>
      </c>
      <c r="G4880">
        <v>555977142</v>
      </c>
      <c r="H4880">
        <v>1631923625</v>
      </c>
      <c r="I4880">
        <v>1331671459</v>
      </c>
      <c r="J4880">
        <v>600810359</v>
      </c>
      <c r="K4880">
        <v>428434480</v>
      </c>
      <c r="L4880">
        <v>487679273</v>
      </c>
      <c r="M4880">
        <v>443732207</v>
      </c>
      <c r="N4880">
        <v>361725340</v>
      </c>
      <c r="O4880">
        <v>192800675</v>
      </c>
      <c r="P4880">
        <v>68</v>
      </c>
      <c r="Q4880" t="s">
        <v>10107</v>
      </c>
    </row>
    <row r="4881" spans="1:17" x14ac:dyDescent="0.3">
      <c r="A4881" t="s">
        <v>73</v>
      </c>
      <c r="B4881" t="str">
        <f>"002411"</f>
        <v>002411</v>
      </c>
      <c r="C4881" t="s">
        <v>10108</v>
      </c>
      <c r="D4881" t="s">
        <v>50</v>
      </c>
      <c r="F4881">
        <v>4504773884</v>
      </c>
      <c r="G4881">
        <v>4059933679</v>
      </c>
      <c r="H4881">
        <v>3425587000</v>
      </c>
      <c r="I4881">
        <v>1577715886</v>
      </c>
      <c r="J4881">
        <v>1117953521</v>
      </c>
      <c r="K4881">
        <v>1012684534</v>
      </c>
      <c r="L4881">
        <v>335295423</v>
      </c>
      <c r="M4881">
        <v>183039159</v>
      </c>
      <c r="N4881">
        <v>131603686</v>
      </c>
      <c r="O4881">
        <v>137744717</v>
      </c>
      <c r="P4881">
        <v>244</v>
      </c>
      <c r="Q4881" t="s">
        <v>10109</v>
      </c>
    </row>
    <row r="4882" spans="1:17" x14ac:dyDescent="0.3">
      <c r="A4882" t="s">
        <v>73</v>
      </c>
      <c r="B4882" t="str">
        <f>"002433"</f>
        <v>002433</v>
      </c>
      <c r="C4882" t="s">
        <v>10110</v>
      </c>
      <c r="D4882" t="s">
        <v>215</v>
      </c>
      <c r="F4882">
        <v>543790212</v>
      </c>
      <c r="G4882">
        <v>657906864</v>
      </c>
      <c r="H4882">
        <v>535737871</v>
      </c>
      <c r="I4882">
        <v>582068382</v>
      </c>
      <c r="J4882">
        <v>459613256</v>
      </c>
      <c r="K4882">
        <v>356588026</v>
      </c>
      <c r="L4882">
        <v>289141437</v>
      </c>
      <c r="M4882">
        <v>259261767</v>
      </c>
      <c r="N4882">
        <v>145183841</v>
      </c>
      <c r="O4882">
        <v>119361232</v>
      </c>
      <c r="P4882">
        <v>235</v>
      </c>
      <c r="Q4882" t="s">
        <v>10111</v>
      </c>
    </row>
    <row r="4883" spans="1:17" x14ac:dyDescent="0.3">
      <c r="A4883" t="s">
        <v>73</v>
      </c>
      <c r="B4883" t="str">
        <f>"002450"</f>
        <v>002450</v>
      </c>
      <c r="C4883" t="s">
        <v>10112</v>
      </c>
      <c r="F4883">
        <v>528238647</v>
      </c>
      <c r="G4883">
        <v>2740736567</v>
      </c>
      <c r="H4883">
        <v>4585912138</v>
      </c>
      <c r="I4883">
        <v>4813729753</v>
      </c>
      <c r="J4883">
        <v>4264105192</v>
      </c>
      <c r="K4883">
        <v>2948341169</v>
      </c>
      <c r="L4883">
        <v>1868709641</v>
      </c>
      <c r="M4883">
        <v>598827952</v>
      </c>
      <c r="N4883">
        <v>345724326</v>
      </c>
      <c r="O4883">
        <v>155659719</v>
      </c>
      <c r="P4883">
        <v>1520</v>
      </c>
      <c r="Q4883" t="s">
        <v>10113</v>
      </c>
    </row>
    <row r="4884" spans="1:17" x14ac:dyDescent="0.3">
      <c r="A4884" t="s">
        <v>73</v>
      </c>
      <c r="B4884" t="str">
        <f>"002464"</f>
        <v>002464</v>
      </c>
      <c r="C4884" t="s">
        <v>10114</v>
      </c>
      <c r="D4884" t="s">
        <v>899</v>
      </c>
      <c r="F4884">
        <v>33471526</v>
      </c>
      <c r="G4884">
        <v>134667103</v>
      </c>
      <c r="H4884">
        <v>176906975</v>
      </c>
      <c r="I4884">
        <v>140036536</v>
      </c>
      <c r="J4884">
        <v>36896524</v>
      </c>
      <c r="K4884">
        <v>156516366</v>
      </c>
      <c r="L4884">
        <v>86117919</v>
      </c>
      <c r="M4884">
        <v>110586956</v>
      </c>
      <c r="N4884">
        <v>119970895</v>
      </c>
      <c r="O4884">
        <v>72109333</v>
      </c>
      <c r="P4884">
        <v>110</v>
      </c>
      <c r="Q4884" t="s">
        <v>10115</v>
      </c>
    </row>
    <row r="4885" spans="1:17" x14ac:dyDescent="0.3">
      <c r="A4885" t="s">
        <v>73</v>
      </c>
      <c r="B4885" t="str">
        <f>"002477"</f>
        <v>002477</v>
      </c>
      <c r="C4885" t="s">
        <v>10116</v>
      </c>
      <c r="H4885">
        <v>779998488</v>
      </c>
      <c r="I4885">
        <v>495381021</v>
      </c>
      <c r="J4885">
        <v>482529785</v>
      </c>
      <c r="K4885">
        <v>344272403</v>
      </c>
      <c r="L4885">
        <v>179032153</v>
      </c>
      <c r="M4885">
        <v>52652151</v>
      </c>
      <c r="N4885">
        <v>19299241</v>
      </c>
      <c r="O4885">
        <v>59590727</v>
      </c>
      <c r="P4885">
        <v>126</v>
      </c>
      <c r="Q4885" t="s">
        <v>10117</v>
      </c>
    </row>
    <row r="4886" spans="1:17" x14ac:dyDescent="0.3">
      <c r="A4886" t="s">
        <v>73</v>
      </c>
      <c r="B4886" t="str">
        <f>"002509"</f>
        <v>002509</v>
      </c>
      <c r="C4886" t="s">
        <v>10118</v>
      </c>
      <c r="G4886">
        <v>1213143648</v>
      </c>
      <c r="H4886">
        <v>1807070667</v>
      </c>
      <c r="I4886">
        <v>1617885523</v>
      </c>
      <c r="J4886">
        <v>1179723975</v>
      </c>
      <c r="K4886">
        <v>712034410</v>
      </c>
      <c r="L4886">
        <v>365321956</v>
      </c>
      <c r="M4886">
        <v>262833088</v>
      </c>
      <c r="N4886">
        <v>159838271</v>
      </c>
      <c r="O4886">
        <v>116099253</v>
      </c>
      <c r="P4886">
        <v>60</v>
      </c>
      <c r="Q4886" t="s">
        <v>10119</v>
      </c>
    </row>
    <row r="4887" spans="1:17" x14ac:dyDescent="0.3">
      <c r="A4887" t="s">
        <v>73</v>
      </c>
      <c r="B4887" t="str">
        <f>"002604"</f>
        <v>002604</v>
      </c>
      <c r="C4887" t="s">
        <v>10120</v>
      </c>
      <c r="G4887">
        <v>140032444</v>
      </c>
      <c r="H4887">
        <v>153328120</v>
      </c>
      <c r="I4887">
        <v>211166757</v>
      </c>
      <c r="J4887">
        <v>135468929</v>
      </c>
      <c r="K4887">
        <v>92329339</v>
      </c>
      <c r="L4887">
        <v>74103324</v>
      </c>
      <c r="M4887">
        <v>64179777</v>
      </c>
      <c r="N4887">
        <v>79857654</v>
      </c>
      <c r="O4887">
        <v>69891338</v>
      </c>
      <c r="P4887">
        <v>49</v>
      </c>
      <c r="Q4887" t="s">
        <v>10121</v>
      </c>
    </row>
    <row r="4888" spans="1:17" x14ac:dyDescent="0.3">
      <c r="A4888" t="s">
        <v>73</v>
      </c>
      <c r="B4888" t="str">
        <f>"002619"</f>
        <v>002619</v>
      </c>
      <c r="C4888" t="s">
        <v>10122</v>
      </c>
      <c r="D4888" t="s">
        <v>899</v>
      </c>
      <c r="F4888">
        <v>308536729</v>
      </c>
      <c r="G4888">
        <v>569519877</v>
      </c>
      <c r="H4888">
        <v>738342144</v>
      </c>
      <c r="I4888">
        <v>455990100</v>
      </c>
      <c r="J4888">
        <v>407442029</v>
      </c>
      <c r="K4888">
        <v>369994204</v>
      </c>
      <c r="L4888">
        <v>334209419</v>
      </c>
      <c r="M4888">
        <v>302953020</v>
      </c>
      <c r="N4888">
        <v>211571647</v>
      </c>
      <c r="O4888">
        <v>204116742</v>
      </c>
      <c r="P4888">
        <v>124</v>
      </c>
      <c r="Q4888" t="s">
        <v>10123</v>
      </c>
    </row>
    <row r="4889" spans="1:17" x14ac:dyDescent="0.3">
      <c r="A4889" t="s">
        <v>73</v>
      </c>
      <c r="B4889" t="str">
        <f>"002680"</f>
        <v>002680</v>
      </c>
      <c r="C4889" t="s">
        <v>10124</v>
      </c>
      <c r="I4889">
        <v>872195162</v>
      </c>
      <c r="J4889">
        <v>744984885</v>
      </c>
      <c r="K4889">
        <v>493608180</v>
      </c>
      <c r="L4889">
        <v>38886645</v>
      </c>
      <c r="M4889">
        <v>32740238</v>
      </c>
      <c r="N4889">
        <v>47253148</v>
      </c>
      <c r="O4889">
        <v>37608041</v>
      </c>
      <c r="P4889">
        <v>221</v>
      </c>
      <c r="Q4889" t="s">
        <v>10125</v>
      </c>
    </row>
    <row r="4890" spans="1:17" x14ac:dyDescent="0.3">
      <c r="A4890" t="s">
        <v>73</v>
      </c>
      <c r="B4890" t="str">
        <f>"002711"</f>
        <v>002711</v>
      </c>
      <c r="C4890" t="s">
        <v>10126</v>
      </c>
      <c r="F4890">
        <v>1240340</v>
      </c>
      <c r="G4890">
        <v>21611428</v>
      </c>
      <c r="H4890">
        <v>25182582</v>
      </c>
      <c r="I4890">
        <v>486547653</v>
      </c>
      <c r="J4890">
        <v>278862744</v>
      </c>
      <c r="K4890">
        <v>332099690</v>
      </c>
      <c r="L4890">
        <v>29062983</v>
      </c>
      <c r="M4890">
        <v>17875605</v>
      </c>
      <c r="N4890">
        <v>0</v>
      </c>
      <c r="P4890">
        <v>74</v>
      </c>
      <c r="Q4890" t="s">
        <v>10127</v>
      </c>
    </row>
    <row r="4891" spans="1:17" x14ac:dyDescent="0.3">
      <c r="A4891" t="s">
        <v>73</v>
      </c>
      <c r="B4891" t="str">
        <f>"002776"</f>
        <v>002776</v>
      </c>
      <c r="C4891" t="s">
        <v>10128</v>
      </c>
      <c r="D4891" t="s">
        <v>991</v>
      </c>
      <c r="F4891">
        <v>145266800</v>
      </c>
      <c r="G4891">
        <v>187595954</v>
      </c>
      <c r="H4891">
        <v>214210492</v>
      </c>
      <c r="I4891">
        <v>252359149</v>
      </c>
      <c r="J4891">
        <v>77681560</v>
      </c>
      <c r="K4891">
        <v>68912248</v>
      </c>
      <c r="L4891">
        <v>66181499</v>
      </c>
      <c r="M4891">
        <v>0</v>
      </c>
      <c r="P4891">
        <v>125</v>
      </c>
      <c r="Q4891" t="s">
        <v>10129</v>
      </c>
    </row>
    <row r="4892" spans="1:17" x14ac:dyDescent="0.3">
      <c r="A4892" t="s">
        <v>73</v>
      </c>
      <c r="B4892" t="str">
        <f>"002807"</f>
        <v>002807</v>
      </c>
      <c r="C4892" t="s">
        <v>10130</v>
      </c>
      <c r="D4892" t="s">
        <v>9839</v>
      </c>
      <c r="P4892">
        <v>571</v>
      </c>
      <c r="Q4892" t="s">
        <v>10131</v>
      </c>
    </row>
    <row r="4893" spans="1:17" x14ac:dyDescent="0.3">
      <c r="A4893" t="s">
        <v>73</v>
      </c>
      <c r="B4893" t="str">
        <f>"002839"</f>
        <v>002839</v>
      </c>
      <c r="C4893" t="s">
        <v>10132</v>
      </c>
      <c r="D4893" t="s">
        <v>9839</v>
      </c>
      <c r="P4893">
        <v>474</v>
      </c>
      <c r="Q4893" t="s">
        <v>10133</v>
      </c>
    </row>
    <row r="4894" spans="1:17" x14ac:dyDescent="0.3">
      <c r="A4894" t="s">
        <v>73</v>
      </c>
      <c r="B4894" t="str">
        <f>"002936"</f>
        <v>002936</v>
      </c>
      <c r="C4894" t="s">
        <v>10134</v>
      </c>
      <c r="D4894" t="s">
        <v>9724</v>
      </c>
      <c r="P4894">
        <v>469</v>
      </c>
      <c r="Q4894" t="s">
        <v>10135</v>
      </c>
    </row>
    <row r="4895" spans="1:17" x14ac:dyDescent="0.3">
      <c r="A4895" t="s">
        <v>73</v>
      </c>
      <c r="B4895" t="str">
        <f>"002948"</f>
        <v>002948</v>
      </c>
      <c r="C4895" t="s">
        <v>10136</v>
      </c>
      <c r="D4895" t="s">
        <v>9724</v>
      </c>
      <c r="P4895">
        <v>458</v>
      </c>
      <c r="Q4895" t="s">
        <v>10137</v>
      </c>
    </row>
    <row r="4896" spans="1:17" x14ac:dyDescent="0.3">
      <c r="A4896" t="s">
        <v>73</v>
      </c>
      <c r="B4896" t="str">
        <f>"002958"</f>
        <v>002958</v>
      </c>
      <c r="C4896" t="s">
        <v>10138</v>
      </c>
      <c r="D4896" t="s">
        <v>9839</v>
      </c>
      <c r="P4896">
        <v>416</v>
      </c>
      <c r="Q4896" t="s">
        <v>10139</v>
      </c>
    </row>
    <row r="4897" spans="1:17" x14ac:dyDescent="0.3">
      <c r="A4897" t="s">
        <v>73</v>
      </c>
      <c r="B4897" t="str">
        <f>"002966"</f>
        <v>002966</v>
      </c>
      <c r="C4897" t="s">
        <v>10140</v>
      </c>
      <c r="D4897" t="s">
        <v>9724</v>
      </c>
      <c r="P4897">
        <v>365</v>
      </c>
      <c r="Q4897" t="s">
        <v>10141</v>
      </c>
    </row>
    <row r="4898" spans="1:17" x14ac:dyDescent="0.3">
      <c r="A4898" t="s">
        <v>73</v>
      </c>
      <c r="B4898" t="str">
        <f>"200002"</f>
        <v>200002</v>
      </c>
      <c r="C4898" t="s">
        <v>10142</v>
      </c>
      <c r="J4898">
        <v>1956860796.3357</v>
      </c>
      <c r="K4898">
        <v>1943540201.7132001</v>
      </c>
      <c r="L4898">
        <v>2018383917.0875001</v>
      </c>
      <c r="M4898">
        <v>3653027702.1499</v>
      </c>
      <c r="N4898">
        <v>2273015650.1100001</v>
      </c>
      <c r="O4898">
        <v>1546388158.8453</v>
      </c>
      <c r="P4898">
        <v>22</v>
      </c>
      <c r="Q4898" t="s">
        <v>10143</v>
      </c>
    </row>
    <row r="4899" spans="1:17" x14ac:dyDescent="0.3">
      <c r="A4899" t="s">
        <v>73</v>
      </c>
      <c r="B4899" t="str">
        <f>"200015"</f>
        <v>200015</v>
      </c>
      <c r="C4899" t="s">
        <v>10144</v>
      </c>
      <c r="J4899">
        <v>188894572.45930001</v>
      </c>
      <c r="K4899">
        <v>262806856.77689999</v>
      </c>
      <c r="L4899">
        <v>0</v>
      </c>
      <c r="M4899">
        <v>0</v>
      </c>
      <c r="N4899">
        <v>0</v>
      </c>
      <c r="O4899">
        <v>0</v>
      </c>
      <c r="P4899">
        <v>0</v>
      </c>
      <c r="Q4899" t="s">
        <v>10145</v>
      </c>
    </row>
    <row r="4900" spans="1:17" x14ac:dyDescent="0.3">
      <c r="A4900" t="s">
        <v>73</v>
      </c>
      <c r="B4900" t="str">
        <f>"200018"</f>
        <v>200018</v>
      </c>
      <c r="C4900" t="s">
        <v>10146</v>
      </c>
      <c r="G4900">
        <v>1244901279.5436001</v>
      </c>
      <c r="H4900">
        <v>4740182441.3934002</v>
      </c>
      <c r="I4900">
        <v>6992440989.3024998</v>
      </c>
      <c r="J4900">
        <v>4642266263.8219995</v>
      </c>
      <c r="K4900">
        <v>3315237650.3813</v>
      </c>
      <c r="L4900">
        <v>0</v>
      </c>
      <c r="M4900">
        <v>0</v>
      </c>
      <c r="N4900">
        <v>930741.05759999994</v>
      </c>
      <c r="O4900">
        <v>891973.16099999996</v>
      </c>
      <c r="P4900">
        <v>13</v>
      </c>
      <c r="Q4900" t="s">
        <v>10147</v>
      </c>
    </row>
    <row r="4901" spans="1:17" x14ac:dyDescent="0.3">
      <c r="A4901" t="s">
        <v>73</v>
      </c>
      <c r="B4901" t="str">
        <f>"200022"</f>
        <v>200022</v>
      </c>
      <c r="C4901" t="s">
        <v>10148</v>
      </c>
      <c r="I4901">
        <v>406278048.741</v>
      </c>
      <c r="J4901">
        <v>241043384.54840001</v>
      </c>
      <c r="K4901">
        <v>318809919.29860002</v>
      </c>
      <c r="L4901">
        <v>265119155.07499999</v>
      </c>
      <c r="M4901">
        <v>269620618.42079997</v>
      </c>
      <c r="N4901">
        <v>357993061.94400001</v>
      </c>
      <c r="O4901">
        <v>295488472.19400001</v>
      </c>
      <c r="P4901">
        <v>41</v>
      </c>
      <c r="Q4901" t="s">
        <v>10149</v>
      </c>
    </row>
    <row r="4902" spans="1:17" x14ac:dyDescent="0.3">
      <c r="A4902" t="s">
        <v>73</v>
      </c>
      <c r="B4902" t="str">
        <f>"200024"</f>
        <v>200024</v>
      </c>
      <c r="C4902" t="s">
        <v>10150</v>
      </c>
      <c r="L4902">
        <v>102175000.75</v>
      </c>
      <c r="M4902">
        <v>152203600.43900001</v>
      </c>
      <c r="N4902">
        <v>93834617.296200007</v>
      </c>
      <c r="O4902">
        <v>132444311.463</v>
      </c>
      <c r="P4902">
        <v>0</v>
      </c>
      <c r="Q4902" t="s">
        <v>10151</v>
      </c>
    </row>
    <row r="4903" spans="1:17" x14ac:dyDescent="0.3">
      <c r="A4903" t="s">
        <v>73</v>
      </c>
      <c r="B4903" t="str">
        <f>"200030"</f>
        <v>200030</v>
      </c>
      <c r="C4903" t="s">
        <v>10152</v>
      </c>
      <c r="F4903">
        <v>2756477776.2740002</v>
      </c>
      <c r="G4903">
        <v>1906147012.4748001</v>
      </c>
      <c r="H4903">
        <v>2337273282.4884</v>
      </c>
      <c r="I4903">
        <v>1851366014.0555</v>
      </c>
      <c r="J4903">
        <v>1645252838.1594</v>
      </c>
      <c r="K4903">
        <v>1375340437.3724</v>
      </c>
      <c r="L4903">
        <v>1463525956.25</v>
      </c>
      <c r="M4903">
        <v>1374028490.6884</v>
      </c>
      <c r="N4903">
        <v>1322088878.1786001</v>
      </c>
      <c r="O4903">
        <v>0</v>
      </c>
      <c r="P4903">
        <v>132</v>
      </c>
      <c r="Q4903" t="s">
        <v>10153</v>
      </c>
    </row>
    <row r="4904" spans="1:17" x14ac:dyDescent="0.3">
      <c r="A4904" t="s">
        <v>73</v>
      </c>
      <c r="B4904" t="str">
        <f>"200037"</f>
        <v>200037</v>
      </c>
      <c r="C4904" t="s">
        <v>10154</v>
      </c>
      <c r="F4904">
        <v>145909564.64500001</v>
      </c>
      <c r="G4904">
        <v>178372560.9138</v>
      </c>
      <c r="H4904">
        <v>159888780.37889999</v>
      </c>
      <c r="I4904">
        <v>251716585.12549999</v>
      </c>
      <c r="J4904">
        <v>227829801.22580001</v>
      </c>
      <c r="K4904">
        <v>639128055.85109997</v>
      </c>
      <c r="L4904">
        <v>641118367.5</v>
      </c>
      <c r="M4904">
        <v>953319907.84679997</v>
      </c>
      <c r="N4904">
        <v>1036294807.5474</v>
      </c>
      <c r="O4904">
        <v>1059823002.114</v>
      </c>
      <c r="P4904">
        <v>9</v>
      </c>
      <c r="Q4904" t="s">
        <v>10155</v>
      </c>
    </row>
    <row r="4905" spans="1:17" x14ac:dyDescent="0.3">
      <c r="A4905" t="s">
        <v>73</v>
      </c>
      <c r="B4905" t="str">
        <f>"200039"</f>
        <v>200039</v>
      </c>
      <c r="C4905" t="s">
        <v>10156</v>
      </c>
      <c r="J4905">
        <v>15969210694.4</v>
      </c>
      <c r="K4905">
        <v>11998507516.799999</v>
      </c>
      <c r="L4905">
        <v>16310332500</v>
      </c>
      <c r="M4905">
        <v>14249218874</v>
      </c>
      <c r="N4905">
        <v>11914752084.6</v>
      </c>
      <c r="O4905">
        <v>8463240486</v>
      </c>
      <c r="P4905">
        <v>0</v>
      </c>
      <c r="Q4905" t="s">
        <v>10157</v>
      </c>
    </row>
    <row r="4906" spans="1:17" x14ac:dyDescent="0.3">
      <c r="A4906" t="s">
        <v>73</v>
      </c>
      <c r="B4906" t="str">
        <f>"200053"</f>
        <v>200053</v>
      </c>
      <c r="C4906" t="s">
        <v>10158</v>
      </c>
      <c r="I4906">
        <v>98240109.081499994</v>
      </c>
      <c r="J4906">
        <v>55457086.177599996</v>
      </c>
      <c r="K4906">
        <v>57699542.2139</v>
      </c>
      <c r="L4906">
        <v>60413791.3125</v>
      </c>
      <c r="M4906">
        <v>101914901.8343</v>
      </c>
      <c r="N4906">
        <v>79850709.991899997</v>
      </c>
      <c r="O4906">
        <v>61012734.2086</v>
      </c>
      <c r="P4906">
        <v>15</v>
      </c>
      <c r="Q4906" t="s">
        <v>10159</v>
      </c>
    </row>
    <row r="4907" spans="1:17" x14ac:dyDescent="0.3">
      <c r="A4907" t="s">
        <v>73</v>
      </c>
      <c r="B4907" t="str">
        <f>"200055"</f>
        <v>200055</v>
      </c>
      <c r="C4907" t="s">
        <v>10160</v>
      </c>
      <c r="F4907">
        <v>536354898.38150001</v>
      </c>
      <c r="G4907">
        <v>300616311.16979998</v>
      </c>
      <c r="H4907">
        <v>2287111085.2385998</v>
      </c>
      <c r="I4907">
        <v>2367755863.6560001</v>
      </c>
      <c r="J4907">
        <v>2293313182.0581999</v>
      </c>
      <c r="K4907">
        <v>1746291220.6401</v>
      </c>
      <c r="L4907">
        <v>1410848883.75</v>
      </c>
      <c r="M4907">
        <v>1130791469.3559999</v>
      </c>
      <c r="N4907">
        <v>995434782.44760001</v>
      </c>
      <c r="O4907">
        <v>817798885.82099998</v>
      </c>
      <c r="P4907">
        <v>71</v>
      </c>
      <c r="Q4907" t="s">
        <v>10161</v>
      </c>
    </row>
    <row r="4908" spans="1:17" x14ac:dyDescent="0.3">
      <c r="A4908" t="s">
        <v>73</v>
      </c>
      <c r="B4908" t="str">
        <f>"200056"</f>
        <v>200056</v>
      </c>
      <c r="C4908" t="s">
        <v>10162</v>
      </c>
      <c r="F4908">
        <v>303049109.64649999</v>
      </c>
      <c r="G4908">
        <v>246280581.1047</v>
      </c>
      <c r="H4908">
        <v>193769970.61140001</v>
      </c>
      <c r="I4908">
        <v>95070836.879500002</v>
      </c>
      <c r="J4908">
        <v>92266389.220799997</v>
      </c>
      <c r="K4908">
        <v>51170793.4366</v>
      </c>
      <c r="L4908">
        <v>73419131.25</v>
      </c>
      <c r="M4908">
        <v>16449828.4836</v>
      </c>
      <c r="N4908">
        <v>1006041.5076</v>
      </c>
      <c r="O4908">
        <v>926684.57700000005</v>
      </c>
      <c r="P4908">
        <v>13</v>
      </c>
      <c r="Q4908" t="s">
        <v>10163</v>
      </c>
    </row>
    <row r="4909" spans="1:17" x14ac:dyDescent="0.3">
      <c r="A4909" t="s">
        <v>73</v>
      </c>
      <c r="B4909" t="str">
        <f>"200160"</f>
        <v>200160</v>
      </c>
      <c r="C4909" t="s">
        <v>10164</v>
      </c>
      <c r="G4909">
        <v>237957.117</v>
      </c>
      <c r="H4909">
        <v>5933.1824999999999</v>
      </c>
      <c r="I4909">
        <v>22018.804</v>
      </c>
      <c r="J4909">
        <v>405857.53980000003</v>
      </c>
      <c r="K4909">
        <v>779748.84979999997</v>
      </c>
      <c r="L4909">
        <v>5448667.2000000002</v>
      </c>
      <c r="M4909">
        <v>4025962.9128999999</v>
      </c>
      <c r="N4909">
        <v>0</v>
      </c>
      <c r="O4909">
        <v>0</v>
      </c>
      <c r="P4909">
        <v>3</v>
      </c>
      <c r="Q4909" t="s">
        <v>10165</v>
      </c>
    </row>
    <row r="4910" spans="1:17" x14ac:dyDescent="0.3">
      <c r="A4910" t="s">
        <v>73</v>
      </c>
      <c r="B4910" t="str">
        <f>"200168"</f>
        <v>200168</v>
      </c>
      <c r="C4910" t="s">
        <v>10166</v>
      </c>
      <c r="F4910">
        <v>9702.2394999999997</v>
      </c>
      <c r="G4910">
        <v>117157.7871</v>
      </c>
      <c r="H4910">
        <v>25606146.111299999</v>
      </c>
      <c r="I4910">
        <v>26723652.686999999</v>
      </c>
      <c r="J4910">
        <v>33783001.311999999</v>
      </c>
      <c r="K4910">
        <v>5306378.7560999999</v>
      </c>
      <c r="L4910">
        <v>91841155</v>
      </c>
      <c r="M4910">
        <v>8277120.4572000001</v>
      </c>
      <c r="N4910">
        <v>30335024.369399998</v>
      </c>
      <c r="O4910">
        <v>7186149.6390000004</v>
      </c>
      <c r="P4910">
        <v>3</v>
      </c>
      <c r="Q4910" t="s">
        <v>10167</v>
      </c>
    </row>
    <row r="4911" spans="1:17" x14ac:dyDescent="0.3">
      <c r="A4911" t="s">
        <v>73</v>
      </c>
      <c r="B4911" t="str">
        <f>"200413"</f>
        <v>200413</v>
      </c>
      <c r="C4911" t="s">
        <v>10168</v>
      </c>
      <c r="F4911">
        <v>9558297430.1280003</v>
      </c>
      <c r="G4911">
        <v>12578743060.4193</v>
      </c>
      <c r="H4911">
        <v>13748040282.550501</v>
      </c>
      <c r="I4911">
        <v>12181280356.417</v>
      </c>
      <c r="J4911">
        <v>1582480605.848</v>
      </c>
      <c r="K4911">
        <v>1616264024.6807001</v>
      </c>
      <c r="L4911">
        <v>1424688267.5</v>
      </c>
      <c r="M4911">
        <v>2011732768.0596001</v>
      </c>
      <c r="N4911">
        <v>798413315.92680001</v>
      </c>
      <c r="O4911">
        <v>210789866.331</v>
      </c>
      <c r="P4911">
        <v>44</v>
      </c>
      <c r="Q4911" t="s">
        <v>10169</v>
      </c>
    </row>
    <row r="4912" spans="1:17" x14ac:dyDescent="0.3">
      <c r="A4912" t="s">
        <v>73</v>
      </c>
      <c r="B4912" t="str">
        <f>"200418"</f>
        <v>200418</v>
      </c>
      <c r="C4912" t="s">
        <v>10170</v>
      </c>
      <c r="H4912">
        <v>2743418596.7681999</v>
      </c>
      <c r="I4912">
        <v>1963955856.9855001</v>
      </c>
      <c r="J4912">
        <v>1579562991.5202</v>
      </c>
      <c r="K4912">
        <v>1482907717.5911</v>
      </c>
      <c r="L4912">
        <v>1336108402.6875</v>
      </c>
      <c r="M4912">
        <v>1185396224.4779</v>
      </c>
      <c r="N4912">
        <v>1049430246.3534</v>
      </c>
      <c r="O4912">
        <v>1271297955.451</v>
      </c>
      <c r="P4912">
        <v>89</v>
      </c>
      <c r="Q4912" t="s">
        <v>10171</v>
      </c>
    </row>
    <row r="4913" spans="1:17" x14ac:dyDescent="0.3">
      <c r="A4913" t="s">
        <v>73</v>
      </c>
      <c r="B4913" t="str">
        <f>"200429"</f>
        <v>200429</v>
      </c>
      <c r="C4913" t="s">
        <v>10172</v>
      </c>
      <c r="F4913">
        <v>256803821.558</v>
      </c>
      <c r="G4913">
        <v>89552828.187900007</v>
      </c>
      <c r="H4913">
        <v>123279156.25740001</v>
      </c>
      <c r="I4913">
        <v>129115563.075</v>
      </c>
      <c r="J4913">
        <v>132923361.954</v>
      </c>
      <c r="K4913">
        <v>71710703.726300001</v>
      </c>
      <c r="L4913">
        <v>73910868.75</v>
      </c>
      <c r="M4913">
        <v>127114985.53640001</v>
      </c>
      <c r="N4913">
        <v>79804015.564199999</v>
      </c>
      <c r="O4913">
        <v>52917913.728</v>
      </c>
      <c r="P4913">
        <v>453</v>
      </c>
      <c r="Q4913" t="s">
        <v>10173</v>
      </c>
    </row>
    <row r="4914" spans="1:17" x14ac:dyDescent="0.3">
      <c r="A4914" t="s">
        <v>73</v>
      </c>
      <c r="B4914" t="str">
        <f>"200488"</f>
        <v>200488</v>
      </c>
      <c r="C4914" t="s">
        <v>10174</v>
      </c>
      <c r="F4914">
        <v>2525089001.2909999</v>
      </c>
      <c r="G4914">
        <v>2826144328.6290002</v>
      </c>
      <c r="H4914">
        <v>4279001465.1987</v>
      </c>
      <c r="I4914">
        <v>4839380979.6505003</v>
      </c>
      <c r="J4914">
        <v>4279547001.1687999</v>
      </c>
      <c r="K4914">
        <v>4474034546.4642</v>
      </c>
      <c r="L4914">
        <v>4186296498.75</v>
      </c>
      <c r="M4914">
        <v>3422721676.2800002</v>
      </c>
      <c r="N4914">
        <v>4170800948.8085999</v>
      </c>
      <c r="O4914">
        <v>4298042580.5970001</v>
      </c>
      <c r="P4914">
        <v>268</v>
      </c>
      <c r="Q4914" t="s">
        <v>10175</v>
      </c>
    </row>
    <row r="4915" spans="1:17" x14ac:dyDescent="0.3">
      <c r="A4915" t="s">
        <v>73</v>
      </c>
      <c r="B4915" t="str">
        <f>"200513"</f>
        <v>200513</v>
      </c>
      <c r="C4915" t="s">
        <v>10176</v>
      </c>
      <c r="J4915">
        <v>1641739184.5009</v>
      </c>
      <c r="K4915">
        <v>1463732230.7472</v>
      </c>
      <c r="L4915">
        <v>1457509855.6875</v>
      </c>
      <c r="M4915">
        <v>1209711129.0488999</v>
      </c>
      <c r="N4915">
        <v>1035606229.475</v>
      </c>
      <c r="O4915">
        <v>798533737.59739995</v>
      </c>
      <c r="P4915">
        <v>1</v>
      </c>
      <c r="Q4915" t="s">
        <v>10177</v>
      </c>
    </row>
    <row r="4916" spans="1:17" x14ac:dyDescent="0.3">
      <c r="A4916" t="s">
        <v>73</v>
      </c>
      <c r="B4916" t="str">
        <f>"200539"</f>
        <v>200539</v>
      </c>
      <c r="C4916" t="s">
        <v>10178</v>
      </c>
      <c r="F4916">
        <v>5469413473.5035</v>
      </c>
      <c r="G4916">
        <v>2797217207.7122998</v>
      </c>
      <c r="H4916">
        <v>2999302863.2396998</v>
      </c>
      <c r="I4916">
        <v>3473519050.8295002</v>
      </c>
      <c r="J4916">
        <v>3115040229.9952002</v>
      </c>
      <c r="K4916">
        <v>2382684446.1645002</v>
      </c>
      <c r="L4916">
        <v>3097655827.5</v>
      </c>
      <c r="M4916">
        <v>4132700752.0924001</v>
      </c>
      <c r="N4916">
        <v>4086255093.3102002</v>
      </c>
      <c r="O4916">
        <v>2174703873.3000002</v>
      </c>
      <c r="P4916">
        <v>185</v>
      </c>
      <c r="Q4916" t="s">
        <v>10179</v>
      </c>
    </row>
    <row r="4917" spans="1:17" x14ac:dyDescent="0.3">
      <c r="A4917" t="s">
        <v>73</v>
      </c>
      <c r="B4917" t="str">
        <f>"200550"</f>
        <v>200550</v>
      </c>
      <c r="C4917" t="s">
        <v>10180</v>
      </c>
      <c r="F4917">
        <v>4017110457.1999998</v>
      </c>
      <c r="G4917">
        <v>2572417081.0239</v>
      </c>
      <c r="H4917">
        <v>3211695645.2037001</v>
      </c>
      <c r="I4917">
        <v>2588664209.1630001</v>
      </c>
      <c r="J4917">
        <v>1920081657.5472</v>
      </c>
      <c r="K4917">
        <v>1609399933.4289</v>
      </c>
      <c r="L4917">
        <v>1282746221.25</v>
      </c>
      <c r="M4917">
        <v>965400446.18959999</v>
      </c>
      <c r="N4917">
        <v>682609051.32420003</v>
      </c>
      <c r="O4917">
        <v>376501449.94199997</v>
      </c>
      <c r="P4917">
        <v>154</v>
      </c>
      <c r="Q4917" t="s">
        <v>10181</v>
      </c>
    </row>
    <row r="4918" spans="1:17" x14ac:dyDescent="0.3">
      <c r="A4918" t="s">
        <v>73</v>
      </c>
      <c r="B4918" t="str">
        <f>"200581"</f>
        <v>200581</v>
      </c>
      <c r="C4918" t="s">
        <v>10182</v>
      </c>
      <c r="F4918">
        <v>4978038932.1070004</v>
      </c>
      <c r="G4918">
        <v>2783568275.7881999</v>
      </c>
      <c r="H4918">
        <v>3058383902.2605</v>
      </c>
      <c r="I4918">
        <v>3013027963.0434999</v>
      </c>
      <c r="J4918">
        <v>2365617428.3754001</v>
      </c>
      <c r="K4918">
        <v>1960027387.5826001</v>
      </c>
      <c r="L4918">
        <v>2056345280</v>
      </c>
      <c r="M4918">
        <v>1928720846.9995999</v>
      </c>
      <c r="N4918">
        <v>1633945911.8183999</v>
      </c>
      <c r="O4918">
        <v>1486846630.7550001</v>
      </c>
      <c r="P4918">
        <v>448</v>
      </c>
      <c r="Q4918" t="s">
        <v>10183</v>
      </c>
    </row>
    <row r="4919" spans="1:17" x14ac:dyDescent="0.3">
      <c r="A4919" t="s">
        <v>73</v>
      </c>
      <c r="B4919" t="str">
        <f>"200770"</f>
        <v>200770</v>
      </c>
      <c r="C4919" t="s">
        <v>10184</v>
      </c>
      <c r="J4919">
        <v>160360776.6769</v>
      </c>
      <c r="K4919">
        <v>254005221.4425</v>
      </c>
      <c r="L4919">
        <v>50369495.924999997</v>
      </c>
      <c r="M4919">
        <v>73250604.496099994</v>
      </c>
      <c r="N4919">
        <v>178239443.95030001</v>
      </c>
      <c r="O4919">
        <v>437003538.40890002</v>
      </c>
      <c r="P4919">
        <v>0</v>
      </c>
      <c r="Q4919" t="s">
        <v>10185</v>
      </c>
    </row>
    <row r="4920" spans="1:17" x14ac:dyDescent="0.3">
      <c r="A4920" t="s">
        <v>73</v>
      </c>
      <c r="B4920" t="str">
        <f>"200986"</f>
        <v>200986</v>
      </c>
      <c r="C4920" t="s">
        <v>10186</v>
      </c>
      <c r="F4920">
        <v>603084873.79849994</v>
      </c>
      <c r="G4920">
        <v>777596018.84430003</v>
      </c>
      <c r="H4920">
        <v>753423843.48119998</v>
      </c>
      <c r="I4920">
        <v>953224017.15199995</v>
      </c>
      <c r="J4920">
        <v>951083629.28320003</v>
      </c>
      <c r="K4920">
        <v>1010010071.9016</v>
      </c>
      <c r="L4920">
        <v>952970233.75</v>
      </c>
      <c r="M4920">
        <v>1112388098.3615999</v>
      </c>
      <c r="N4920">
        <v>1381279574.9015999</v>
      </c>
      <c r="O4920">
        <v>1164841055.8829999</v>
      </c>
      <c r="P4920">
        <v>8</v>
      </c>
      <c r="Q4920" t="s">
        <v>10187</v>
      </c>
    </row>
    <row r="4921" spans="1:17" x14ac:dyDescent="0.3">
      <c r="A4921" t="s">
        <v>73</v>
      </c>
      <c r="B4921" t="str">
        <f>"300028"</f>
        <v>300028</v>
      </c>
      <c r="C4921" t="s">
        <v>10188</v>
      </c>
      <c r="G4921">
        <v>21592248</v>
      </c>
      <c r="H4921">
        <v>26687374</v>
      </c>
      <c r="I4921">
        <v>32115989</v>
      </c>
      <c r="J4921">
        <v>38010920</v>
      </c>
      <c r="K4921">
        <v>89501315</v>
      </c>
      <c r="L4921">
        <v>173115259</v>
      </c>
      <c r="M4921">
        <v>310018574</v>
      </c>
      <c r="N4921">
        <v>342819531</v>
      </c>
      <c r="O4921">
        <v>150129461</v>
      </c>
      <c r="P4921">
        <v>31</v>
      </c>
      <c r="Q4921" t="s">
        <v>10189</v>
      </c>
    </row>
    <row r="4922" spans="1:17" x14ac:dyDescent="0.3">
      <c r="A4922" t="s">
        <v>73</v>
      </c>
      <c r="B4922" t="str">
        <f>"300090"</f>
        <v>300090</v>
      </c>
      <c r="C4922" t="s">
        <v>10190</v>
      </c>
      <c r="G4922">
        <v>837017096</v>
      </c>
      <c r="H4922">
        <v>1111122801</v>
      </c>
      <c r="I4922">
        <v>1145316651</v>
      </c>
      <c r="J4922">
        <v>992443544</v>
      </c>
      <c r="K4922">
        <v>987644937</v>
      </c>
      <c r="L4922">
        <v>995164160</v>
      </c>
      <c r="M4922">
        <v>919576378</v>
      </c>
      <c r="N4922">
        <v>479674556</v>
      </c>
      <c r="O4922">
        <v>295433615</v>
      </c>
      <c r="P4922">
        <v>72</v>
      </c>
      <c r="Q4922" t="s">
        <v>10191</v>
      </c>
    </row>
    <row r="4923" spans="1:17" x14ac:dyDescent="0.3">
      <c r="A4923" t="s">
        <v>73</v>
      </c>
      <c r="B4923" t="str">
        <f>"300104"</f>
        <v>300104</v>
      </c>
      <c r="C4923" t="s">
        <v>10192</v>
      </c>
      <c r="G4923">
        <v>404900803</v>
      </c>
      <c r="H4923">
        <v>1089469651</v>
      </c>
      <c r="I4923">
        <v>3566788696</v>
      </c>
      <c r="J4923">
        <v>9537282767</v>
      </c>
      <c r="K4923">
        <v>3896024960.6900001</v>
      </c>
      <c r="L4923">
        <v>2419121945.0900002</v>
      </c>
      <c r="M4923">
        <v>1251663311.05</v>
      </c>
      <c r="N4923">
        <v>553705157.15999997</v>
      </c>
      <c r="O4923">
        <v>234719457.94</v>
      </c>
      <c r="P4923">
        <v>205</v>
      </c>
      <c r="Q4923" t="s">
        <v>10193</v>
      </c>
    </row>
    <row r="4924" spans="1:17" x14ac:dyDescent="0.3">
      <c r="A4924" t="s">
        <v>73</v>
      </c>
      <c r="B4924" t="str">
        <f>"300108"</f>
        <v>300108</v>
      </c>
      <c r="C4924" t="s">
        <v>10194</v>
      </c>
      <c r="D4924" t="s">
        <v>215</v>
      </c>
      <c r="F4924">
        <v>379399391</v>
      </c>
      <c r="G4924">
        <v>570570934</v>
      </c>
      <c r="H4924">
        <v>0</v>
      </c>
      <c r="I4924">
        <v>507142906</v>
      </c>
      <c r="J4924">
        <v>467437261</v>
      </c>
      <c r="K4924">
        <v>319081089</v>
      </c>
      <c r="L4924">
        <v>338175415</v>
      </c>
      <c r="M4924">
        <v>83929943</v>
      </c>
      <c r="N4924">
        <v>55896605</v>
      </c>
      <c r="O4924">
        <v>31241577</v>
      </c>
      <c r="P4924">
        <v>121</v>
      </c>
      <c r="Q4924" t="s">
        <v>10195</v>
      </c>
    </row>
    <row r="4925" spans="1:17" x14ac:dyDescent="0.3">
      <c r="A4925" t="s">
        <v>73</v>
      </c>
      <c r="B4925" t="str">
        <f>"300156"</f>
        <v>300156</v>
      </c>
      <c r="C4925" t="s">
        <v>10196</v>
      </c>
      <c r="H4925">
        <v>1392460554</v>
      </c>
      <c r="I4925">
        <v>2037309989</v>
      </c>
      <c r="J4925">
        <v>1258475293</v>
      </c>
      <c r="K4925">
        <v>635481783</v>
      </c>
      <c r="L4925">
        <v>241073585</v>
      </c>
      <c r="M4925">
        <v>552012153</v>
      </c>
      <c r="N4925">
        <v>418552808</v>
      </c>
      <c r="O4925">
        <v>146905735</v>
      </c>
      <c r="P4925">
        <v>300</v>
      </c>
      <c r="Q4925" t="s">
        <v>10197</v>
      </c>
    </row>
    <row r="4926" spans="1:17" x14ac:dyDescent="0.3">
      <c r="A4926" t="s">
        <v>73</v>
      </c>
      <c r="B4926" t="str">
        <f>"300186"</f>
        <v>300186</v>
      </c>
      <c r="C4926" t="s">
        <v>10198</v>
      </c>
      <c r="L4926">
        <v>276338275.64999998</v>
      </c>
      <c r="M4926">
        <v>320884425.69999999</v>
      </c>
      <c r="N4926">
        <v>218292275.02000001</v>
      </c>
      <c r="O4926">
        <v>205060355.87</v>
      </c>
      <c r="P4926">
        <v>5</v>
      </c>
      <c r="Q4926" t="s">
        <v>10199</v>
      </c>
    </row>
    <row r="4927" spans="1:17" x14ac:dyDescent="0.3">
      <c r="A4927" t="s">
        <v>73</v>
      </c>
      <c r="B4927" t="str">
        <f>"300201"</f>
        <v>300201</v>
      </c>
      <c r="C4927" t="s">
        <v>10200</v>
      </c>
      <c r="D4927" t="s">
        <v>75</v>
      </c>
      <c r="F4927">
        <v>595850608</v>
      </c>
      <c r="G4927">
        <v>1057090218</v>
      </c>
      <c r="H4927">
        <v>1043882294</v>
      </c>
      <c r="I4927">
        <v>961974321</v>
      </c>
      <c r="J4927">
        <v>743637575</v>
      </c>
      <c r="K4927">
        <v>536413135</v>
      </c>
      <c r="L4927">
        <v>251826003</v>
      </c>
      <c r="M4927">
        <v>226370718</v>
      </c>
      <c r="N4927">
        <v>148878430</v>
      </c>
      <c r="O4927">
        <v>114638459</v>
      </c>
      <c r="P4927">
        <v>77</v>
      </c>
      <c r="Q4927" t="s">
        <v>10201</v>
      </c>
    </row>
    <row r="4928" spans="1:17" x14ac:dyDescent="0.3">
      <c r="A4928" t="s">
        <v>73</v>
      </c>
      <c r="B4928" t="str">
        <f>"300216"</f>
        <v>300216</v>
      </c>
      <c r="C4928" t="s">
        <v>10202</v>
      </c>
      <c r="G4928">
        <v>292216274</v>
      </c>
      <c r="H4928">
        <v>506041291</v>
      </c>
      <c r="I4928">
        <v>920953003</v>
      </c>
      <c r="J4928">
        <v>1086092813</v>
      </c>
      <c r="K4928">
        <v>535464576</v>
      </c>
      <c r="L4928">
        <v>481810708</v>
      </c>
      <c r="M4928">
        <v>247647364</v>
      </c>
      <c r="N4928">
        <v>307226198</v>
      </c>
      <c r="O4928">
        <v>167498825</v>
      </c>
      <c r="P4928">
        <v>53</v>
      </c>
      <c r="Q4928" t="s">
        <v>10203</v>
      </c>
    </row>
    <row r="4929" spans="1:17" x14ac:dyDescent="0.3">
      <c r="A4929" t="s">
        <v>73</v>
      </c>
      <c r="B4929" t="str">
        <f>"300312"</f>
        <v>300312</v>
      </c>
      <c r="C4929" t="s">
        <v>10204</v>
      </c>
      <c r="D4929" t="s">
        <v>189</v>
      </c>
      <c r="F4929">
        <v>127779726</v>
      </c>
      <c r="G4929">
        <v>243810045</v>
      </c>
      <c r="H4929">
        <v>315269705</v>
      </c>
      <c r="I4929">
        <v>467748991</v>
      </c>
      <c r="J4929">
        <v>643509825</v>
      </c>
      <c r="K4929">
        <v>704652669</v>
      </c>
      <c r="L4929">
        <v>660582456</v>
      </c>
      <c r="M4929">
        <v>462812591</v>
      </c>
      <c r="N4929">
        <v>534623776</v>
      </c>
      <c r="O4929">
        <v>381718500</v>
      </c>
      <c r="P4929">
        <v>134</v>
      </c>
      <c r="Q4929" t="s">
        <v>10205</v>
      </c>
    </row>
    <row r="4930" spans="1:17" x14ac:dyDescent="0.3">
      <c r="A4930" t="s">
        <v>73</v>
      </c>
      <c r="B4930" t="str">
        <f>"300362"</f>
        <v>300362</v>
      </c>
      <c r="C4930" t="s">
        <v>10206</v>
      </c>
      <c r="F4930">
        <v>180034855</v>
      </c>
      <c r="G4930">
        <v>206717278</v>
      </c>
      <c r="H4930">
        <v>298665697</v>
      </c>
      <c r="I4930">
        <v>588799291</v>
      </c>
      <c r="J4930">
        <v>911095438</v>
      </c>
      <c r="K4930">
        <v>420858704</v>
      </c>
      <c r="L4930">
        <v>225036061</v>
      </c>
      <c r="M4930">
        <v>197621132</v>
      </c>
      <c r="N4930">
        <v>187108516.66</v>
      </c>
      <c r="O4930">
        <v>158524071.52000001</v>
      </c>
      <c r="P4930">
        <v>87</v>
      </c>
      <c r="Q4930" t="s">
        <v>10207</v>
      </c>
    </row>
    <row r="4931" spans="1:17" x14ac:dyDescent="0.3">
      <c r="A4931" t="s">
        <v>73</v>
      </c>
      <c r="B4931" t="str">
        <f>"300372"</f>
        <v>300372</v>
      </c>
      <c r="C4931" t="s">
        <v>10208</v>
      </c>
      <c r="J4931">
        <v>384177800</v>
      </c>
      <c r="K4931">
        <v>523483494.86000001</v>
      </c>
      <c r="L4931">
        <v>419795209.5</v>
      </c>
      <c r="M4931">
        <v>286524170.55000001</v>
      </c>
      <c r="N4931">
        <v>0</v>
      </c>
      <c r="P4931">
        <v>5</v>
      </c>
      <c r="Q4931" t="s">
        <v>10209</v>
      </c>
    </row>
    <row r="4932" spans="1:17" x14ac:dyDescent="0.3">
      <c r="A4932" t="s">
        <v>73</v>
      </c>
      <c r="B4932" t="str">
        <f>"300431"</f>
        <v>300431</v>
      </c>
      <c r="C4932" t="s">
        <v>10210</v>
      </c>
      <c r="H4932">
        <v>340491309</v>
      </c>
      <c r="I4932">
        <v>779948167</v>
      </c>
      <c r="J4932">
        <v>565552378</v>
      </c>
      <c r="K4932">
        <v>250811719</v>
      </c>
      <c r="L4932">
        <v>163053933</v>
      </c>
      <c r="M4932">
        <v>0</v>
      </c>
      <c r="P4932">
        <v>145</v>
      </c>
      <c r="Q4932" t="s">
        <v>10211</v>
      </c>
    </row>
    <row r="4933" spans="1:17" x14ac:dyDescent="0.3">
      <c r="A4933" t="s">
        <v>73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筛选器_大陆_20220502_001133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2022-05-01T16:11:56Z</dcterms:created>
  <dcterms:modified xsi:type="dcterms:W3CDTF">2022-05-01T16:11:56Z</dcterms:modified>
</cp:coreProperties>
</file>