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BAE77487-787F-42F1-9D02-CDBA828A7C96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000451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</calcChain>
</file>

<file path=xl/sharedStrings.xml><?xml version="1.0" encoding="utf-8"?>
<sst xmlns="http://schemas.openxmlformats.org/spreadsheetml/2006/main" count="19512" uniqueCount="10264">
  <si>
    <t>交易所</t>
  </si>
  <si>
    <t>代码</t>
  </si>
  <si>
    <t>公司</t>
  </si>
  <si>
    <t>行业</t>
  </si>
  <si>
    <t>应收账款 当期 2022-12-31 (元)</t>
  </si>
  <si>
    <t>应收账款 当期 2021-12-31 (元)</t>
  </si>
  <si>
    <t>应收账款 当期 2020-12-31 (元)</t>
  </si>
  <si>
    <t>应收账款 当期 2019-12-31 (元)</t>
  </si>
  <si>
    <t>应收账款 当期 2018-12-31 (元)</t>
  </si>
  <si>
    <t>应收账款 当期 2017-12-31 (元)</t>
  </si>
  <si>
    <t>应收账款 当期 2016-12-31 (元)</t>
  </si>
  <si>
    <t>应收账款 当期 2015-12-31 (元)</t>
  </si>
  <si>
    <t>应收账款 当期 2014-12-31 (元)</t>
  </si>
  <si>
    <t>应收账款 当期 2013-12-31 (元)</t>
  </si>
  <si>
    <t>应收账款 当期 2012-12-31 (元)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</si>
  <si>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</si>
  <si>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</si>
  <si>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</si>
  <si>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</si>
  <si>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</si>
  <si>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</si>
  <si>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</si>
  <si>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</si>
  <si>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</si>
  <si>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</si>
  <si>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</si>
  <si>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</si>
  <si>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</si>
  <si>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</si>
  <si>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</si>
  <si>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</si>
  <si>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</si>
  <si>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</si>
  <si>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</si>
  <si>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</si>
  <si>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</si>
  <si>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</si>
  <si>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</si>
  <si>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</si>
  <si>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</si>
  <si>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</si>
  <si>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</si>
  <si>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</si>
  <si>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</si>
  <si>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</si>
  <si>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</si>
  <si>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</si>
  <si>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</si>
  <si>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</si>
  <si>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</si>
  <si>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</si>
  <si>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</si>
  <si>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</si>
  <si>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</si>
  <si>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</si>
  <si>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</si>
  <si>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</si>
  <si>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</si>
  <si>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</si>
  <si>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</si>
  <si>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</si>
  <si>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</si>
  <si>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</si>
  <si>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</si>
  <si>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</si>
  <si>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</si>
  <si>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</si>
  <si>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</si>
  <si>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</si>
  <si>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</si>
  <si>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</si>
  <si>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</si>
  <si>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</si>
  <si>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</si>
  <si>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</si>
  <si>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</si>
  <si>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</si>
  <si>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</si>
  <si>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</si>
  <si>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</si>
  <si>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</si>
  <si>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</si>
  <si>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</si>
  <si>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</si>
  <si>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</si>
  <si>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</si>
  <si>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</si>
  <si>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</si>
  <si>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</si>
  <si>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</si>
  <si>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</si>
  <si>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</si>
  <si>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</si>
  <si>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</si>
  <si>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</si>
  <si>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</si>
  <si>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</si>
  <si>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</si>
  <si>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</si>
  <si>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</si>
  <si>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</si>
  <si>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</si>
  <si>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</si>
  <si>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</si>
  <si>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</si>
  <si>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</si>
  <si>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</si>
  <si>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</si>
  <si>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</si>
  <si>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</si>
  <si>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</si>
  <si>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</si>
  <si>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</si>
  <si>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</si>
  <si>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</si>
  <si>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</si>
  <si>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</si>
  <si>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</si>
  <si>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</si>
  <si>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</si>
  <si>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</si>
  <si>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</si>
  <si>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</si>
  <si>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</si>
  <si>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</si>
  <si>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</si>
  <si>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</si>
  <si>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</si>
  <si>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</si>
  <si>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</si>
  <si>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</si>
  <si>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</si>
  <si>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</si>
  <si>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</si>
  <si>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</si>
  <si>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</si>
  <si>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</si>
  <si>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</si>
  <si>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</si>
  <si>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</si>
  <si>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</si>
  <si>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</si>
  <si>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</si>
  <si>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</si>
  <si>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</si>
  <si>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</si>
  <si>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</si>
  <si>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</si>
  <si>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</si>
  <si>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</si>
  <si>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</si>
  <si>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</si>
  <si>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</si>
  <si>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</si>
  <si>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</si>
  <si>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</si>
  <si>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</si>
  <si>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</si>
  <si>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</si>
  <si>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</si>
  <si>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</si>
  <si>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</si>
  <si>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</si>
  <si>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</si>
  <si>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</si>
  <si>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</si>
  <si>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</si>
  <si>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</si>
  <si>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</si>
  <si>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</si>
  <si>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</si>
  <si>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</si>
  <si>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</si>
  <si>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</si>
  <si>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</si>
  <si>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</si>
  <si>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</si>
  <si>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</si>
  <si>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</si>
  <si>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</si>
  <si>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</si>
  <si>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</si>
  <si>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</si>
  <si>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</si>
  <si>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</si>
  <si>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</si>
  <si>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</si>
  <si>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</si>
  <si>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</si>
  <si>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</si>
  <si>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</si>
  <si>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</si>
  <si>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</si>
  <si>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</si>
  <si>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</si>
  <si>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</si>
  <si>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</si>
  <si>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</si>
  <si>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</si>
  <si>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</si>
  <si>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</si>
  <si>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</si>
  <si>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</si>
  <si>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</si>
  <si>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</si>
  <si>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</si>
  <si>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</si>
  <si>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</si>
  <si>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</si>
  <si>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</si>
  <si>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</si>
  <si>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</si>
  <si>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</si>
  <si>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</si>
  <si>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</si>
  <si>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</si>
  <si>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</si>
  <si>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</si>
  <si>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</si>
  <si>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</si>
  <si>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</si>
  <si>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</si>
  <si>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</si>
  <si>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</si>
  <si>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</si>
  <si>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</si>
  <si>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</si>
  <si>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</si>
  <si>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</si>
  <si>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</si>
  <si>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</si>
  <si>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</si>
  <si>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</si>
  <si>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</si>
  <si>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</si>
  <si>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</si>
  <si>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</si>
  <si>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</si>
  <si>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</si>
  <si>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</si>
  <si>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</si>
  <si>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</si>
  <si>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</si>
  <si>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</si>
  <si>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</si>
  <si>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</si>
  <si>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</si>
  <si>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</si>
  <si>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</si>
  <si>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</si>
  <si>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</si>
  <si>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</si>
  <si>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</si>
  <si>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</si>
  <si>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</si>
  <si>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</si>
  <si>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</si>
  <si>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</si>
  <si>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</si>
  <si>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</si>
  <si>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</si>
  <si>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</si>
  <si>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</si>
  <si>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</si>
  <si>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</si>
  <si>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</si>
  <si>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</si>
  <si>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</si>
  <si>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</si>
  <si>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</si>
  <si>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</si>
  <si>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</si>
  <si>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</si>
  <si>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</si>
  <si>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</si>
  <si>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</si>
  <si>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</si>
  <si>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</si>
  <si>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</si>
  <si>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</si>
  <si>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</si>
  <si>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</si>
  <si>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</si>
  <si>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</si>
  <si>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</si>
  <si>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</si>
  <si>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</si>
  <si>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</si>
  <si>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</si>
  <si>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</si>
  <si>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</si>
  <si>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</si>
  <si>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</si>
  <si>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</si>
  <si>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</si>
  <si>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</si>
  <si>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</si>
  <si>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</si>
  <si>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</si>
  <si>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</si>
  <si>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</si>
  <si>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</si>
  <si>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</si>
  <si>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</si>
  <si>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</si>
  <si>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</si>
  <si>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</si>
  <si>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</si>
  <si>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</si>
  <si>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</si>
  <si>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</si>
  <si>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</si>
  <si>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</si>
  <si>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</si>
  <si>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</si>
  <si>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</si>
  <si>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</si>
  <si>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</si>
  <si>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</si>
  <si>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</si>
  <si>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</si>
  <si>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</si>
  <si>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</si>
  <si>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</si>
  <si>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</si>
  <si>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</si>
  <si>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</si>
  <si>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</si>
  <si>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</si>
  <si>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</si>
  <si>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</si>
  <si>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</si>
  <si>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</si>
  <si>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</si>
  <si>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</si>
  <si>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</si>
  <si>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</si>
  <si>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</si>
  <si>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</si>
  <si>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</si>
  <si>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</si>
  <si>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</si>
  <si>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</si>
  <si>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</si>
  <si>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</si>
  <si>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</si>
  <si>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</si>
  <si>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</si>
  <si>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</si>
  <si>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</si>
  <si>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</si>
  <si>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</si>
  <si>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</si>
  <si>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</si>
  <si>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</si>
  <si>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</si>
  <si>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</si>
  <si>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</si>
  <si>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</si>
  <si>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</si>
  <si>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</si>
  <si>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</si>
  <si>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</si>
  <si>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</si>
  <si>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</si>
  <si>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</si>
  <si>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</si>
  <si>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</si>
  <si>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</si>
  <si>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</si>
  <si>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</si>
  <si>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</si>
  <si>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</si>
  <si>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</si>
  <si>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</si>
  <si>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</si>
  <si>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</si>
  <si>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</si>
  <si>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</si>
  <si>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</si>
  <si>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</si>
  <si>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</si>
  <si>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</si>
  <si>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</si>
  <si>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</si>
  <si>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</si>
  <si>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</si>
  <si>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</si>
  <si>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</si>
  <si>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</si>
  <si>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</si>
  <si>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</si>
  <si>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</si>
  <si>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</si>
  <si>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</si>
  <si>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</si>
  <si>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</si>
  <si>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</si>
  <si>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</si>
  <si>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</si>
  <si>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</si>
  <si>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</si>
  <si>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</si>
  <si>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</si>
  <si>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</si>
  <si>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</si>
  <si>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</si>
  <si>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</si>
  <si>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</si>
  <si>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</si>
  <si>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</si>
  <si>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</si>
  <si>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</si>
  <si>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</si>
  <si>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</si>
  <si>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</si>
  <si>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</si>
  <si>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</si>
  <si>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</si>
  <si>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</si>
  <si>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</si>
  <si>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</si>
  <si>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</si>
  <si>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</si>
  <si>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</si>
  <si>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</si>
  <si>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</si>
  <si>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</si>
  <si>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</si>
  <si>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</si>
  <si>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</si>
  <si>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</si>
  <si>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</si>
  <si>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</si>
  <si>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</si>
  <si>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</si>
  <si>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</si>
  <si>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</si>
  <si>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</si>
  <si>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</si>
  <si>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</si>
  <si>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</si>
  <si>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</si>
  <si>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</si>
  <si>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</si>
  <si>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</si>
  <si>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</si>
  <si>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</si>
  <si>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</si>
  <si>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</si>
  <si>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</si>
  <si>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</si>
  <si>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</si>
  <si>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</si>
  <si>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</si>
  <si>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</si>
  <si>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</si>
  <si>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</si>
  <si>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</si>
  <si>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</si>
  <si>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</si>
  <si>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</si>
  <si>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</si>
  <si>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</si>
  <si>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</si>
  <si>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</si>
  <si>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</si>
  <si>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</si>
  <si>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</si>
  <si>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</si>
  <si>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</si>
  <si>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</si>
  <si>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</si>
  <si>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</si>
  <si>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</si>
  <si>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</si>
  <si>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</si>
  <si>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</si>
  <si>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</si>
  <si>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</si>
  <si>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</si>
  <si>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</si>
  <si>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</si>
  <si>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</si>
  <si>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</si>
  <si>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</si>
  <si>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</si>
  <si>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</si>
  <si>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</si>
  <si>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</si>
  <si>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</si>
  <si>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</si>
  <si>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</si>
  <si>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</si>
  <si>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</si>
  <si>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</si>
  <si>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</si>
  <si>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</si>
  <si>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</si>
  <si>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</si>
  <si>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</si>
  <si>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</si>
  <si>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</si>
  <si>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</si>
  <si>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</si>
  <si>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</si>
  <si>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</si>
  <si>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</si>
  <si>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</si>
  <si>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</si>
  <si>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</si>
  <si>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</si>
  <si>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</si>
  <si>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</si>
  <si>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</si>
  <si>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</si>
  <si>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</si>
  <si>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</si>
  <si>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</si>
  <si>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</si>
  <si>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</si>
  <si>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</si>
  <si>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</si>
  <si>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</si>
  <si>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</si>
  <si>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</si>
  <si>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</si>
  <si>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</si>
  <si>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</si>
  <si>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</si>
  <si>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</si>
  <si>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</si>
  <si>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</si>
  <si>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</si>
  <si>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</si>
  <si>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</si>
  <si>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</si>
  <si>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</si>
  <si>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</si>
  <si>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</si>
  <si>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</si>
  <si>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</si>
  <si>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</si>
  <si>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</si>
  <si>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</si>
  <si>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</si>
  <si>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</si>
  <si>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</si>
  <si>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</si>
  <si>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</si>
  <si>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</si>
  <si>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</si>
  <si>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</si>
  <si>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</si>
  <si>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</si>
  <si>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</si>
  <si>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</si>
  <si>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</si>
  <si>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</si>
  <si>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</si>
  <si>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</si>
  <si>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</si>
  <si>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</si>
  <si>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</si>
  <si>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</si>
  <si>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</si>
  <si>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</si>
  <si>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</si>
  <si>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</si>
  <si>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</si>
  <si>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</si>
  <si>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</si>
  <si>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</si>
  <si>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</si>
  <si>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</si>
  <si>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</si>
  <si>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</si>
  <si>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</si>
  <si>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</si>
  <si>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</si>
  <si>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</si>
  <si>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</si>
  <si>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</si>
  <si>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</si>
  <si>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</si>
  <si>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</si>
  <si>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</si>
  <si>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</si>
  <si>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</si>
  <si>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</si>
  <si>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</si>
  <si>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</si>
  <si>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</si>
  <si>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</si>
  <si>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</si>
  <si>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</si>
  <si>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</si>
  <si>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</si>
  <si>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</si>
  <si>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</si>
  <si>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</si>
  <si>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</si>
  <si>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</si>
  <si>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</si>
  <si>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</si>
  <si>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</si>
  <si>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</si>
  <si>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</si>
  <si>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</si>
  <si>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</si>
  <si>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</si>
  <si>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</si>
  <si>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</si>
  <si>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</si>
  <si>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</si>
  <si>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</si>
  <si>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</si>
  <si>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</si>
  <si>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</si>
  <si>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</si>
  <si>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</si>
  <si>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</si>
  <si>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</si>
  <si>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</si>
  <si>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</si>
  <si>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</si>
  <si>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</si>
  <si>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</si>
  <si>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</si>
  <si>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</si>
  <si>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</si>
  <si>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</si>
  <si>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</si>
  <si>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</si>
  <si>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</si>
  <si>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</si>
  <si>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</si>
  <si>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</si>
  <si>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</si>
  <si>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</si>
  <si>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</si>
  <si>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</si>
  <si>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</si>
  <si>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</si>
  <si>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</si>
  <si>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</si>
  <si>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</si>
  <si>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</si>
  <si>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</si>
  <si>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</si>
  <si>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</si>
  <si>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</si>
  <si>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</si>
  <si>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</si>
  <si>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</si>
  <si>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</si>
  <si>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</si>
  <si>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</si>
  <si>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</si>
  <si>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</si>
  <si>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</si>
  <si>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</si>
  <si>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</si>
  <si>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</si>
  <si>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</si>
  <si>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</si>
  <si>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</si>
  <si>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</si>
  <si>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</si>
  <si>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</si>
  <si>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</si>
  <si>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</si>
  <si>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</si>
  <si>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</si>
  <si>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</si>
  <si>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</si>
  <si>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</si>
  <si>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</si>
  <si>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</si>
  <si>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</si>
  <si>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</si>
  <si>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</si>
  <si>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</si>
  <si>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</si>
  <si>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</si>
  <si>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</si>
  <si>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</si>
  <si>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</si>
  <si>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</si>
  <si>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</si>
  <si>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</si>
  <si>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</si>
  <si>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</si>
  <si>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</si>
  <si>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</si>
  <si>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</si>
  <si>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</si>
  <si>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</si>
  <si>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</si>
  <si>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</si>
  <si>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</si>
  <si>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</si>
  <si>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</si>
  <si>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</si>
  <si>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</si>
  <si>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</si>
  <si>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</si>
  <si>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</si>
  <si>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</si>
  <si>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</si>
  <si>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</si>
  <si>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</si>
  <si>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</si>
  <si>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</si>
  <si>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</si>
  <si>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</si>
  <si>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</si>
  <si>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</si>
  <si>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</si>
  <si>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</si>
  <si>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</si>
  <si>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</si>
  <si>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</si>
  <si>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</si>
  <si>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</si>
  <si>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</si>
  <si>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</si>
  <si>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</si>
  <si>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</si>
  <si>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</si>
  <si>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</si>
  <si>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</si>
  <si>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</si>
  <si>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</si>
  <si>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</si>
  <si>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</si>
  <si>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</si>
  <si>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</si>
  <si>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</si>
  <si>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</si>
  <si>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</si>
  <si>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</si>
  <si>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</si>
  <si>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</si>
  <si>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</si>
  <si>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</si>
  <si>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</si>
  <si>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</si>
  <si>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</si>
  <si>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</si>
  <si>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</si>
  <si>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</si>
  <si>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</si>
  <si>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</si>
  <si>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</si>
  <si>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</si>
  <si>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</si>
  <si>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</si>
  <si>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</si>
  <si>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</si>
  <si>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</si>
  <si>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</si>
  <si>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</si>
  <si>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</si>
  <si>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</si>
  <si>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</si>
  <si>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</si>
  <si>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</si>
  <si>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</si>
  <si>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</si>
  <si>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</si>
  <si>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</si>
  <si>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</si>
  <si>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</si>
  <si>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</si>
  <si>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</si>
  <si>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</si>
  <si>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</si>
  <si>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</si>
  <si>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</si>
  <si>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</si>
  <si>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</si>
  <si>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</si>
  <si>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</si>
  <si>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</si>
  <si>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</si>
  <si>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</si>
  <si>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</si>
  <si>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</si>
  <si>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</si>
  <si>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</si>
  <si>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</si>
  <si>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</si>
  <si>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</si>
  <si>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</si>
  <si>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</si>
  <si>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</si>
  <si>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</si>
  <si>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</si>
  <si>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</si>
  <si>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</si>
  <si>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</si>
  <si>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</si>
  <si>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</si>
  <si>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</si>
  <si>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</si>
  <si>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</si>
  <si>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</si>
  <si>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</si>
  <si>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</si>
  <si>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</si>
  <si>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</si>
  <si>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</si>
  <si>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</si>
  <si>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</si>
  <si>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</si>
  <si>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</si>
  <si>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</si>
  <si>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</si>
  <si>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</si>
  <si>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</si>
  <si>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</si>
  <si>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</si>
  <si>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</si>
  <si>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</si>
  <si>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</si>
  <si>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</si>
  <si>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</si>
  <si>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</si>
  <si>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</si>
  <si>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</si>
  <si>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</si>
  <si>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</si>
  <si>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</si>
  <si>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</si>
  <si>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</si>
  <si>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</si>
  <si>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</si>
  <si>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</si>
  <si>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</si>
  <si>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</si>
  <si>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</si>
  <si>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</si>
  <si>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</si>
  <si>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</si>
  <si>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</si>
  <si>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</si>
  <si>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</si>
  <si>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</si>
  <si>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</si>
  <si>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</si>
  <si>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</si>
  <si>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</si>
  <si>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</si>
  <si>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</si>
  <si>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</si>
  <si>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</si>
  <si>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</si>
  <si>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</si>
  <si>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</si>
  <si>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</si>
  <si>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</si>
  <si>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</si>
  <si>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</si>
  <si>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</si>
  <si>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</si>
  <si>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</si>
  <si>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</si>
  <si>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</si>
  <si>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</si>
  <si>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</si>
  <si>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</si>
  <si>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</si>
  <si>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</si>
  <si>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</si>
  <si>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</si>
  <si>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</si>
  <si>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</si>
  <si>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</si>
  <si>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</si>
  <si>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</si>
  <si>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</si>
  <si>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</si>
  <si>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</si>
  <si>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</si>
  <si>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</si>
  <si>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</si>
  <si>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</si>
  <si>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</si>
  <si>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</si>
  <si>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</si>
  <si>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</si>
  <si>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</si>
  <si>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</si>
  <si>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</si>
  <si>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</si>
  <si>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</si>
  <si>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</si>
  <si>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</si>
  <si>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</si>
  <si>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</si>
  <si>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</si>
  <si>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</si>
  <si>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</si>
  <si>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</si>
  <si>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</si>
  <si>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</si>
  <si>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</si>
  <si>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</si>
  <si>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</si>
  <si>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</si>
  <si>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</si>
  <si>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</si>
  <si>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</si>
  <si>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</si>
  <si>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</si>
  <si>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</si>
  <si>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</si>
  <si>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</si>
  <si>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</si>
  <si>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</si>
  <si>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</si>
  <si>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</si>
  <si>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</si>
  <si>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</si>
  <si>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</si>
  <si>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</si>
  <si>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</si>
  <si>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</si>
  <si>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</si>
  <si>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</si>
  <si>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</si>
  <si>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</si>
  <si>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</si>
  <si>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</si>
  <si>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</si>
  <si>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</si>
  <si>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</si>
  <si>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</si>
  <si>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</si>
  <si>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</si>
  <si>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</si>
  <si>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</si>
  <si>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</si>
  <si>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</si>
  <si>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</si>
  <si>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</si>
  <si>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</si>
  <si>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</si>
  <si>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</si>
  <si>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</si>
  <si>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</si>
  <si>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</si>
  <si>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</si>
  <si>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</si>
  <si>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</si>
  <si>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</si>
  <si>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</si>
  <si>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</si>
  <si>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</si>
  <si>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</si>
  <si>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</si>
  <si>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</si>
  <si>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</si>
  <si>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</si>
  <si>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</si>
  <si>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</si>
  <si>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</si>
  <si>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</si>
  <si>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</si>
  <si>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</si>
  <si>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</si>
  <si>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</si>
  <si>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</si>
  <si>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</si>
  <si>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</si>
  <si>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</si>
  <si>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</si>
  <si>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</si>
  <si>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</si>
  <si>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</si>
  <si>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</si>
  <si>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</si>
  <si>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</si>
  <si>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</si>
  <si>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</si>
  <si>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</si>
  <si>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</si>
  <si>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</si>
  <si>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</si>
  <si>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</si>
  <si>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</si>
  <si>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</si>
  <si>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</si>
  <si>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</si>
  <si>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</si>
  <si>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</si>
  <si>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</si>
  <si>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</si>
  <si>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</si>
  <si>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</si>
  <si>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</si>
  <si>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</si>
  <si>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</si>
  <si>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</si>
  <si>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</si>
  <si>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</si>
  <si>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</si>
  <si>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</si>
  <si>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</si>
  <si>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</si>
  <si>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</si>
  <si>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</si>
  <si>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</si>
  <si>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</si>
  <si>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</si>
  <si>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</si>
  <si>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</si>
  <si>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</si>
  <si>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</si>
  <si>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</si>
  <si>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</si>
  <si>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</si>
  <si>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</si>
  <si>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</si>
  <si>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</si>
  <si>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</si>
  <si>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</si>
  <si>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</si>
  <si>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</si>
  <si>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</si>
  <si>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</si>
  <si>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</si>
  <si>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</si>
  <si>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</si>
  <si>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</si>
  <si>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</si>
  <si>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</si>
  <si>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</si>
  <si>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</si>
  <si>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</si>
  <si>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</si>
  <si>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</si>
  <si>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</si>
  <si>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</si>
  <si>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</si>
  <si>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</si>
  <si>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</si>
  <si>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</si>
  <si>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</si>
  <si>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</si>
  <si>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</si>
  <si>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</si>
  <si>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</si>
  <si>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</si>
  <si>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</si>
  <si>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</si>
  <si>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</si>
  <si>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</si>
  <si>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</si>
  <si>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</si>
  <si>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</si>
  <si>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</si>
  <si>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</si>
  <si>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</si>
  <si>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</si>
  <si>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</si>
  <si>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</si>
  <si>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</si>
  <si>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</si>
  <si>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</si>
  <si>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</si>
  <si>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</si>
  <si>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</si>
  <si>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</si>
  <si>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</si>
  <si>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</si>
  <si>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</si>
  <si>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</si>
  <si>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</si>
  <si>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</si>
  <si>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</si>
  <si>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</si>
  <si>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</si>
  <si>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</si>
  <si>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</si>
  <si>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</si>
  <si>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</si>
  <si>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</si>
  <si>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</si>
  <si>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</si>
  <si>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</si>
  <si>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</si>
  <si>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</si>
  <si>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</si>
  <si>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</si>
  <si>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</si>
  <si>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</si>
  <si>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</si>
  <si>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</si>
  <si>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</si>
  <si>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</si>
  <si>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</si>
  <si>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</si>
  <si>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</si>
  <si>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</si>
  <si>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</si>
  <si>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</si>
  <si>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</si>
  <si>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</si>
  <si>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</si>
  <si>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</si>
  <si>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</si>
  <si>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</si>
  <si>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</si>
  <si>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</si>
  <si>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</si>
  <si>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</si>
  <si>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</si>
  <si>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</si>
  <si>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</si>
  <si>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</si>
  <si>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</si>
  <si>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</si>
  <si>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</si>
  <si>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</si>
  <si>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</si>
  <si>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</si>
  <si>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</si>
  <si>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</si>
  <si>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</si>
  <si>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</si>
  <si>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</si>
  <si>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</si>
  <si>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</si>
  <si>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</si>
  <si>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</si>
  <si>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</si>
  <si>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</si>
  <si>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</si>
  <si>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</si>
  <si>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</si>
  <si>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</si>
  <si>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</si>
  <si>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</si>
  <si>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</si>
  <si>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</si>
  <si>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</si>
  <si>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</si>
  <si>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</si>
  <si>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</si>
  <si>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</si>
  <si>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</si>
  <si>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</si>
  <si>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</si>
  <si>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</si>
  <si>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</si>
  <si>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</si>
  <si>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</si>
  <si>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</si>
  <si>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</si>
  <si>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</si>
  <si>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</si>
  <si>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</si>
  <si>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</si>
  <si>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</si>
  <si>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</si>
  <si>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</si>
  <si>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</si>
  <si>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</si>
  <si>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</si>
  <si>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</si>
  <si>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</si>
  <si>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</si>
  <si>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</si>
  <si>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</si>
  <si>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</si>
  <si>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</si>
  <si>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</si>
  <si>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</si>
  <si>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</si>
  <si>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</si>
  <si>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</si>
  <si>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</si>
  <si>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</si>
  <si>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</si>
  <si>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</si>
  <si>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</si>
  <si>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</si>
  <si>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</si>
  <si>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</si>
  <si>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</si>
  <si>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</si>
  <si>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</si>
  <si>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</si>
  <si>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</si>
  <si>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</si>
  <si>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</si>
  <si>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</si>
  <si>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</si>
  <si>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</si>
  <si>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</si>
  <si>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</si>
  <si>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</si>
  <si>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</si>
  <si>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</si>
  <si>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</si>
  <si>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</si>
  <si>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</si>
  <si>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</si>
  <si>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</si>
  <si>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</si>
  <si>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</si>
  <si>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</si>
  <si>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</si>
  <si>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</si>
  <si>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</si>
  <si>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</si>
  <si>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</si>
  <si>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</si>
  <si>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</si>
  <si>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</si>
  <si>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</si>
  <si>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</si>
  <si>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</si>
  <si>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</si>
  <si>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</si>
  <si>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</si>
  <si>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</si>
  <si>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</si>
  <si>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</si>
  <si>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</si>
  <si>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</si>
  <si>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</si>
  <si>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</si>
  <si>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</si>
  <si>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</si>
  <si>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</si>
  <si>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</si>
  <si>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</si>
  <si>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</si>
  <si>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</si>
  <si>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</si>
  <si>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</si>
  <si>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</si>
  <si>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</si>
  <si>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</si>
  <si>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</si>
  <si>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</si>
  <si>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</si>
  <si>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</si>
  <si>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</si>
  <si>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</si>
  <si>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</si>
  <si>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</si>
  <si>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</si>
  <si>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</si>
  <si>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</si>
  <si>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</si>
  <si>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</si>
  <si>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</si>
  <si>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</si>
  <si>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</si>
  <si>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</si>
  <si>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</si>
  <si>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</si>
  <si>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</si>
  <si>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</si>
  <si>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</si>
  <si>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</si>
  <si>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</si>
  <si>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</si>
  <si>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</si>
  <si>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</si>
  <si>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</si>
  <si>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</si>
  <si>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</si>
  <si>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</si>
  <si>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</si>
  <si>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</si>
  <si>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</si>
  <si>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</si>
  <si>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</si>
  <si>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</si>
  <si>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</si>
  <si>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</si>
  <si>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</si>
  <si>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</si>
  <si>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</si>
  <si>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</si>
  <si>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</si>
  <si>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</si>
  <si>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</si>
  <si>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</si>
  <si>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</si>
  <si>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</si>
  <si>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</si>
  <si>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</si>
  <si>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</si>
  <si>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</si>
  <si>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</si>
  <si>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</si>
  <si>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</si>
  <si>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</si>
  <si>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</si>
  <si>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</si>
  <si>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</si>
  <si>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</si>
  <si>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</si>
  <si>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</si>
  <si>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</si>
  <si>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</si>
  <si>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</si>
  <si>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</si>
  <si>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</si>
  <si>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</si>
  <si>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</si>
  <si>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</si>
  <si>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</si>
  <si>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</si>
  <si>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</si>
  <si>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</si>
  <si>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</si>
  <si>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</si>
  <si>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</si>
  <si>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</si>
  <si>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</si>
  <si>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</si>
  <si>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</si>
  <si>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</si>
  <si>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</si>
  <si>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</si>
  <si>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</si>
  <si>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</si>
  <si>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</si>
  <si>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</si>
  <si>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</si>
  <si>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</si>
  <si>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</si>
  <si>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</si>
  <si>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</si>
  <si>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</si>
  <si>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</si>
  <si>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</si>
  <si>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</si>
  <si>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</si>
  <si>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</si>
  <si>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</si>
  <si>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</si>
  <si>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</si>
  <si>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</si>
  <si>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</si>
  <si>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</si>
  <si>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</si>
  <si>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</si>
  <si>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</si>
  <si>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</si>
  <si>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</si>
  <si>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</si>
  <si>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</si>
  <si>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</si>
  <si>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</si>
  <si>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</si>
  <si>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</si>
  <si>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</si>
  <si>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</si>
  <si>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</si>
  <si>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</si>
  <si>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</si>
  <si>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</si>
  <si>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</si>
  <si>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</si>
  <si>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</si>
  <si>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</si>
  <si>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</si>
  <si>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</si>
  <si>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</si>
  <si>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</si>
  <si>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</si>
  <si>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</si>
  <si>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</si>
  <si>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</si>
  <si>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</si>
  <si>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</si>
  <si>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</si>
  <si>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</si>
  <si>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</si>
  <si>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</si>
  <si>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</si>
  <si>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</si>
  <si>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</si>
  <si>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</si>
  <si>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</si>
  <si>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</si>
  <si>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</si>
  <si>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</si>
  <si>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</si>
  <si>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</si>
  <si>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</si>
  <si>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</si>
  <si>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</si>
  <si>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</si>
  <si>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</si>
  <si>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</si>
  <si>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</si>
  <si>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</si>
  <si>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</si>
  <si>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</si>
  <si>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</si>
  <si>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</si>
  <si>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</si>
  <si>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</si>
  <si>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</si>
  <si>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</si>
  <si>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</si>
  <si>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</si>
  <si>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</si>
  <si>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</si>
  <si>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</si>
  <si>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</si>
  <si>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</si>
  <si>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</si>
  <si>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</si>
  <si>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</si>
  <si>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</si>
  <si>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</si>
  <si>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</si>
  <si>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</si>
  <si>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</si>
  <si>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</si>
  <si>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</si>
  <si>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</si>
  <si>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</si>
  <si>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</si>
  <si>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</si>
  <si>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</si>
  <si>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</si>
  <si>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</si>
  <si>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</si>
  <si>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</si>
  <si>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</si>
  <si>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</si>
  <si>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</si>
  <si>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</si>
  <si>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</si>
  <si>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</si>
  <si>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</si>
  <si>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</si>
  <si>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</si>
  <si>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</si>
  <si>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</si>
  <si>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</si>
  <si>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</si>
  <si>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</si>
  <si>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</si>
  <si>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</si>
  <si>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</si>
  <si>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</si>
  <si>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</si>
  <si>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</si>
  <si>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</si>
  <si>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</si>
  <si>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</si>
  <si>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</si>
  <si>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</si>
  <si>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</si>
  <si>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</si>
  <si>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</si>
  <si>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</si>
  <si>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</si>
  <si>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</si>
  <si>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</si>
  <si>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</si>
  <si>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</si>
  <si>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</si>
  <si>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</si>
  <si>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</si>
  <si>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</si>
  <si>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</si>
  <si>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</si>
  <si>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</si>
  <si>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</si>
  <si>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</si>
  <si>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</si>
  <si>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</si>
  <si>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</si>
  <si>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</si>
  <si>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</si>
  <si>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</si>
  <si>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</si>
  <si>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</si>
  <si>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</si>
  <si>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</si>
  <si>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</si>
  <si>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</si>
  <si>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</si>
  <si>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</si>
  <si>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</si>
  <si>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</si>
  <si>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</si>
  <si>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</si>
  <si>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</si>
  <si>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</si>
  <si>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</si>
  <si>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</si>
  <si>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</si>
  <si>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</si>
  <si>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</si>
  <si>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</si>
  <si>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</si>
  <si>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</si>
  <si>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</si>
  <si>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</si>
  <si>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</si>
  <si>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</si>
  <si>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</si>
  <si>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</si>
  <si>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</si>
  <si>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</si>
  <si>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</si>
  <si>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</si>
  <si>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</si>
  <si>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</si>
  <si>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</si>
  <si>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</si>
  <si>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</si>
  <si>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</si>
  <si>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</si>
  <si>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</si>
  <si>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</si>
  <si>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</si>
  <si>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</si>
  <si>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</si>
  <si>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</si>
  <si>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</si>
  <si>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</si>
  <si>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</si>
  <si>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</si>
  <si>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</si>
  <si>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</si>
  <si>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</si>
  <si>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</si>
  <si>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</si>
  <si>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</si>
  <si>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</si>
  <si>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</si>
  <si>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</si>
  <si>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</si>
  <si>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</si>
  <si>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</si>
  <si>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</si>
  <si>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</si>
  <si>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</si>
  <si>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</si>
  <si>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</si>
  <si>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</si>
  <si>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</si>
  <si>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</si>
  <si>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</si>
  <si>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</si>
  <si>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</si>
  <si>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</si>
  <si>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</si>
  <si>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</si>
  <si>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</si>
  <si>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</si>
  <si>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</si>
  <si>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</si>
  <si>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</si>
  <si>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</si>
  <si>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</si>
  <si>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</si>
  <si>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</si>
  <si>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</si>
  <si>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</si>
  <si>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</si>
  <si>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</si>
  <si>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</si>
  <si>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</si>
  <si>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</si>
  <si>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</si>
  <si>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</si>
  <si>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</si>
  <si>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</si>
  <si>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</si>
  <si>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</si>
  <si>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</si>
  <si>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</si>
  <si>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</si>
  <si>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</si>
  <si>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</si>
  <si>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</si>
  <si>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</si>
  <si>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</si>
  <si>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*ST达曼</t>
  </si>
  <si>
    <t>www.lixinger.com/analytics/company/sh/600788/600788/detail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</si>
  <si>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</si>
  <si>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</si>
  <si>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</si>
  <si>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</si>
  <si>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</si>
  <si>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</si>
  <si>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</si>
  <si>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</si>
  <si>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</si>
  <si>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</si>
  <si>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</si>
  <si>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</si>
  <si>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</si>
  <si>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</si>
  <si>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</si>
  <si>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</si>
  <si>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</si>
  <si>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</si>
  <si>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</si>
  <si>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</si>
  <si>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</si>
  <si>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</si>
  <si>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</si>
  <si>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</si>
  <si>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</si>
  <si>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</si>
  <si>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</si>
  <si>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</si>
  <si>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</si>
  <si>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</si>
  <si>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</si>
  <si>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</si>
  <si>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</si>
  <si>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</si>
  <si>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</si>
  <si>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</si>
  <si>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</si>
  <si>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</si>
  <si>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</si>
  <si>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</si>
  <si>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</si>
  <si>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</si>
  <si>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</si>
  <si>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</si>
  <si>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</si>
  <si>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</si>
  <si>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</si>
  <si>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</si>
  <si>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</si>
  <si>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</si>
  <si>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</si>
  <si>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</si>
  <si>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</si>
  <si>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</si>
  <si>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</si>
  <si>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</si>
  <si>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</si>
  <si>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</si>
  <si>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</si>
  <si>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</si>
  <si>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</si>
  <si>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</si>
  <si>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</si>
  <si>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</si>
  <si>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</si>
  <si>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</si>
  <si>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</si>
  <si>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</si>
  <si>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</si>
  <si>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</si>
  <si>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</si>
  <si>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</si>
  <si>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</si>
  <si>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</si>
  <si>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</si>
  <si>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</si>
  <si>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</si>
  <si>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</si>
  <si>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</si>
  <si>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</si>
  <si>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</si>
  <si>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</si>
  <si>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</si>
  <si>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</si>
  <si>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</si>
  <si>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</si>
  <si>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</si>
  <si>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</si>
  <si>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</si>
  <si>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</si>
  <si>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</si>
  <si>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</si>
  <si>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</si>
  <si>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</si>
  <si>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</si>
  <si>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</si>
  <si>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</si>
  <si>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</si>
  <si>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</si>
  <si>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</si>
  <si>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</si>
  <si>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</si>
  <si>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</si>
  <si>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</si>
  <si>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</si>
  <si>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</si>
  <si>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</si>
  <si>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</si>
  <si>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</si>
  <si>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</si>
  <si>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</si>
  <si>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</si>
  <si>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</si>
  <si>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</si>
  <si>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</si>
  <si>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</si>
  <si>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</si>
  <si>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</si>
  <si>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</si>
  <si>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</si>
  <si>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</si>
  <si>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</si>
  <si>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</si>
  <si>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</si>
  <si>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</si>
  <si>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</si>
  <si>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*ST中川</t>
  </si>
  <si>
    <t>www.lixinger.com/analytics/company/sh/600852/600852/detail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</si>
  <si>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</si>
  <si>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</si>
  <si>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</si>
  <si>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</si>
  <si>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</si>
  <si>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</si>
  <si>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</si>
  <si>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</si>
  <si>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</si>
  <si>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</si>
  <si>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</si>
  <si>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</si>
  <si>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</si>
  <si>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</si>
  <si>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</si>
  <si>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</si>
  <si>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</si>
  <si>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</si>
  <si>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</si>
  <si>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</si>
  <si>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</si>
  <si>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</si>
  <si>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</si>
  <si>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</si>
  <si>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</si>
  <si>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</si>
  <si>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</si>
  <si>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</si>
  <si>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</si>
  <si>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</si>
  <si>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</si>
  <si>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</si>
  <si>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</si>
  <si>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</si>
  <si>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</si>
  <si>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</si>
  <si>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</si>
  <si>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</si>
  <si>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</si>
  <si>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</si>
  <si>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</si>
  <si>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</si>
  <si>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</si>
  <si>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</si>
  <si>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</si>
  <si>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</si>
  <si>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</si>
  <si>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</si>
  <si>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</si>
  <si>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</si>
  <si>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</si>
  <si>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</si>
  <si>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</si>
  <si>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</si>
  <si>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</si>
  <si>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</si>
  <si>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</si>
  <si>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</si>
  <si>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</si>
  <si>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</si>
  <si>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</si>
  <si>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</si>
  <si>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</si>
  <si>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</si>
  <si>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</si>
  <si>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</si>
  <si>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</si>
  <si>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</si>
  <si>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</si>
  <si>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</si>
  <si>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</si>
  <si>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</si>
  <si>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</si>
  <si>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</si>
  <si>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</si>
  <si>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</si>
  <si>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</si>
  <si>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</si>
  <si>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</si>
  <si>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</si>
  <si>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</si>
  <si>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</si>
  <si>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</si>
  <si>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</si>
  <si>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</si>
  <si>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</si>
  <si>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</si>
  <si>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</si>
  <si>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</si>
  <si>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</si>
  <si>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</si>
  <si>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</si>
  <si>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</si>
  <si>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</si>
  <si>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</si>
  <si>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</si>
  <si>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</si>
  <si>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</si>
  <si>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</si>
  <si>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</si>
  <si>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</si>
  <si>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</si>
  <si>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</si>
  <si>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</si>
  <si>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</si>
  <si>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</si>
  <si>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</si>
  <si>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</si>
  <si>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</si>
  <si>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</si>
  <si>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</si>
  <si>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</si>
  <si>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</si>
  <si>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</si>
  <si>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</si>
  <si>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</si>
  <si>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</si>
  <si>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</si>
  <si>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</si>
  <si>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</si>
  <si>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</si>
  <si>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</si>
  <si>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</si>
  <si>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</si>
  <si>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</si>
  <si>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</si>
  <si>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</si>
  <si>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</si>
  <si>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</si>
  <si>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</si>
  <si>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</si>
  <si>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</si>
  <si>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</si>
  <si>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</si>
  <si>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</si>
  <si>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中国海油</t>
  </si>
  <si>
    <t>www.lixinger.com/analytics/company/sh/600938/600938/detail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</si>
  <si>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</si>
  <si>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</si>
  <si>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</si>
  <si>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</si>
  <si>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</si>
  <si>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</si>
  <si>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</si>
  <si>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</si>
  <si>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</si>
  <si>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</si>
  <si>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</si>
  <si>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</si>
  <si>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</si>
  <si>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</si>
  <si>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</si>
  <si>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</si>
  <si>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</si>
  <si>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</si>
  <si>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</si>
  <si>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</si>
  <si>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</si>
  <si>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</si>
  <si>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</si>
  <si>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</si>
  <si>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</si>
  <si>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</si>
  <si>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</si>
  <si>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</si>
  <si>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</si>
  <si>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</si>
  <si>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</si>
  <si>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</si>
  <si>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</si>
  <si>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</si>
  <si>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</si>
  <si>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</si>
  <si>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</si>
  <si>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</si>
  <si>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</si>
  <si>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</si>
  <si>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</si>
  <si>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</si>
  <si>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</si>
  <si>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</si>
  <si>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</si>
  <si>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</si>
  <si>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</si>
  <si>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</si>
  <si>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</si>
  <si>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</si>
  <si>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</si>
  <si>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</si>
  <si>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</si>
  <si>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</si>
  <si>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</si>
  <si>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</si>
  <si>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</si>
  <si>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</si>
  <si>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</si>
  <si>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</si>
  <si>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</si>
  <si>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</si>
  <si>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</si>
  <si>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</si>
  <si>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</si>
  <si>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</si>
  <si>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</si>
  <si>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</si>
  <si>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</si>
  <si>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</si>
  <si>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</si>
  <si>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</si>
  <si>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</si>
  <si>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</si>
  <si>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</si>
  <si>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</si>
  <si>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</si>
  <si>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</si>
  <si>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</si>
  <si>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</si>
  <si>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</si>
  <si>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</si>
  <si>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</si>
  <si>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</si>
  <si>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</si>
  <si>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</si>
  <si>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</si>
  <si>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</si>
  <si>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</si>
  <si>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</si>
  <si>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</si>
  <si>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</si>
  <si>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</si>
  <si>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</si>
  <si>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</si>
  <si>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</si>
  <si>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</si>
  <si>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</si>
  <si>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</si>
  <si>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</si>
  <si>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</si>
  <si>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</si>
  <si>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</si>
  <si>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</si>
  <si>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</si>
  <si>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</si>
  <si>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</si>
  <si>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</si>
  <si>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</si>
  <si>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</si>
  <si>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</si>
  <si>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</si>
  <si>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</si>
  <si>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</si>
  <si>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</si>
  <si>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</si>
  <si>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</si>
  <si>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</si>
  <si>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</si>
  <si>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</si>
  <si>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</si>
  <si>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</si>
  <si>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</si>
  <si>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</si>
  <si>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</si>
  <si>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</si>
  <si>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</si>
  <si>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</si>
  <si>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</si>
  <si>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</si>
  <si>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</si>
  <si>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</si>
  <si>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</si>
  <si>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</si>
  <si>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</si>
  <si>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</si>
  <si>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</si>
  <si>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</si>
  <si>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</si>
  <si>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</si>
  <si>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</si>
  <si>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</si>
  <si>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</si>
  <si>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</si>
  <si>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</si>
  <si>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</si>
  <si>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</si>
  <si>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</si>
  <si>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</si>
  <si>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</si>
  <si>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</si>
  <si>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</si>
  <si>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</si>
  <si>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</si>
  <si>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</si>
  <si>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</si>
  <si>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</si>
  <si>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</si>
  <si>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</si>
  <si>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</si>
  <si>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</si>
  <si>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</si>
  <si>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</si>
  <si>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</si>
  <si>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</si>
  <si>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</si>
  <si>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</si>
  <si>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</si>
  <si>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</si>
  <si>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</si>
  <si>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</si>
  <si>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</si>
  <si>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</si>
  <si>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</si>
  <si>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</si>
  <si>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</si>
  <si>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</si>
  <si>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</si>
  <si>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</si>
  <si>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</si>
  <si>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</si>
  <si>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</si>
  <si>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</si>
  <si>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</si>
  <si>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</si>
  <si>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</si>
  <si>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</si>
  <si>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</si>
  <si>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</si>
  <si>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</si>
  <si>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</si>
  <si>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</si>
  <si>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</si>
  <si>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</si>
  <si>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</si>
  <si>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</si>
  <si>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</si>
  <si>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</si>
  <si>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</si>
  <si>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</si>
  <si>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</si>
  <si>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</si>
  <si>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</si>
  <si>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</si>
  <si>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</si>
  <si>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</si>
  <si>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</si>
  <si>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</si>
  <si>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</si>
  <si>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</si>
  <si>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</si>
  <si>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</si>
  <si>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海尔施</t>
  </si>
  <si>
    <t>医疗器械</t>
  </si>
  <si>
    <t>www.lixinger.com/analytics/company/sh/601206/601206/detail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</si>
  <si>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</si>
  <si>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</si>
  <si>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</si>
  <si>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</si>
  <si>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</si>
  <si>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</si>
  <si>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</si>
  <si>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</si>
  <si>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</si>
  <si>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</si>
  <si>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</si>
  <si>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</si>
  <si>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</si>
  <si>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</si>
  <si>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</si>
  <si>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</si>
  <si>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</si>
  <si>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</si>
  <si>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</si>
  <si>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</si>
  <si>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</si>
  <si>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</si>
  <si>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</si>
  <si>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</si>
  <si>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</si>
  <si>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</si>
  <si>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</si>
  <si>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</si>
  <si>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</si>
  <si>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</si>
  <si>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</si>
  <si>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</si>
  <si>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</si>
  <si>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</si>
  <si>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</si>
  <si>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</si>
  <si>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</si>
  <si>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</si>
  <si>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</si>
  <si>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</si>
  <si>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</si>
  <si>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</si>
  <si>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</si>
  <si>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</si>
  <si>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</si>
  <si>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</si>
  <si>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</si>
  <si>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</si>
  <si>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</si>
  <si>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</si>
  <si>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</si>
  <si>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</si>
  <si>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</si>
  <si>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</si>
  <si>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</si>
  <si>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</si>
  <si>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</si>
  <si>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</si>
  <si>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</si>
  <si>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</si>
  <si>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</si>
  <si>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</si>
  <si>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</si>
  <si>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</si>
  <si>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</si>
  <si>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</si>
  <si>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</si>
  <si>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</si>
  <si>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</si>
  <si>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</si>
  <si>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</si>
  <si>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</si>
  <si>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</si>
  <si>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</si>
  <si>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</si>
  <si>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</si>
  <si>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</si>
  <si>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</si>
  <si>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</si>
  <si>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</si>
  <si>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</si>
  <si>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</si>
  <si>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</si>
  <si>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</si>
  <si>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</si>
  <si>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</si>
  <si>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</si>
  <si>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</si>
  <si>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</si>
  <si>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</si>
  <si>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</si>
  <si>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</si>
  <si>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</si>
  <si>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</si>
  <si>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</si>
  <si>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</si>
  <si>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</si>
  <si>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</si>
  <si>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</si>
  <si>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</si>
  <si>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</si>
  <si>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</si>
  <si>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</si>
  <si>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</si>
  <si>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</si>
  <si>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</si>
  <si>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</si>
  <si>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</si>
  <si>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</si>
  <si>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</si>
  <si>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</si>
  <si>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</si>
  <si>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</si>
  <si>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</si>
  <si>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</si>
  <si>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</si>
  <si>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</si>
  <si>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</si>
  <si>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</si>
  <si>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</si>
  <si>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</si>
  <si>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</si>
  <si>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</si>
  <si>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</si>
  <si>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</si>
  <si>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</si>
  <si>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</si>
  <si>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</si>
  <si>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</si>
  <si>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</si>
  <si>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</si>
  <si>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</si>
  <si>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</si>
  <si>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</si>
  <si>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</si>
  <si>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</si>
  <si>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</si>
  <si>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</si>
  <si>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</si>
  <si>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</si>
  <si>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</si>
  <si>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</si>
  <si>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</si>
  <si>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</si>
  <si>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</si>
  <si>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</si>
  <si>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</si>
  <si>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</si>
  <si>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</si>
  <si>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</si>
  <si>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</si>
  <si>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</si>
  <si>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</si>
  <si>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</si>
  <si>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</si>
  <si>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</si>
  <si>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</si>
  <si>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</si>
  <si>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</si>
  <si>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</si>
  <si>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</si>
  <si>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</si>
  <si>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</si>
  <si>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</si>
  <si>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</si>
  <si>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</si>
  <si>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</si>
  <si>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</si>
  <si>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</si>
  <si>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</si>
  <si>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</si>
  <si>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</si>
  <si>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</si>
  <si>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</si>
  <si>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</si>
  <si>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</si>
  <si>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</si>
  <si>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</si>
  <si>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</si>
  <si>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</si>
  <si>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</si>
  <si>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</si>
  <si>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</si>
  <si>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</si>
  <si>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</si>
  <si>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</si>
  <si>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</si>
  <si>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</si>
  <si>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</si>
  <si>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</si>
  <si>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</si>
  <si>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</si>
  <si>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</si>
  <si>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</si>
  <si>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</si>
  <si>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</si>
  <si>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</si>
  <si>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</si>
  <si>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</si>
  <si>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</si>
  <si>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</si>
  <si>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</si>
  <si>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</si>
  <si>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</si>
  <si>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</si>
  <si>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</si>
  <si>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</si>
  <si>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</si>
  <si>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</si>
  <si>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</si>
  <si>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</si>
  <si>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</si>
  <si>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</si>
  <si>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</si>
  <si>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</si>
  <si>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</si>
  <si>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</si>
  <si>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</si>
  <si>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</si>
  <si>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</si>
  <si>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</si>
  <si>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</si>
  <si>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</si>
  <si>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</si>
  <si>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</si>
  <si>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</si>
  <si>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</si>
  <si>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</si>
  <si>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</si>
  <si>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</si>
  <si>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</si>
  <si>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</si>
  <si>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</si>
  <si>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</si>
  <si>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</si>
  <si>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</si>
  <si>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</si>
  <si>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</si>
  <si>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</si>
  <si>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</si>
  <si>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</si>
  <si>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</si>
  <si>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</si>
  <si>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</si>
  <si>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</si>
  <si>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</si>
  <si>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</si>
  <si>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</si>
  <si>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</si>
  <si>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</si>
  <si>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</si>
  <si>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</si>
  <si>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</si>
  <si>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</si>
  <si>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</si>
  <si>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</si>
  <si>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</si>
  <si>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</si>
  <si>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</si>
  <si>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</si>
  <si>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</si>
  <si>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</si>
  <si>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</si>
  <si>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</si>
  <si>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</si>
  <si>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</si>
  <si>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</si>
  <si>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</si>
  <si>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</si>
  <si>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</si>
  <si>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</si>
  <si>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</si>
  <si>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</si>
  <si>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</si>
  <si>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</si>
  <si>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</si>
  <si>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</si>
  <si>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</si>
  <si>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</si>
  <si>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</si>
  <si>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</si>
  <si>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</si>
  <si>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</si>
  <si>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</si>
  <si>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</si>
  <si>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</si>
  <si>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</si>
  <si>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</si>
  <si>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</si>
  <si>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</si>
  <si>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</si>
  <si>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</si>
  <si>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</si>
  <si>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</si>
  <si>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</si>
  <si>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</si>
  <si>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</si>
  <si>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</si>
  <si>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</si>
  <si>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</si>
  <si>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</si>
  <si>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</si>
  <si>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</si>
  <si>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</si>
  <si>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</si>
  <si>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</si>
  <si>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</si>
  <si>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</si>
  <si>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</si>
  <si>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</si>
  <si>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</si>
  <si>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</si>
  <si>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</si>
  <si>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</si>
  <si>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</si>
  <si>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</si>
  <si>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</si>
  <si>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</si>
  <si>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</si>
  <si>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</si>
  <si>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</si>
  <si>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</si>
  <si>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</si>
  <si>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</si>
  <si>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</si>
  <si>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</si>
  <si>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</si>
  <si>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</si>
  <si>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</si>
  <si>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</si>
  <si>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</si>
  <si>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</si>
  <si>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</si>
  <si>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</si>
  <si>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</si>
  <si>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</si>
  <si>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</si>
  <si>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</si>
  <si>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</si>
  <si>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</si>
  <si>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</si>
  <si>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</si>
  <si>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</si>
  <si>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</si>
  <si>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</si>
  <si>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</si>
  <si>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</si>
  <si>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</si>
  <si>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</si>
  <si>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</si>
  <si>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</si>
  <si>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</si>
  <si>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</si>
  <si>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</si>
  <si>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</si>
  <si>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</si>
  <si>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</si>
  <si>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</si>
  <si>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</si>
  <si>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</si>
  <si>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</si>
  <si>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</si>
  <si>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</si>
  <si>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</si>
  <si>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</si>
  <si>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</si>
  <si>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</si>
  <si>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</si>
  <si>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</si>
  <si>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</si>
  <si>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</si>
  <si>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</si>
  <si>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</si>
  <si>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</si>
  <si>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</si>
  <si>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</si>
  <si>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</si>
  <si>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</si>
  <si>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</si>
  <si>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</si>
  <si>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</si>
  <si>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</si>
  <si>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</si>
  <si>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</si>
  <si>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</si>
  <si>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</si>
  <si>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</si>
  <si>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</si>
  <si>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</si>
  <si>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</si>
  <si>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</si>
  <si>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</si>
  <si>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</si>
  <si>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</si>
  <si>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</si>
  <si>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</si>
  <si>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</si>
  <si>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</si>
  <si>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</si>
  <si>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</si>
  <si>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</si>
  <si>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</si>
  <si>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</si>
  <si>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</si>
  <si>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</si>
  <si>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</si>
  <si>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</si>
  <si>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</si>
  <si>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</si>
  <si>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</si>
  <si>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</si>
  <si>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</si>
  <si>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</si>
  <si>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</si>
  <si>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</si>
  <si>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</si>
  <si>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</si>
  <si>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</si>
  <si>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</si>
  <si>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</si>
  <si>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鹿山新材</t>
  </si>
  <si>
    <t>www.lixinger.com/analytics/company/sh/603051/603051/detail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</si>
  <si>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</si>
  <si>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</si>
  <si>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</si>
  <si>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</si>
  <si>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</si>
  <si>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</si>
  <si>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</si>
  <si>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</si>
  <si>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</si>
  <si>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</si>
  <si>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</si>
  <si>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</si>
  <si>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</si>
  <si>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</si>
  <si>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</si>
  <si>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</si>
  <si>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</si>
  <si>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</si>
  <si>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</si>
  <si>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</si>
  <si>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</si>
  <si>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</si>
  <si>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</si>
  <si>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</si>
  <si>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万控智造</t>
  </si>
  <si>
    <t>www.lixinger.com/analytics/company/sh/603070/603070/detail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</si>
  <si>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</si>
  <si>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</si>
  <si>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</si>
  <si>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</si>
  <si>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</si>
  <si>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</si>
  <si>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</si>
  <si>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</si>
  <si>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</si>
  <si>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</si>
  <si>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</si>
  <si>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</si>
  <si>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</si>
  <si>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</si>
  <si>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</si>
  <si>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</si>
  <si>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</si>
  <si>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</si>
  <si>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</si>
  <si>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</si>
  <si>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</si>
  <si>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</si>
  <si>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</si>
  <si>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</si>
  <si>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</si>
  <si>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</si>
  <si>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</si>
  <si>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</si>
  <si>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</si>
  <si>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</si>
  <si>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</si>
  <si>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</si>
  <si>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</si>
  <si>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</si>
  <si>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</si>
  <si>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江苏华辰</t>
  </si>
  <si>
    <t>www.lixinger.com/analytics/company/sh/603097/603097/detail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</si>
  <si>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</si>
  <si>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</si>
  <si>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</si>
  <si>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</si>
  <si>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</si>
  <si>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</si>
  <si>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</si>
  <si>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</si>
  <si>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</si>
  <si>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</si>
  <si>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</si>
  <si>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</si>
  <si>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</si>
  <si>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</si>
  <si>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</si>
  <si>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</si>
  <si>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</si>
  <si>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</si>
  <si>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</si>
  <si>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</si>
  <si>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</si>
  <si>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</si>
  <si>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</si>
  <si>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</si>
  <si>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</si>
  <si>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</si>
  <si>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</si>
  <si>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</si>
  <si>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</si>
  <si>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</si>
  <si>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</si>
  <si>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</si>
  <si>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</si>
  <si>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</si>
  <si>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</si>
  <si>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</si>
  <si>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</si>
  <si>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</si>
  <si>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</si>
  <si>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</si>
  <si>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</si>
  <si>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</si>
  <si>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</si>
  <si>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</si>
  <si>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</si>
  <si>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</si>
  <si>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</si>
  <si>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</si>
  <si>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</si>
  <si>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</si>
  <si>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</si>
  <si>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</si>
  <si>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</si>
  <si>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</si>
  <si>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</si>
  <si>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</si>
  <si>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金徽股份</t>
  </si>
  <si>
    <t>www.lixinger.com/analytics/company/sh/603132/603132/detail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</si>
  <si>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</si>
  <si>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</si>
  <si>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</si>
  <si>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</si>
  <si>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</si>
  <si>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</si>
  <si>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</si>
  <si>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</si>
  <si>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</si>
  <si>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</si>
  <si>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</si>
  <si>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</si>
  <si>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</si>
  <si>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</si>
  <si>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</si>
  <si>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</si>
  <si>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</si>
  <si>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</si>
  <si>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</si>
  <si>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</si>
  <si>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</si>
  <si>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</si>
  <si>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</si>
  <si>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</si>
  <si>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</si>
  <si>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</si>
  <si>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</si>
  <si>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</si>
  <si>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</si>
  <si>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</si>
  <si>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</si>
  <si>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</si>
  <si>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</si>
  <si>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</si>
  <si>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</si>
  <si>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</si>
  <si>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</si>
  <si>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</si>
  <si>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</si>
  <si>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</si>
  <si>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</si>
  <si>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</si>
  <si>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</si>
  <si>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</si>
  <si>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</si>
  <si>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</si>
  <si>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</si>
  <si>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</si>
  <si>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</si>
  <si>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</si>
  <si>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</si>
  <si>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</si>
  <si>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</si>
  <si>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</si>
  <si>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</si>
  <si>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</si>
  <si>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</si>
  <si>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</si>
  <si>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</si>
  <si>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</si>
  <si>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</si>
  <si>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</si>
  <si>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望变电气</t>
  </si>
  <si>
    <t>www.lixinger.com/analytics/company/sh/603191/603191/detail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</si>
  <si>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</si>
  <si>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</si>
  <si>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</si>
  <si>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</si>
  <si>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</si>
  <si>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</si>
  <si>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</si>
  <si>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</si>
  <si>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</si>
  <si>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</si>
  <si>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</si>
  <si>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</si>
  <si>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</si>
  <si>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</si>
  <si>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</si>
  <si>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</si>
  <si>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嘉环科技</t>
  </si>
  <si>
    <t>www.lixinger.com/analytics/company/sh/603206/603206/detail</t>
  </si>
  <si>
    <t>江山欧派</t>
  </si>
  <si>
    <t>www.lixinger.com/analytics/company/sh/603208/603208/detail</t>
  </si>
  <si>
    <t>兴通股份</t>
  </si>
  <si>
    <t>www.lixinger.com/analytics/company/sh/603209/603209/detail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</si>
  <si>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</si>
  <si>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</si>
  <si>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</si>
  <si>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</si>
  <si>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</si>
  <si>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</si>
  <si>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</si>
  <si>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</si>
  <si>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</si>
  <si>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</si>
  <si>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</si>
  <si>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</si>
  <si>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</si>
  <si>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</si>
  <si>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</si>
  <si>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</si>
  <si>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</si>
  <si>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</si>
  <si>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</si>
  <si>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</si>
  <si>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</si>
  <si>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</si>
  <si>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</si>
  <si>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</si>
  <si>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</si>
  <si>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</si>
  <si>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</si>
  <si>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</si>
  <si>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</si>
  <si>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</si>
  <si>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</si>
  <si>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</si>
  <si>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</si>
  <si>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</si>
  <si>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</si>
  <si>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</si>
  <si>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</si>
  <si>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</si>
  <si>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</si>
  <si>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</si>
  <si>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</si>
  <si>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</si>
  <si>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</si>
  <si>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</si>
  <si>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</si>
  <si>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</si>
  <si>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</si>
  <si>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</si>
  <si>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</si>
  <si>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</si>
  <si>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</si>
  <si>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</si>
  <si>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</si>
  <si>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</si>
  <si>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</si>
  <si>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</si>
  <si>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</si>
  <si>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</si>
  <si>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</si>
  <si>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立航科技</t>
  </si>
  <si>
    <t>www.lixinger.com/analytics/company/sh/603261/603261/detail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</si>
  <si>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</si>
  <si>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</si>
  <si>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</si>
  <si>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</si>
  <si>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</si>
  <si>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</si>
  <si>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</si>
  <si>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</si>
  <si>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联翔股份</t>
  </si>
  <si>
    <t>www.lixinger.com/analytics/company/sh/603272/603272/detail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</si>
  <si>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</si>
  <si>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</si>
  <si>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</si>
  <si>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</si>
  <si>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</si>
  <si>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</si>
  <si>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</si>
  <si>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</si>
  <si>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</si>
  <si>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</si>
  <si>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</si>
  <si>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</si>
  <si>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</si>
  <si>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</si>
  <si>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</si>
  <si>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</si>
  <si>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</si>
  <si>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</si>
  <si>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</si>
  <si>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</si>
  <si>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</si>
  <si>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</si>
  <si>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</si>
  <si>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</si>
  <si>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</si>
  <si>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</si>
  <si>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</si>
  <si>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</si>
  <si>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</si>
  <si>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</si>
  <si>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</si>
  <si>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</si>
  <si>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</si>
  <si>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</si>
  <si>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</si>
  <si>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</si>
  <si>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</si>
  <si>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</si>
  <si>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</si>
  <si>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</si>
  <si>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</si>
  <si>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</si>
  <si>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</si>
  <si>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</si>
  <si>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</si>
  <si>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</si>
  <si>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</si>
  <si>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</si>
  <si>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</si>
  <si>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</si>
  <si>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</si>
  <si>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</si>
  <si>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</si>
  <si>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</si>
  <si>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</si>
  <si>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</si>
  <si>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</si>
  <si>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</si>
  <si>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</si>
  <si>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</si>
  <si>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</si>
  <si>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</si>
  <si>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</si>
  <si>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</si>
  <si>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</si>
  <si>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</si>
  <si>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</si>
  <si>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</si>
  <si>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</si>
  <si>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</si>
  <si>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</si>
  <si>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</si>
  <si>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</si>
  <si>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</si>
  <si>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</si>
  <si>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</si>
  <si>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</si>
  <si>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</si>
  <si>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</si>
  <si>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</si>
  <si>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</si>
  <si>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</si>
  <si>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</si>
  <si>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</si>
  <si>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</si>
  <si>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</si>
  <si>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</si>
  <si>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</si>
  <si>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</si>
  <si>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</si>
  <si>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</si>
  <si>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</si>
  <si>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</si>
  <si>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</si>
  <si>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</si>
  <si>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</si>
  <si>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</si>
  <si>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</si>
  <si>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</si>
  <si>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</si>
  <si>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</si>
  <si>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</si>
  <si>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</si>
  <si>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</si>
  <si>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</si>
  <si>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</si>
  <si>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</si>
  <si>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</si>
  <si>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</si>
  <si>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</si>
  <si>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</si>
  <si>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</si>
  <si>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</si>
  <si>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</si>
  <si>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</si>
  <si>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</si>
  <si>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</si>
  <si>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</si>
  <si>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</si>
  <si>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</si>
  <si>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</si>
  <si>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</si>
  <si>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</si>
  <si>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</si>
  <si>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</si>
  <si>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</si>
  <si>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</si>
  <si>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</si>
  <si>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</si>
  <si>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</si>
  <si>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</si>
  <si>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</si>
  <si>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</si>
  <si>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</si>
  <si>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</si>
  <si>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</si>
  <si>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</si>
  <si>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</si>
  <si>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</si>
  <si>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</si>
  <si>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</si>
  <si>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</si>
  <si>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</si>
  <si>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</si>
  <si>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</si>
  <si>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</si>
  <si>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</si>
  <si>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</si>
  <si>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</si>
  <si>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</si>
  <si>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</si>
  <si>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</si>
  <si>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</si>
  <si>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</si>
  <si>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</si>
  <si>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</si>
  <si>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</si>
  <si>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</si>
  <si>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</si>
  <si>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</si>
  <si>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</si>
  <si>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</si>
  <si>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</si>
  <si>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</si>
  <si>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</si>
  <si>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</si>
  <si>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</si>
  <si>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</si>
  <si>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</si>
  <si>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</si>
  <si>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</si>
  <si>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</si>
  <si>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</si>
  <si>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</si>
  <si>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</si>
  <si>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</si>
  <si>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</si>
  <si>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</si>
  <si>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</si>
  <si>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</si>
  <si>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</si>
  <si>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</si>
  <si>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</si>
  <si>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</si>
  <si>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</si>
  <si>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</si>
  <si>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</si>
  <si>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</si>
  <si>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</si>
  <si>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</si>
  <si>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</si>
  <si>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</si>
  <si>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</si>
  <si>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</si>
  <si>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</si>
  <si>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</si>
  <si>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</si>
  <si>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</si>
  <si>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</si>
  <si>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</si>
  <si>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</si>
  <si>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</si>
  <si>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</si>
  <si>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</si>
  <si>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</si>
  <si>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</si>
  <si>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</si>
  <si>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</si>
  <si>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</si>
  <si>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</si>
  <si>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</si>
  <si>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</si>
  <si>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</si>
  <si>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</si>
  <si>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</si>
  <si>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</si>
  <si>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</si>
  <si>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</si>
  <si>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</si>
  <si>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</si>
  <si>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</si>
  <si>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</si>
  <si>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</si>
  <si>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</si>
  <si>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</si>
  <si>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</si>
  <si>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</si>
  <si>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</si>
  <si>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</si>
  <si>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</si>
  <si>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</si>
  <si>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</si>
  <si>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</si>
  <si>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</si>
  <si>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</si>
  <si>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</si>
  <si>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</si>
  <si>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</si>
  <si>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</si>
  <si>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</si>
  <si>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</si>
  <si>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</si>
  <si>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</si>
  <si>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</si>
  <si>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</si>
  <si>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</si>
  <si>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</si>
  <si>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</si>
  <si>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</si>
  <si>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</si>
  <si>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</si>
  <si>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</si>
  <si>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</si>
  <si>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</si>
  <si>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</si>
  <si>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</si>
  <si>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</si>
  <si>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</si>
  <si>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</si>
  <si>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</si>
  <si>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</si>
  <si>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</si>
  <si>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</si>
  <si>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</si>
  <si>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</si>
  <si>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</si>
  <si>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</si>
  <si>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</si>
  <si>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</si>
  <si>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</si>
  <si>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</si>
  <si>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</si>
  <si>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</si>
  <si>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</si>
  <si>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</si>
  <si>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</si>
  <si>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</si>
  <si>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</si>
  <si>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</si>
  <si>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</si>
  <si>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</si>
  <si>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</si>
  <si>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</si>
  <si>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</si>
  <si>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</si>
  <si>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</si>
  <si>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</si>
  <si>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</si>
  <si>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</si>
  <si>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</si>
  <si>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</si>
  <si>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</si>
  <si>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</si>
  <si>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</si>
  <si>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</si>
  <si>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</si>
  <si>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</si>
  <si>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</si>
  <si>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</si>
  <si>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</si>
  <si>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</si>
  <si>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</si>
  <si>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</si>
  <si>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</si>
  <si>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</si>
  <si>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</si>
  <si>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</si>
  <si>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</si>
  <si>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</si>
  <si>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</si>
  <si>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</si>
  <si>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</si>
  <si>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</si>
  <si>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</si>
  <si>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</si>
  <si>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</si>
  <si>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</si>
  <si>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</si>
  <si>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</si>
  <si>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</si>
  <si>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</si>
  <si>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</si>
  <si>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</si>
  <si>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</si>
  <si>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</si>
  <si>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</si>
  <si>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</si>
  <si>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</si>
  <si>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</si>
  <si>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</si>
  <si>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</si>
  <si>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</si>
  <si>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</si>
  <si>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</si>
  <si>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</si>
  <si>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</si>
  <si>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</si>
  <si>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</si>
  <si>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</si>
  <si>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</si>
  <si>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</si>
  <si>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</si>
  <si>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</si>
  <si>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</si>
  <si>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</si>
  <si>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</si>
  <si>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</si>
  <si>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</si>
  <si>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</si>
  <si>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</si>
  <si>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</si>
  <si>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</si>
  <si>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</si>
  <si>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</si>
  <si>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</si>
  <si>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</si>
  <si>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</si>
  <si>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</si>
  <si>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</si>
  <si>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</si>
  <si>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</si>
  <si>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</si>
  <si>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</si>
  <si>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</si>
  <si>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</si>
  <si>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</si>
  <si>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</si>
  <si>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</si>
  <si>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</si>
  <si>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</si>
  <si>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</si>
  <si>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</si>
  <si>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</si>
  <si>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</si>
  <si>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</si>
  <si>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</si>
  <si>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</si>
  <si>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</si>
  <si>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</si>
  <si>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</si>
  <si>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</si>
  <si>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</si>
  <si>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</si>
  <si>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</si>
  <si>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</si>
  <si>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</si>
  <si>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</si>
  <si>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</si>
  <si>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</si>
  <si>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</si>
  <si>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</si>
  <si>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</si>
  <si>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</si>
  <si>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</si>
  <si>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</si>
  <si>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</si>
  <si>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</si>
  <si>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</si>
  <si>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</si>
  <si>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</si>
  <si>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</si>
  <si>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</si>
  <si>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</si>
  <si>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</si>
  <si>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</si>
  <si>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</si>
  <si>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</si>
  <si>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</si>
  <si>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</si>
  <si>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</si>
  <si>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</si>
  <si>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</si>
  <si>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</si>
  <si>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</si>
  <si>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</si>
  <si>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</si>
  <si>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</si>
  <si>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</si>
  <si>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</si>
  <si>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</si>
  <si>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</si>
  <si>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</si>
  <si>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</si>
  <si>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</si>
  <si>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</si>
  <si>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</si>
  <si>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</si>
  <si>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</si>
  <si>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</si>
  <si>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</si>
  <si>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</si>
  <si>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</si>
  <si>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</si>
  <si>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</si>
  <si>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</si>
  <si>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</si>
  <si>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</si>
  <si>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</si>
  <si>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</si>
  <si>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</si>
  <si>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</si>
  <si>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</si>
  <si>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</si>
  <si>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</si>
  <si>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</si>
  <si>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</si>
  <si>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</si>
  <si>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</si>
  <si>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</si>
  <si>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</si>
  <si>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</si>
  <si>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</si>
  <si>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</si>
  <si>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</si>
  <si>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</si>
  <si>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</si>
  <si>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</si>
  <si>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</si>
  <si>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</si>
  <si>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</si>
  <si>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</si>
  <si>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</si>
  <si>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</si>
  <si>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</si>
  <si>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</si>
  <si>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</si>
  <si>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</si>
  <si>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</si>
  <si>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</si>
  <si>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</si>
  <si>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</si>
  <si>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</si>
  <si>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</si>
  <si>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</si>
  <si>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</si>
  <si>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</si>
  <si>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</si>
  <si>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</si>
  <si>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</si>
  <si>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</si>
  <si>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</si>
  <si>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</si>
  <si>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</si>
  <si>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</si>
  <si>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</si>
  <si>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</si>
  <si>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</si>
  <si>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</si>
  <si>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</si>
  <si>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</si>
  <si>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</si>
  <si>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</si>
  <si>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</si>
  <si>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</si>
  <si>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</si>
  <si>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</si>
  <si>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</si>
  <si>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</si>
  <si>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</si>
  <si>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</si>
  <si>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</si>
  <si>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</si>
  <si>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</si>
  <si>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</si>
  <si>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</si>
  <si>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</si>
  <si>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</si>
  <si>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</si>
  <si>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</si>
  <si>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</si>
  <si>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</si>
  <si>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</si>
  <si>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</si>
  <si>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</si>
  <si>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</si>
  <si>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</si>
  <si>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</si>
  <si>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</si>
  <si>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</si>
  <si>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</si>
  <si>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</si>
  <si>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</si>
  <si>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</si>
  <si>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</si>
  <si>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</si>
  <si>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</si>
  <si>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</si>
  <si>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</si>
  <si>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</si>
  <si>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</si>
  <si>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</si>
  <si>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</si>
  <si>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</si>
  <si>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</si>
  <si>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</si>
  <si>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</si>
  <si>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</si>
  <si>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</si>
  <si>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</si>
  <si>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</si>
  <si>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</si>
  <si>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</si>
  <si>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</si>
  <si>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</si>
  <si>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</si>
  <si>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</si>
  <si>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</si>
  <si>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</si>
  <si>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</si>
  <si>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</si>
  <si>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</si>
  <si>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</si>
  <si>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</si>
  <si>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</si>
  <si>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</si>
  <si>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</si>
  <si>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</si>
  <si>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</si>
  <si>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</si>
  <si>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</si>
  <si>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</si>
  <si>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</si>
  <si>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</si>
  <si>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</si>
  <si>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</si>
  <si>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</si>
  <si>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</si>
  <si>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</si>
  <si>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</si>
  <si>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</si>
  <si>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</si>
  <si>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</si>
  <si>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</si>
  <si>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</si>
  <si>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</si>
  <si>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</si>
  <si>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</si>
  <si>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</si>
  <si>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</si>
  <si>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</si>
  <si>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</si>
  <si>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</si>
  <si>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</si>
  <si>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</si>
  <si>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</si>
  <si>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</si>
  <si>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</si>
  <si>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</si>
  <si>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</si>
  <si>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</si>
  <si>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</si>
  <si>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</si>
  <si>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</si>
  <si>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</si>
  <si>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</si>
  <si>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</si>
  <si>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</si>
  <si>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</si>
  <si>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</si>
  <si>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</si>
  <si>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</si>
  <si>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</si>
  <si>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</si>
  <si>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</si>
  <si>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</si>
  <si>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</si>
  <si>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</si>
  <si>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</si>
  <si>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</si>
  <si>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</si>
  <si>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</si>
  <si>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</si>
  <si>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</si>
  <si>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</si>
  <si>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</si>
  <si>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</si>
  <si>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</si>
  <si>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</si>
  <si>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</si>
  <si>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</si>
  <si>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</si>
  <si>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</si>
  <si>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</si>
  <si>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</si>
  <si>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</si>
  <si>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</si>
  <si>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</si>
  <si>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</si>
  <si>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</si>
  <si>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</si>
  <si>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</si>
  <si>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</si>
  <si>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</si>
  <si>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</si>
  <si>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</si>
  <si>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</si>
  <si>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</si>
  <si>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</si>
  <si>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</si>
  <si>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</si>
  <si>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</si>
  <si>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</si>
  <si>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</si>
  <si>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</si>
  <si>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</si>
  <si>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</si>
  <si>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</si>
  <si>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</si>
  <si>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</si>
  <si>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</si>
  <si>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</si>
  <si>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</si>
  <si>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</si>
  <si>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</si>
  <si>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</si>
  <si>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</si>
  <si>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</si>
  <si>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</si>
  <si>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</si>
  <si>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</si>
  <si>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</si>
  <si>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</si>
  <si>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</si>
  <si>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</si>
  <si>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</si>
  <si>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</si>
  <si>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</si>
  <si>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</si>
  <si>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</si>
  <si>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</si>
  <si>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</si>
  <si>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</si>
  <si>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</si>
  <si>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</si>
  <si>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</si>
  <si>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</si>
  <si>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</si>
  <si>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</si>
  <si>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</si>
  <si>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</si>
  <si>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</si>
  <si>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</si>
  <si>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</si>
  <si>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</si>
  <si>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</si>
  <si>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</si>
  <si>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</si>
  <si>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</si>
  <si>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</si>
  <si>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</si>
  <si>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</si>
  <si>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</si>
  <si>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</si>
  <si>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</si>
  <si>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</si>
  <si>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</si>
  <si>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</si>
  <si>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</si>
  <si>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</si>
  <si>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</si>
  <si>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</si>
  <si>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</si>
  <si>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</si>
  <si>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</si>
  <si>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</si>
  <si>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</si>
  <si>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</si>
  <si>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</si>
  <si>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</si>
  <si>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</si>
  <si>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</si>
  <si>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</si>
  <si>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</si>
  <si>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</si>
  <si>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</si>
  <si>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</si>
  <si>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</si>
  <si>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</si>
  <si>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</si>
  <si>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</si>
  <si>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</si>
  <si>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</si>
  <si>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</si>
  <si>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</si>
  <si>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</si>
  <si>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</si>
  <si>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</si>
  <si>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</si>
  <si>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</si>
  <si>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</si>
  <si>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</si>
  <si>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</si>
  <si>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</si>
  <si>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</si>
  <si>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</si>
  <si>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</si>
  <si>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</si>
  <si>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</si>
  <si>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</si>
  <si>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</si>
  <si>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</si>
  <si>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</si>
  <si>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</si>
  <si>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</si>
  <si>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</si>
  <si>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</si>
  <si>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</si>
  <si>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</si>
  <si>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</si>
  <si>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</si>
  <si>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</si>
  <si>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</si>
  <si>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</si>
  <si>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</si>
  <si>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</si>
  <si>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</si>
  <si>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</si>
  <si>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</si>
  <si>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</si>
  <si>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</si>
  <si>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</si>
  <si>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</si>
  <si>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</si>
  <si>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</si>
  <si>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</si>
  <si>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</si>
  <si>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</si>
  <si>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</si>
  <si>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</si>
  <si>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</si>
  <si>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</si>
  <si>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</si>
  <si>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</si>
  <si>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</si>
  <si>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</si>
  <si>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</si>
  <si>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</si>
  <si>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</si>
  <si>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</si>
  <si>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</si>
  <si>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</si>
  <si>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</si>
  <si>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</si>
  <si>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</si>
  <si>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</si>
  <si>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</si>
  <si>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</si>
  <si>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</si>
  <si>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</si>
  <si>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</si>
  <si>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</si>
  <si>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</si>
  <si>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</si>
  <si>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</si>
  <si>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</si>
  <si>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</si>
  <si>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</si>
  <si>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</si>
  <si>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</si>
  <si>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</si>
  <si>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</si>
  <si>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</si>
  <si>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</si>
  <si>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</si>
  <si>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</si>
  <si>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</si>
  <si>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</si>
  <si>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</si>
  <si>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</si>
  <si>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</si>
  <si>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</si>
  <si>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</si>
  <si>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</si>
  <si>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</si>
  <si>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</si>
  <si>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</si>
  <si>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</si>
  <si>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</si>
  <si>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</si>
  <si>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</si>
  <si>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</si>
  <si>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</si>
  <si>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</si>
  <si>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</si>
  <si>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</si>
  <si>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</si>
  <si>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</si>
  <si>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</si>
  <si>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</si>
  <si>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</si>
  <si>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</si>
  <si>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</si>
  <si>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</si>
  <si>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</si>
  <si>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</si>
  <si>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</si>
  <si>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</si>
  <si>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</si>
  <si>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</si>
  <si>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</si>
  <si>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</si>
  <si>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</si>
  <si>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</si>
  <si>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</si>
  <si>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</si>
  <si>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</si>
  <si>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</si>
  <si>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</si>
  <si>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</si>
  <si>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</si>
  <si>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</si>
  <si>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</si>
  <si>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</si>
  <si>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</si>
  <si>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</si>
  <si>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</si>
  <si>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</si>
  <si>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</si>
  <si>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</si>
  <si>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</si>
  <si>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</si>
  <si>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</si>
  <si>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</si>
  <si>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</si>
  <si>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</si>
  <si>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</si>
  <si>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</si>
  <si>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</si>
  <si>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</si>
  <si>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</si>
  <si>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</si>
  <si>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</si>
  <si>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</si>
  <si>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</si>
  <si>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</si>
  <si>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</si>
  <si>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</si>
  <si>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</si>
  <si>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</si>
  <si>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</si>
  <si>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</si>
  <si>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</si>
  <si>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</si>
  <si>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</si>
  <si>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</si>
  <si>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</si>
  <si>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</si>
  <si>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</si>
  <si>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</si>
  <si>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</si>
  <si>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</si>
  <si>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</si>
  <si>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</si>
  <si>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</si>
  <si>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</si>
  <si>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</si>
  <si>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</si>
  <si>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</si>
  <si>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</si>
  <si>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</si>
  <si>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</si>
  <si>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</si>
  <si>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</si>
  <si>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</si>
  <si>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</si>
  <si>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</si>
  <si>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</si>
  <si>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</si>
  <si>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</si>
  <si>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</si>
  <si>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</si>
  <si>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</si>
  <si>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</si>
  <si>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</si>
  <si>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</si>
  <si>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</si>
  <si>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</si>
  <si>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</si>
  <si>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</si>
  <si>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</si>
  <si>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</si>
  <si>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</si>
  <si>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</si>
  <si>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</si>
  <si>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</si>
  <si>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</si>
  <si>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</si>
  <si>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</si>
  <si>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</si>
  <si>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</si>
  <si>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</si>
  <si>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</si>
  <si>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</si>
  <si>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</si>
  <si>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</si>
  <si>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</si>
  <si>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</si>
  <si>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</si>
  <si>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</si>
  <si>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</si>
  <si>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</si>
  <si>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</si>
  <si>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</si>
  <si>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</si>
  <si>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</si>
  <si>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</si>
  <si>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</si>
  <si>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</si>
  <si>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</si>
  <si>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</si>
  <si>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</si>
  <si>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</si>
  <si>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</si>
  <si>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</si>
  <si>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</si>
  <si>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</si>
  <si>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</si>
  <si>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</si>
  <si>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</si>
  <si>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</si>
  <si>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</si>
  <si>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</si>
  <si>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</si>
  <si>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</si>
  <si>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</si>
  <si>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</si>
  <si>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</si>
  <si>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</si>
  <si>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</si>
  <si>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</si>
  <si>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</si>
  <si>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</si>
  <si>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</si>
  <si>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</si>
  <si>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</si>
  <si>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</si>
  <si>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</si>
  <si>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</si>
  <si>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</si>
  <si>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</si>
  <si>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</si>
  <si>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</si>
  <si>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</si>
  <si>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</si>
  <si>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</si>
  <si>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</si>
  <si>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</si>
  <si>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</si>
  <si>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</si>
  <si>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</si>
  <si>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</si>
  <si>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</si>
  <si>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</si>
  <si>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</si>
  <si>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</si>
  <si>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</si>
  <si>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</si>
  <si>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</si>
  <si>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</si>
  <si>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</si>
  <si>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</si>
  <si>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</si>
  <si>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</si>
  <si>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</si>
  <si>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</si>
  <si>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</si>
  <si>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</si>
  <si>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</si>
  <si>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</si>
  <si>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</si>
  <si>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</si>
  <si>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</si>
  <si>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</si>
  <si>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</si>
  <si>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</si>
  <si>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</si>
  <si>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</si>
  <si>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</si>
  <si>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</si>
  <si>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</si>
  <si>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</si>
  <si>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</si>
  <si>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</si>
  <si>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</si>
  <si>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</si>
  <si>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</si>
  <si>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</si>
  <si>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</si>
  <si>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</si>
  <si>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</si>
  <si>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</si>
  <si>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</si>
  <si>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</si>
  <si>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</si>
  <si>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</si>
  <si>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</si>
  <si>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</si>
  <si>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</si>
  <si>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</si>
  <si>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</si>
  <si>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</si>
  <si>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</si>
  <si>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</si>
  <si>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</si>
  <si>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</si>
  <si>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</si>
  <si>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</si>
  <si>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</si>
  <si>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</si>
  <si>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</si>
  <si>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</si>
  <si>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</si>
  <si>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</si>
  <si>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</si>
  <si>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</si>
  <si>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</si>
  <si>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</si>
  <si>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</si>
  <si>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</si>
  <si>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</si>
  <si>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药康生物</t>
  </si>
  <si>
    <t>www.lixinger.com/analytics/company/sh/688046/688046/detail</t>
  </si>
  <si>
    <t>长光华芯</t>
  </si>
  <si>
    <t>www.lixinger.com/analytics/company/sh/688048/688048/detail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</si>
  <si>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</si>
  <si>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</si>
  <si>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</si>
  <si>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</si>
  <si>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</si>
  <si>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</si>
  <si>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纳芯微</t>
  </si>
  <si>
    <t>www.lixinger.com/analytics/company/sh/688052/688052/detail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</si>
  <si>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</si>
  <si>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</si>
  <si>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</si>
  <si>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</si>
  <si>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</si>
  <si>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</si>
  <si>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</si>
  <si>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</si>
  <si>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</si>
  <si>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</si>
  <si>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</si>
  <si>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</si>
  <si>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</si>
  <si>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</si>
  <si>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</si>
  <si>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</si>
  <si>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</si>
  <si>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</si>
  <si>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</si>
  <si>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</si>
  <si>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</si>
  <si>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</si>
  <si>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</si>
  <si>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</si>
  <si>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</si>
  <si>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</si>
  <si>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</si>
  <si>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</si>
  <si>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</si>
  <si>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</si>
  <si>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拓荆科技</t>
  </si>
  <si>
    <t>www.lixinger.com/analytics/company/sh/688072/688072/detail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</si>
  <si>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</si>
  <si>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</si>
  <si>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</si>
  <si>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</si>
  <si>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</si>
  <si>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</si>
  <si>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</si>
  <si>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</si>
  <si>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</si>
  <si>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</si>
  <si>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</si>
  <si>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</si>
  <si>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</si>
  <si>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</si>
  <si>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</si>
  <si>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</si>
  <si>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</si>
  <si>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</si>
  <si>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</si>
  <si>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</si>
  <si>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</si>
  <si>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</si>
  <si>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</si>
  <si>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</si>
  <si>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</si>
  <si>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</si>
  <si>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</si>
  <si>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</si>
  <si>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</si>
  <si>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</si>
  <si>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</si>
  <si>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</si>
  <si>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</si>
  <si>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</si>
  <si>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</si>
  <si>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</si>
  <si>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</si>
  <si>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</si>
  <si>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</si>
  <si>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</si>
  <si>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</si>
  <si>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</si>
  <si>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</si>
  <si>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</si>
  <si>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</si>
  <si>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</si>
  <si>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</si>
  <si>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</si>
  <si>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</si>
  <si>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</si>
  <si>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</si>
  <si>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</si>
  <si>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</si>
  <si>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</si>
  <si>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</si>
  <si>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</si>
  <si>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</si>
  <si>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</si>
  <si>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</si>
  <si>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</si>
  <si>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</si>
  <si>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</si>
  <si>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</si>
  <si>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</si>
  <si>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</si>
  <si>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</si>
  <si>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</si>
  <si>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</si>
  <si>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</si>
  <si>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</si>
  <si>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</si>
  <si>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</si>
  <si>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</si>
  <si>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</si>
  <si>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</si>
  <si>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</si>
  <si>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</si>
  <si>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</si>
  <si>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</si>
  <si>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</si>
  <si>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</si>
  <si>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</si>
  <si>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</si>
  <si>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</si>
  <si>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</si>
  <si>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</si>
  <si>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</si>
  <si>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</si>
  <si>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</si>
  <si>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</si>
  <si>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</si>
  <si>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</si>
  <si>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</si>
  <si>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</si>
  <si>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</si>
  <si>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</si>
  <si>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</si>
  <si>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</si>
  <si>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</si>
  <si>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</si>
  <si>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</si>
  <si>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</si>
  <si>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</si>
  <si>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</si>
  <si>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</si>
  <si>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</si>
  <si>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</si>
  <si>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</si>
  <si>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</si>
  <si>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</si>
  <si>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莱特光电</t>
  </si>
  <si>
    <t>www.lixinger.com/analytics/company/sh/688150/688150/detail</t>
  </si>
  <si>
    <t>华强科技</t>
  </si>
  <si>
    <t>www.lixinger.com/analytics/company/sh/688151/688151/detail</t>
  </si>
  <si>
    <t>唯捷创芯</t>
  </si>
  <si>
    <t>www.lixinger.com/analytics/company/sh/688153/688153/detail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</si>
  <si>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</si>
  <si>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</si>
  <si>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</si>
  <si>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</si>
  <si>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</si>
  <si>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</si>
  <si>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</si>
  <si>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</si>
  <si>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</si>
  <si>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</si>
  <si>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</si>
  <si>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</si>
  <si>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</si>
  <si>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</si>
  <si>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</si>
  <si>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</si>
  <si>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</si>
  <si>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</si>
  <si>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</si>
  <si>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</si>
  <si>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</si>
  <si>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</si>
  <si>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</si>
  <si>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</si>
  <si>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</si>
  <si>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</si>
  <si>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</si>
  <si>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</si>
  <si>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德龙激光</t>
  </si>
  <si>
    <t>www.lixinger.com/analytics/company/sh/688170/688170/detail</t>
  </si>
  <si>
    <t>纬德信息</t>
  </si>
  <si>
    <t>www.lixinger.com/analytics/company/sh/688171/688171/detail</t>
  </si>
  <si>
    <t>希荻微</t>
  </si>
  <si>
    <t>www.lixinger.com/analytics/company/sh/688173/688173/detail</t>
  </si>
  <si>
    <t>高凌信息</t>
  </si>
  <si>
    <t>www.lixinger.com/analytics/company/sh/688175/688175/detail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</si>
  <si>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</si>
  <si>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</si>
  <si>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</si>
  <si>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</si>
  <si>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</si>
  <si>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</si>
  <si>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</si>
  <si>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</si>
  <si>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</si>
  <si>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</si>
  <si>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</si>
  <si>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</si>
  <si>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</si>
  <si>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</si>
  <si>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</si>
  <si>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</si>
  <si>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</si>
  <si>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</si>
  <si>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</si>
  <si>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</si>
  <si>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</si>
  <si>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</si>
  <si>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</si>
  <si>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</si>
  <si>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</si>
  <si>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</si>
  <si>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</si>
  <si>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</si>
  <si>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</si>
  <si>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</si>
  <si>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</si>
  <si>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</si>
  <si>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仁度生物</t>
  </si>
  <si>
    <t>www.lixinger.com/analytics/company/sh/688193/688193/detail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</si>
  <si>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</si>
  <si>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</si>
  <si>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</si>
  <si>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</si>
  <si>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</si>
  <si>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</si>
  <si>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</si>
  <si>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</si>
  <si>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</si>
  <si>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</si>
  <si>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</si>
  <si>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</si>
  <si>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</si>
  <si>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</si>
  <si>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</si>
  <si>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</si>
  <si>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</si>
  <si>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</si>
  <si>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格灵深瞳</t>
  </si>
  <si>
    <t>www.lixinger.com/analytics/company/sh/688207/688207/detail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</si>
  <si>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</si>
  <si>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</si>
  <si>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</si>
  <si>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</si>
  <si>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</si>
  <si>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</si>
  <si>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</si>
  <si>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</si>
  <si>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</si>
  <si>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</si>
  <si>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思特威</t>
  </si>
  <si>
    <t>www.lixinger.com/analytics/company/sh/688213/688213/detail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</si>
  <si>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</si>
  <si>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</si>
  <si>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</si>
  <si>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</si>
  <si>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</si>
  <si>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</si>
  <si>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</si>
  <si>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</si>
  <si>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</si>
  <si>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</si>
  <si>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</si>
  <si>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</si>
  <si>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</si>
  <si>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</si>
  <si>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</si>
  <si>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</si>
  <si>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</si>
  <si>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</si>
  <si>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</si>
  <si>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</si>
  <si>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</si>
  <si>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</si>
  <si>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</si>
  <si>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</si>
  <si>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</si>
  <si>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</si>
  <si>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</si>
  <si>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</si>
  <si>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</si>
  <si>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</si>
  <si>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</si>
  <si>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</si>
  <si>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</si>
  <si>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</si>
  <si>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</si>
  <si>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</si>
  <si>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</si>
  <si>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</si>
  <si>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</si>
  <si>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</si>
  <si>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</si>
  <si>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</si>
  <si>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</si>
  <si>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</si>
  <si>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</si>
  <si>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</si>
  <si>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</si>
  <si>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</si>
  <si>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</si>
  <si>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</si>
  <si>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</si>
  <si>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</si>
  <si>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</si>
  <si>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</si>
  <si>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</si>
  <si>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</si>
  <si>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</si>
  <si>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</si>
  <si>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</si>
  <si>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</si>
  <si>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</si>
  <si>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</si>
  <si>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</si>
  <si>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</si>
  <si>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</si>
  <si>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</si>
  <si>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</si>
  <si>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</si>
  <si>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</si>
  <si>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</si>
  <si>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</si>
  <si>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</si>
  <si>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</si>
  <si>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</si>
  <si>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</si>
  <si>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</si>
  <si>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</si>
  <si>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</si>
  <si>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</si>
  <si>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</si>
  <si>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</si>
  <si>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</si>
  <si>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</si>
  <si>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</si>
  <si>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峰岹科技</t>
  </si>
  <si>
    <t>www.lixinger.com/analytics/company/sh/688279/688279/detail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</si>
  <si>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</si>
  <si>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</si>
  <si>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</si>
  <si>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</si>
  <si>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理工导航</t>
  </si>
  <si>
    <t>www.lixinger.com/analytics/company/sh/688282/688282/detail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</si>
  <si>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</si>
  <si>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</si>
  <si>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</si>
  <si>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</si>
  <si>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</si>
  <si>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</si>
  <si>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</si>
  <si>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</si>
  <si>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</si>
  <si>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</si>
  <si>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景业智能</t>
  </si>
  <si>
    <t>www.lixinger.com/analytics/company/sh/688290/688290/detail</t>
  </si>
  <si>
    <t>中复神鹰</t>
  </si>
  <si>
    <t>www.lixinger.com/analytics/company/sh/688295/688295/detail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</si>
  <si>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</si>
  <si>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</si>
  <si>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</si>
  <si>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</si>
  <si>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</si>
  <si>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</si>
  <si>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</si>
  <si>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</si>
  <si>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</si>
  <si>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</si>
  <si>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海创药业</t>
  </si>
  <si>
    <t>www.lixinger.com/analytics/company/sh/688302/688302/detail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</si>
  <si>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</si>
  <si>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</si>
  <si>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</si>
  <si>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</si>
  <si>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</si>
  <si>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</si>
  <si>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</si>
  <si>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</si>
  <si>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</si>
  <si>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</si>
  <si>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</si>
  <si>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</si>
  <si>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</si>
  <si>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</si>
  <si>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</si>
  <si>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</si>
  <si>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</si>
  <si>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</si>
  <si>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</si>
  <si>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</si>
  <si>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</si>
  <si>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</si>
  <si>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</si>
  <si>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</si>
  <si>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</si>
  <si>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</si>
  <si>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</si>
  <si>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</si>
  <si>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</si>
  <si>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</si>
  <si>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</si>
  <si>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禾川科技</t>
  </si>
  <si>
    <t>www.lixinger.com/analytics/company/sh/688320/688320/detail</t>
  </si>
  <si>
    <t>微芯生物</t>
  </si>
  <si>
    <t>www.lixinger.com/analytics/company/sh/688321/688321/detail</t>
  </si>
  <si>
    <t>瑞华泰</t>
  </si>
  <si>
    <t>www.lixinger.com/analytics/company/sh/688323/688323/detail</t>
  </si>
  <si>
    <t>赛微微电</t>
  </si>
  <si>
    <t>www.lixinger.com/analytics/company/sh/688325/688325/detail</t>
  </si>
  <si>
    <t>经纬恒润</t>
  </si>
  <si>
    <t>www.lixinger.com/analytics/company/sh/688326/688326/detail</t>
  </si>
  <si>
    <t>云从科技</t>
  </si>
  <si>
    <t>www.lixinger.com/analytics/company/sh/688327/688327/detail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</si>
  <si>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</si>
  <si>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</si>
  <si>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</si>
  <si>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</si>
  <si>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</si>
  <si>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</si>
  <si>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</si>
  <si>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</si>
  <si>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</si>
  <si>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</si>
  <si>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</si>
  <si>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</si>
  <si>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</si>
  <si>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</si>
  <si>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普源精电</t>
  </si>
  <si>
    <t>www.lixinger.com/analytics/company/sh/688337/688337/detail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</si>
  <si>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</si>
  <si>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</si>
  <si>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</si>
  <si>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</si>
  <si>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</si>
  <si>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</si>
  <si>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</si>
  <si>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</si>
  <si>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</si>
  <si>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</si>
  <si>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</si>
  <si>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</si>
  <si>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</si>
  <si>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</si>
  <si>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</si>
  <si>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</si>
  <si>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</si>
  <si>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</si>
  <si>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</si>
  <si>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</si>
  <si>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</si>
  <si>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</si>
  <si>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</si>
  <si>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</si>
  <si>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</si>
  <si>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</si>
  <si>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</si>
  <si>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</si>
  <si>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</si>
  <si>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</si>
  <si>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</si>
  <si>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</si>
  <si>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</si>
  <si>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</si>
  <si>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</si>
  <si>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</si>
  <si>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</si>
  <si>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</si>
  <si>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</si>
  <si>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</si>
  <si>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</si>
  <si>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</si>
  <si>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</si>
  <si>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</si>
  <si>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</si>
  <si>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</si>
  <si>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</si>
  <si>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</si>
  <si>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</si>
  <si>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</si>
  <si>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</si>
  <si>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</si>
  <si>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</si>
  <si>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</si>
  <si>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</si>
  <si>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</si>
  <si>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</si>
  <si>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</si>
  <si>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</si>
  <si>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</si>
  <si>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</si>
  <si>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</si>
  <si>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</si>
  <si>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</si>
  <si>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</si>
  <si>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</si>
  <si>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</si>
  <si>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</si>
  <si>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</si>
  <si>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</si>
  <si>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</si>
  <si>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</si>
  <si>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</si>
  <si>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</si>
  <si>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</si>
  <si>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</si>
  <si>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</si>
  <si>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</si>
  <si>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</si>
  <si>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</si>
  <si>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</si>
  <si>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</si>
  <si>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</si>
  <si>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</si>
  <si>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</si>
  <si>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</si>
  <si>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</si>
  <si>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</si>
  <si>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</si>
  <si>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</si>
  <si>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</si>
  <si>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</si>
  <si>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</si>
  <si>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</si>
  <si>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</si>
  <si>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</si>
  <si>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</si>
  <si>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</si>
  <si>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</si>
  <si>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</si>
  <si>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</si>
  <si>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</si>
  <si>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</si>
  <si>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</si>
  <si>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</si>
  <si>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</si>
  <si>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</si>
  <si>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</si>
  <si>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</si>
  <si>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</si>
  <si>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</si>
  <si>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</si>
  <si>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</si>
  <si>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</si>
  <si>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</si>
  <si>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</si>
  <si>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</si>
  <si>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</si>
  <si>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</si>
  <si>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</si>
  <si>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</si>
  <si>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</si>
  <si>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</si>
  <si>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</si>
  <si>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</si>
  <si>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</si>
  <si>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</si>
  <si>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</si>
  <si>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</si>
  <si>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</si>
  <si>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</si>
  <si>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</si>
  <si>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</si>
  <si>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</si>
  <si>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</si>
  <si>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</si>
  <si>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</si>
  <si>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</si>
  <si>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</si>
  <si>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</si>
  <si>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</si>
  <si>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</si>
  <si>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</si>
  <si>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</si>
  <si>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</si>
  <si>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</si>
  <si>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</si>
  <si>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</si>
  <si>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</si>
  <si>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</si>
  <si>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</si>
  <si>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</si>
  <si>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</si>
  <si>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</si>
  <si>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</si>
  <si>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</si>
  <si>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</si>
  <si>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</si>
  <si>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</si>
  <si>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</si>
  <si>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</si>
  <si>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</si>
  <si>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</si>
  <si>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</si>
  <si>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</si>
  <si>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</si>
  <si>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</si>
  <si>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</si>
  <si>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</si>
  <si>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</si>
  <si>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</si>
  <si>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</si>
  <si>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</si>
  <si>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</si>
  <si>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</si>
  <si>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</si>
  <si>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</si>
  <si>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</si>
  <si>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</si>
  <si>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</si>
  <si>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</si>
  <si>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</si>
  <si>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</si>
  <si>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</si>
  <si>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</si>
  <si>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</si>
  <si>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</si>
  <si>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</si>
  <si>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</si>
  <si>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</si>
  <si>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</si>
  <si>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</si>
  <si>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</si>
  <si>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</si>
  <si>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</si>
  <si>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</si>
  <si>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</si>
  <si>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</si>
  <si>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</si>
  <si>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</si>
  <si>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</si>
  <si>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</si>
  <si>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</si>
  <si>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</si>
  <si>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</si>
  <si>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</si>
  <si>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</si>
  <si>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</si>
  <si>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</si>
  <si>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</si>
  <si>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</si>
  <si>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</si>
  <si>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</si>
  <si>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</si>
  <si>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</si>
  <si>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</si>
  <si>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</si>
  <si>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</si>
  <si>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</si>
  <si>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</si>
  <si>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</si>
  <si>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</si>
  <si>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</si>
  <si>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</si>
  <si>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</si>
  <si>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</si>
  <si>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</si>
  <si>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</si>
  <si>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</si>
  <si>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</si>
  <si>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</si>
  <si>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</si>
  <si>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</si>
  <si>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</si>
  <si>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</si>
  <si>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</si>
  <si>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</si>
  <si>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</si>
  <si>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</si>
  <si>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</si>
  <si>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</si>
  <si>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</si>
  <si>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</si>
  <si>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</si>
  <si>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</si>
  <si>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</si>
  <si>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</si>
  <si>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</si>
  <si>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</si>
  <si>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</si>
  <si>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</si>
  <si>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</si>
  <si>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</si>
  <si>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</si>
  <si>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</si>
  <si>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</si>
  <si>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</si>
  <si>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</si>
  <si>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</si>
  <si>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</si>
  <si>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</si>
  <si>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</si>
  <si>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</si>
  <si>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</si>
  <si>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</si>
  <si>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</si>
  <si>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</si>
  <si>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</si>
  <si>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</si>
  <si>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</si>
  <si>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</si>
  <si>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</si>
  <si>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蚂蚁集团</t>
  </si>
  <si>
    <t>www.lixinger.com/analytics/company/sh/688688/688688/detail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</si>
  <si>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</si>
  <si>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</si>
  <si>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</si>
  <si>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</si>
  <si>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</si>
  <si>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</si>
  <si>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</si>
  <si>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</si>
  <si>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</si>
  <si>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</si>
  <si>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</si>
  <si>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</si>
  <si>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</si>
  <si>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</si>
  <si>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</si>
  <si>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</si>
  <si>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</si>
  <si>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</si>
  <si>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</si>
  <si>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</si>
  <si>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</si>
  <si>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</si>
  <si>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</si>
  <si>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</si>
  <si>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</si>
  <si>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</si>
  <si>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</si>
  <si>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</si>
  <si>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</si>
  <si>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</si>
  <si>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</si>
  <si>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</si>
  <si>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</si>
  <si>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</si>
  <si>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</si>
  <si>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</si>
  <si>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</si>
  <si>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</si>
  <si>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</si>
  <si>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</si>
  <si>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</si>
  <si>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</si>
  <si>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</si>
  <si>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</si>
  <si>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</si>
  <si>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</si>
  <si>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</si>
  <si>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</si>
  <si>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</si>
  <si>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</si>
  <si>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</si>
  <si>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</si>
  <si>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</si>
  <si>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</si>
  <si>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</si>
  <si>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</si>
  <si>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</si>
  <si>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</si>
  <si>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</si>
  <si>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</si>
  <si>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</si>
  <si>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</si>
  <si>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</si>
  <si>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</si>
  <si>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</si>
  <si>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</si>
  <si>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</si>
  <si>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</si>
  <si>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</si>
  <si>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</si>
  <si>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</si>
  <si>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</si>
  <si>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</si>
  <si>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</si>
  <si>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</si>
  <si>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</si>
  <si>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</si>
  <si>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</si>
  <si>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</si>
  <si>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</si>
  <si>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</si>
  <si>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</si>
  <si>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</si>
  <si>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</si>
  <si>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</si>
  <si>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</si>
  <si>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</si>
  <si>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</si>
  <si>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</si>
  <si>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</si>
  <si>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</si>
  <si>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</si>
  <si>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</si>
  <si>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</si>
  <si>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</si>
  <si>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</si>
  <si>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</si>
  <si>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</si>
  <si>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</si>
  <si>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</si>
  <si>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</si>
  <si>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</si>
  <si>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</si>
  <si>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</si>
  <si>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</si>
  <si>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</si>
  <si>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</si>
  <si>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</si>
  <si>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</si>
  <si>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</si>
  <si>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</si>
  <si>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</si>
  <si>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</si>
  <si>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</si>
  <si>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</si>
  <si>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</si>
  <si>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</si>
  <si>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</si>
  <si>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</si>
  <si>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</si>
  <si>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</si>
  <si>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</si>
  <si>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</si>
  <si>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</si>
  <si>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</si>
  <si>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</si>
  <si>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</si>
  <si>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</si>
  <si>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</si>
  <si>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</si>
  <si>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</si>
  <si>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</si>
  <si>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</si>
  <si>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</si>
  <si>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</si>
  <si>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</si>
  <si>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</si>
  <si>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</si>
  <si>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</si>
  <si>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</si>
  <si>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</si>
  <si>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</si>
  <si>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</si>
  <si>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</si>
  <si>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</si>
  <si>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</si>
  <si>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</si>
  <si>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</si>
  <si>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</si>
  <si>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</si>
  <si>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</si>
  <si>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</si>
  <si>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</si>
  <si>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</si>
  <si>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</si>
  <si>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</si>
  <si>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</si>
  <si>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</si>
  <si>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</si>
  <si>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</si>
  <si>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</si>
  <si>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</si>
  <si>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</si>
  <si>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</si>
  <si>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</si>
  <si>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</si>
  <si>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</si>
  <si>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</si>
  <si>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</si>
  <si>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</si>
  <si>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</si>
  <si>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</si>
  <si>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</si>
  <si>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</si>
  <si>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</si>
  <si>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</si>
  <si>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</si>
  <si>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</si>
  <si>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</si>
  <si>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</si>
  <si>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</si>
  <si>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</si>
  <si>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</si>
  <si>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</si>
  <si>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</si>
  <si>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PT金田Ａ</t>
  </si>
  <si>
    <t>www.lixinger.com/analytics/company/sz/000003/3/detail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</si>
  <si>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</si>
  <si>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</si>
  <si>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</si>
  <si>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</si>
  <si>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</si>
  <si>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</si>
  <si>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</si>
  <si>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</si>
  <si>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</si>
  <si>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</si>
  <si>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</si>
  <si>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</si>
  <si>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</si>
  <si>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</si>
  <si>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</si>
  <si>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</si>
  <si>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</si>
  <si>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</si>
  <si>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</si>
  <si>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</si>
  <si>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</si>
  <si>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</si>
  <si>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</si>
  <si>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</si>
  <si>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</si>
  <si>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</si>
  <si>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</si>
  <si>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</si>
  <si>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</si>
  <si>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</si>
  <si>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</si>
  <si>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</si>
  <si>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</si>
  <si>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</si>
  <si>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</si>
  <si>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</si>
  <si>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</si>
  <si>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</si>
  <si>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</si>
  <si>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</si>
  <si>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</si>
  <si>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</si>
  <si>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</si>
  <si>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</si>
  <si>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</si>
  <si>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</si>
  <si>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</si>
  <si>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</si>
  <si>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</si>
  <si>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</si>
  <si>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</si>
  <si>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</si>
  <si>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</si>
  <si>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</si>
  <si>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</si>
  <si>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</si>
  <si>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</si>
  <si>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</si>
  <si>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</si>
  <si>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</si>
  <si>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</si>
  <si>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</si>
  <si>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</si>
  <si>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</si>
  <si>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</si>
  <si>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</si>
  <si>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</si>
  <si>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</si>
  <si>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</si>
  <si>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</si>
  <si>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</si>
  <si>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</si>
  <si>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</si>
  <si>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</si>
  <si>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</si>
  <si>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</si>
  <si>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</si>
  <si>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</si>
  <si>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</si>
  <si>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</si>
  <si>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</si>
  <si>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</si>
  <si>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</si>
  <si>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</si>
  <si>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</si>
  <si>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</si>
  <si>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</si>
  <si>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</si>
  <si>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</si>
  <si>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</si>
  <si>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</si>
  <si>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</si>
  <si>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</si>
  <si>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</si>
  <si>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</si>
  <si>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</si>
  <si>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</si>
  <si>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</si>
  <si>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</si>
  <si>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</si>
  <si>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</si>
  <si>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</si>
  <si>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</si>
  <si>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</si>
  <si>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</si>
  <si>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</si>
  <si>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</si>
  <si>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</si>
  <si>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</si>
  <si>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</si>
  <si>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</si>
  <si>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</si>
  <si>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</si>
  <si>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</si>
  <si>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</si>
  <si>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</si>
  <si>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</si>
  <si>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</si>
  <si>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</si>
  <si>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</si>
  <si>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</si>
  <si>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</si>
  <si>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</si>
  <si>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</si>
  <si>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</si>
  <si>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</si>
  <si>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</si>
  <si>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</si>
  <si>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</si>
  <si>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</si>
  <si>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</si>
  <si>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</si>
  <si>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</si>
  <si>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</si>
  <si>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</si>
  <si>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</si>
  <si>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</si>
  <si>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</si>
  <si>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</si>
  <si>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</si>
  <si>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</si>
  <si>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</si>
  <si>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</si>
  <si>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</si>
  <si>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</si>
  <si>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</si>
  <si>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</si>
  <si>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</si>
  <si>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</si>
  <si>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</si>
  <si>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</si>
  <si>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</si>
  <si>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</si>
  <si>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</si>
  <si>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</si>
  <si>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</si>
  <si>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</si>
  <si>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</si>
  <si>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</si>
  <si>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</si>
  <si>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</si>
  <si>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</si>
  <si>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ST鑫光</t>
  </si>
  <si>
    <t>www.lixinger.com/analytics/company/sz/000405/405/detail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</si>
  <si>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</si>
  <si>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</si>
  <si>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</si>
  <si>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</si>
  <si>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</si>
  <si>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</si>
  <si>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</si>
  <si>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</si>
  <si>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</si>
  <si>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</si>
  <si>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</si>
  <si>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</si>
  <si>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</si>
  <si>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</si>
  <si>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</si>
  <si>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</si>
  <si>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</si>
  <si>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</si>
  <si>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</si>
  <si>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</si>
  <si>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</si>
  <si>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</si>
  <si>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</si>
  <si>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</si>
  <si>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</si>
  <si>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</si>
  <si>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</si>
  <si>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</si>
  <si>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</si>
  <si>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</si>
  <si>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</si>
  <si>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</si>
  <si>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</si>
  <si>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</si>
  <si>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</si>
  <si>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</si>
  <si>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</si>
  <si>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</si>
  <si>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</si>
  <si>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</si>
  <si>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</si>
  <si>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</si>
  <si>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</si>
  <si>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</si>
  <si>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</si>
  <si>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</si>
  <si>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</si>
  <si>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</si>
  <si>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</si>
  <si>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</si>
  <si>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</si>
  <si>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</si>
  <si>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</si>
  <si>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</si>
  <si>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</si>
  <si>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</si>
  <si>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</si>
  <si>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</si>
  <si>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</si>
  <si>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</si>
  <si>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</si>
  <si>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</si>
  <si>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</si>
  <si>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</si>
  <si>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</si>
  <si>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</si>
  <si>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</si>
  <si>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</si>
  <si>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</si>
  <si>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</si>
  <si>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</si>
  <si>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</si>
  <si>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</si>
  <si>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</si>
  <si>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</si>
  <si>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</si>
  <si>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</si>
  <si>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</si>
  <si>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</si>
  <si>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</si>
  <si>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</si>
  <si>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</si>
  <si>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</si>
  <si>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</si>
  <si>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</si>
  <si>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</si>
  <si>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</si>
  <si>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</si>
  <si>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</si>
  <si>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</si>
  <si>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</si>
  <si>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</si>
  <si>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</si>
  <si>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</si>
  <si>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</si>
  <si>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</si>
  <si>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</si>
  <si>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</si>
  <si>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</si>
  <si>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</si>
  <si>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</si>
  <si>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</si>
  <si>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</si>
  <si>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</si>
  <si>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</si>
  <si>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</si>
  <si>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</si>
  <si>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</si>
  <si>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</si>
  <si>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</si>
  <si>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</si>
  <si>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</si>
  <si>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</si>
  <si>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</si>
  <si>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</si>
  <si>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</si>
  <si>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</si>
  <si>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</si>
  <si>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</si>
  <si>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</si>
  <si>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</si>
  <si>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</si>
  <si>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</si>
  <si>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</si>
  <si>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</si>
  <si>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</si>
  <si>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</si>
  <si>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</si>
  <si>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</si>
  <si>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</si>
  <si>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</si>
  <si>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</si>
  <si>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</si>
  <si>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</si>
  <si>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</si>
  <si>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</si>
  <si>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</si>
  <si>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</si>
  <si>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</si>
  <si>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</si>
  <si>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</si>
  <si>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</si>
  <si>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</si>
  <si>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</si>
  <si>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</si>
  <si>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</si>
  <si>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</si>
  <si>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</si>
  <si>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</si>
  <si>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</si>
  <si>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</si>
  <si>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</si>
  <si>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</si>
  <si>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</si>
  <si>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</si>
  <si>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</si>
  <si>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</si>
  <si>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</si>
  <si>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</si>
  <si>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</si>
  <si>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</si>
  <si>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</si>
  <si>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</si>
  <si>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</si>
  <si>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</si>
  <si>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</si>
  <si>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</si>
  <si>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</si>
  <si>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</si>
  <si>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</si>
  <si>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</si>
  <si>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</si>
  <si>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</si>
  <si>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</si>
  <si>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</si>
  <si>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</si>
  <si>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</si>
  <si>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</si>
  <si>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</si>
  <si>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</si>
  <si>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</si>
  <si>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</si>
  <si>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</si>
  <si>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</si>
  <si>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</si>
  <si>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</si>
  <si>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</si>
  <si>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</si>
  <si>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</si>
  <si>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</si>
  <si>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</si>
  <si>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</si>
  <si>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</si>
  <si>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</si>
  <si>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</si>
  <si>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</si>
  <si>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</si>
  <si>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</si>
  <si>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</si>
  <si>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</si>
  <si>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</si>
  <si>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</si>
  <si>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</si>
  <si>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</si>
  <si>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</si>
  <si>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</si>
  <si>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</si>
  <si>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</si>
  <si>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</si>
  <si>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</si>
  <si>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</si>
  <si>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</si>
  <si>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</si>
  <si>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</si>
  <si>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</si>
  <si>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</si>
  <si>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</si>
  <si>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</si>
  <si>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</si>
  <si>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</si>
  <si>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</si>
  <si>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</si>
  <si>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</si>
  <si>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</si>
  <si>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</si>
  <si>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</si>
  <si>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</si>
  <si>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</si>
  <si>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</si>
  <si>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</si>
  <si>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</si>
  <si>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</si>
  <si>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</si>
  <si>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</si>
  <si>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</si>
  <si>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</si>
  <si>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</si>
  <si>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</si>
  <si>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</si>
  <si>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</si>
  <si>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</si>
  <si>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</si>
  <si>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</si>
  <si>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</si>
  <si>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</si>
  <si>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</si>
  <si>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</si>
  <si>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</si>
  <si>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</si>
  <si>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</si>
  <si>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</si>
  <si>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</si>
  <si>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</si>
  <si>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</si>
  <si>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</si>
  <si>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</si>
  <si>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</si>
  <si>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</si>
  <si>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</si>
  <si>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</si>
  <si>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</si>
  <si>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</si>
  <si>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</si>
  <si>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</si>
  <si>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</si>
  <si>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</si>
  <si>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</si>
  <si>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</si>
  <si>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</si>
  <si>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</si>
  <si>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</si>
  <si>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</si>
  <si>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</si>
  <si>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</si>
  <si>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</si>
  <si>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</si>
  <si>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</si>
  <si>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</si>
  <si>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</si>
  <si>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</si>
  <si>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</si>
  <si>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</si>
  <si>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</si>
  <si>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</si>
  <si>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</si>
  <si>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</si>
  <si>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</si>
  <si>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</si>
  <si>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</si>
  <si>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</si>
  <si>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</si>
  <si>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</si>
  <si>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</si>
  <si>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</si>
  <si>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</si>
  <si>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</si>
  <si>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</si>
  <si>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</si>
  <si>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</si>
  <si>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</si>
  <si>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</si>
  <si>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</si>
  <si>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</si>
  <si>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</si>
  <si>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</si>
  <si>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</si>
  <si>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</si>
  <si>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</si>
  <si>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</si>
  <si>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</si>
  <si>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</si>
  <si>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</si>
  <si>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</si>
  <si>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</si>
  <si>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</si>
  <si>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</si>
  <si>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</si>
  <si>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</si>
  <si>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</si>
  <si>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</si>
  <si>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</si>
  <si>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</si>
  <si>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</si>
  <si>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</si>
  <si>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</si>
  <si>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</si>
  <si>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</si>
  <si>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</si>
  <si>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</si>
  <si>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</si>
  <si>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</si>
  <si>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</si>
  <si>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</si>
  <si>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</si>
  <si>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</si>
  <si>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</si>
  <si>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</si>
  <si>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</si>
  <si>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</si>
  <si>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</si>
  <si>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</si>
  <si>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</si>
  <si>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</si>
  <si>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</si>
  <si>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</si>
  <si>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</si>
  <si>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</si>
  <si>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</si>
  <si>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</si>
  <si>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</si>
  <si>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</si>
  <si>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</si>
  <si>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</si>
  <si>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</si>
  <si>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</si>
  <si>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</si>
  <si>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</si>
  <si>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</si>
  <si>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</si>
  <si>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</si>
  <si>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</si>
  <si>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</si>
  <si>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</si>
  <si>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</si>
  <si>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</si>
  <si>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</si>
  <si>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</si>
  <si>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</si>
  <si>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</si>
  <si>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</si>
  <si>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</si>
  <si>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</si>
  <si>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</si>
  <si>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</si>
  <si>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S*ST佳纸</t>
  </si>
  <si>
    <t>www.lixinger.com/analytics/company/sz/000699/699/detail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</si>
  <si>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</si>
  <si>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</si>
  <si>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</si>
  <si>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</si>
  <si>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</si>
  <si>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</si>
  <si>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</si>
  <si>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</si>
  <si>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</si>
  <si>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</si>
  <si>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</si>
  <si>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</si>
  <si>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</si>
  <si>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</si>
  <si>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</si>
  <si>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</si>
  <si>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</si>
  <si>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</si>
  <si>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</si>
  <si>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</si>
  <si>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</si>
  <si>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</si>
  <si>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</si>
  <si>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</si>
  <si>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</si>
  <si>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</si>
  <si>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</si>
  <si>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</si>
  <si>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</si>
  <si>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</si>
  <si>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</si>
  <si>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</si>
  <si>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</si>
  <si>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</si>
  <si>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</si>
  <si>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</si>
  <si>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</si>
  <si>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</si>
  <si>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</si>
  <si>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</si>
  <si>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</si>
  <si>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</si>
  <si>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</si>
  <si>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</si>
  <si>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</si>
  <si>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</si>
  <si>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</si>
  <si>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</si>
  <si>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</si>
  <si>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</si>
  <si>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</si>
  <si>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</si>
  <si>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</si>
  <si>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</si>
  <si>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</si>
  <si>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</si>
  <si>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</si>
  <si>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</si>
  <si>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</si>
  <si>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</si>
  <si>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</si>
  <si>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</si>
  <si>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</si>
  <si>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</si>
  <si>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</si>
  <si>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</si>
  <si>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</si>
  <si>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</si>
  <si>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</si>
  <si>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</si>
  <si>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</si>
  <si>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</si>
  <si>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</si>
  <si>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</si>
  <si>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</si>
  <si>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</si>
  <si>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</si>
  <si>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</si>
  <si>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</si>
  <si>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</si>
  <si>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</si>
  <si>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</si>
  <si>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</si>
  <si>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</si>
  <si>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</si>
  <si>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</si>
  <si>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</si>
  <si>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</si>
  <si>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</si>
  <si>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</si>
  <si>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</si>
  <si>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</si>
  <si>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</si>
  <si>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</si>
  <si>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</si>
  <si>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</si>
  <si>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</si>
  <si>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</si>
  <si>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</si>
  <si>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</si>
  <si>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</si>
  <si>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</si>
  <si>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</si>
  <si>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</si>
  <si>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</si>
  <si>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*ST大菲</t>
  </si>
  <si>
    <t>www.lixinger.com/analytics/company/sz/000769/769/detail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</si>
  <si>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</si>
  <si>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</si>
  <si>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</si>
  <si>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</si>
  <si>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</si>
  <si>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</si>
  <si>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</si>
  <si>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</si>
  <si>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</si>
  <si>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</si>
  <si>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</si>
  <si>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</si>
  <si>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</si>
  <si>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</si>
  <si>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</si>
  <si>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</si>
  <si>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</si>
  <si>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</si>
  <si>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</si>
  <si>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</si>
  <si>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</si>
  <si>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</si>
  <si>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</si>
  <si>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</si>
  <si>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</si>
  <si>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</si>
  <si>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</si>
  <si>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</si>
  <si>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</si>
  <si>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</si>
  <si>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</si>
  <si>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</si>
  <si>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</si>
  <si>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</si>
  <si>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</si>
  <si>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</si>
  <si>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</si>
  <si>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</si>
  <si>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</si>
  <si>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</si>
  <si>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</si>
  <si>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</si>
  <si>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</si>
  <si>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</si>
  <si>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</si>
  <si>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</si>
  <si>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</si>
  <si>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</si>
  <si>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</si>
  <si>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</si>
  <si>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</si>
  <si>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</si>
  <si>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</si>
  <si>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</si>
  <si>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</si>
  <si>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</si>
  <si>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</si>
  <si>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</si>
  <si>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</si>
  <si>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</si>
  <si>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</si>
  <si>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</si>
  <si>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</si>
  <si>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</si>
  <si>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</si>
  <si>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</si>
  <si>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</si>
  <si>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</si>
  <si>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</si>
  <si>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</si>
  <si>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</si>
  <si>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</si>
  <si>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</si>
  <si>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</si>
  <si>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</si>
  <si>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</si>
  <si>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</si>
  <si>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</si>
  <si>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</si>
  <si>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</si>
  <si>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</si>
  <si>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</si>
  <si>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</si>
  <si>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</si>
  <si>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</si>
  <si>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</si>
  <si>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</si>
  <si>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</si>
  <si>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</si>
  <si>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</si>
  <si>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</si>
  <si>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</si>
  <si>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</si>
  <si>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</si>
  <si>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</si>
  <si>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</si>
  <si>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</si>
  <si>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</si>
  <si>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</si>
  <si>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</si>
  <si>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</si>
  <si>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</si>
  <si>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</si>
  <si>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</si>
  <si>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</si>
  <si>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</si>
  <si>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</si>
  <si>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</si>
  <si>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</si>
  <si>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</si>
  <si>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</si>
  <si>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</si>
  <si>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</si>
  <si>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</si>
  <si>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</si>
  <si>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</si>
  <si>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</si>
  <si>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</si>
  <si>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</si>
  <si>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</si>
  <si>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</si>
  <si>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</si>
  <si>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</si>
  <si>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</si>
  <si>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</si>
  <si>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</si>
  <si>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</si>
  <si>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</si>
  <si>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</si>
  <si>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</si>
  <si>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</si>
  <si>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</si>
  <si>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</si>
  <si>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</si>
  <si>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</si>
  <si>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</si>
  <si>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</si>
  <si>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</si>
  <si>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</si>
  <si>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</si>
  <si>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</si>
  <si>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</si>
  <si>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</si>
  <si>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</si>
  <si>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</si>
  <si>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</si>
  <si>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</si>
  <si>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</si>
  <si>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</si>
  <si>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</si>
  <si>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</si>
  <si>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</si>
  <si>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</si>
  <si>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</si>
  <si>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</si>
  <si>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</si>
  <si>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</si>
  <si>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</si>
  <si>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</si>
  <si>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</si>
  <si>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</si>
  <si>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</si>
  <si>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</si>
  <si>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</si>
  <si>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</si>
  <si>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</si>
  <si>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</si>
  <si>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</si>
  <si>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</si>
  <si>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</si>
  <si>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</si>
  <si>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</si>
  <si>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</si>
  <si>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</si>
  <si>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</si>
  <si>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</si>
  <si>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</si>
  <si>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</si>
  <si>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</si>
  <si>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</si>
  <si>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</si>
  <si>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</si>
  <si>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</si>
  <si>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</si>
  <si>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</si>
  <si>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</si>
  <si>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</si>
  <si>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</si>
  <si>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</si>
  <si>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</si>
  <si>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</si>
  <si>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</si>
  <si>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</si>
  <si>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</si>
  <si>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</si>
  <si>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</si>
  <si>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</si>
  <si>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</si>
  <si>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</si>
  <si>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</si>
  <si>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</si>
  <si>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</si>
  <si>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</si>
  <si>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</si>
  <si>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</si>
  <si>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</si>
  <si>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</si>
  <si>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</si>
  <si>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</si>
  <si>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</si>
  <si>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</si>
  <si>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</si>
  <si>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</si>
  <si>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</si>
  <si>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</si>
  <si>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</si>
  <si>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</si>
  <si>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</si>
  <si>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</si>
  <si>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</si>
  <si>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</si>
  <si>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</si>
  <si>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</si>
  <si>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</si>
  <si>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</si>
  <si>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</si>
  <si>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</si>
  <si>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</si>
  <si>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</si>
  <si>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</si>
  <si>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</si>
  <si>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</si>
  <si>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</si>
  <si>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</si>
  <si>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</si>
  <si>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</si>
  <si>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</si>
  <si>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</si>
  <si>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</si>
  <si>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</si>
  <si>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</si>
  <si>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</si>
  <si>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</si>
  <si>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</si>
  <si>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</si>
  <si>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</si>
  <si>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</si>
  <si>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</si>
  <si>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</si>
  <si>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</si>
  <si>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</si>
  <si>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</si>
  <si>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</si>
  <si>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</si>
  <si>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</si>
  <si>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</si>
  <si>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</si>
  <si>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</si>
  <si>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</si>
  <si>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</si>
  <si>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</si>
  <si>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</si>
  <si>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</si>
  <si>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</si>
  <si>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</si>
  <si>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</si>
  <si>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</si>
  <si>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</si>
  <si>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</si>
  <si>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</si>
  <si>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</si>
  <si>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</si>
  <si>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</si>
  <si>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</si>
  <si>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</si>
  <si>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</si>
  <si>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</si>
  <si>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</si>
  <si>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</si>
  <si>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</si>
  <si>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</si>
  <si>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</si>
  <si>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</si>
  <si>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</si>
  <si>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</si>
  <si>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</si>
  <si>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</si>
  <si>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</si>
  <si>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</si>
  <si>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</si>
  <si>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</si>
  <si>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</si>
  <si>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</si>
  <si>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</si>
  <si>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</si>
  <si>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</si>
  <si>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</si>
  <si>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</si>
  <si>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</si>
  <si>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</si>
  <si>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</si>
  <si>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</si>
  <si>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</si>
  <si>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</si>
  <si>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</si>
  <si>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</si>
  <si>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</si>
  <si>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</si>
  <si>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</si>
  <si>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</si>
  <si>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</si>
  <si>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</si>
  <si>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</si>
  <si>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</si>
  <si>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</si>
  <si>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</si>
  <si>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</si>
  <si>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</si>
  <si>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</si>
  <si>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</si>
  <si>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</si>
  <si>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</si>
  <si>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</si>
  <si>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</si>
  <si>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</si>
  <si>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</si>
  <si>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</si>
  <si>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</si>
  <si>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</si>
  <si>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</si>
  <si>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</si>
  <si>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</si>
  <si>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</si>
  <si>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</si>
  <si>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</si>
  <si>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</si>
  <si>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</si>
  <si>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</si>
  <si>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</si>
  <si>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</si>
  <si>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</si>
  <si>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</si>
  <si>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</si>
  <si>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</si>
  <si>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</si>
  <si>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</si>
  <si>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</si>
  <si>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</si>
  <si>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</si>
  <si>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</si>
  <si>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</si>
  <si>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</si>
  <si>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</si>
  <si>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</si>
  <si>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</si>
  <si>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</si>
  <si>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</si>
  <si>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</si>
  <si>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</si>
  <si>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</si>
  <si>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</si>
  <si>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</si>
  <si>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</si>
  <si>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</si>
  <si>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</si>
  <si>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</si>
  <si>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</si>
  <si>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</si>
  <si>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</si>
  <si>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永泰运</t>
  </si>
  <si>
    <t>www.lixinger.com/analytics/company/sz/001228/1228/detail</t>
  </si>
  <si>
    <t>泰慕士</t>
  </si>
  <si>
    <t>www.lixinger.com/analytics/company/sz/001234/1234/detail</t>
  </si>
  <si>
    <t>里得电科</t>
  </si>
  <si>
    <t>www.lixinger.com/analytics/company/sz/001235/1235/detail</t>
  </si>
  <si>
    <t>宏英智能</t>
  </si>
  <si>
    <t>www.lixinger.com/analytics/company/sz/001266/1266/detail</t>
  </si>
  <si>
    <t>汇绿生态</t>
  </si>
  <si>
    <t>www.lixinger.com/analytics/company/sz/001267/1267/detail</t>
  </si>
  <si>
    <t>运机集团</t>
  </si>
  <si>
    <t>www.lixinger.com/analytics/company/sz/001288/1288/detail</t>
  </si>
  <si>
    <t>龙源电力</t>
  </si>
  <si>
    <t>www.lixinger.com/analytics/company/sz/001289/1289/detail</t>
  </si>
  <si>
    <t>长江材料</t>
  </si>
  <si>
    <t>www.lixinger.com/analytics/company/sz/001296/1296/detail</t>
  </si>
  <si>
    <t>康冠科技</t>
  </si>
  <si>
    <t>www.lixinger.com/analytics/company/sz/001308/1308/detail</t>
  </si>
  <si>
    <t>粤海饲料</t>
  </si>
  <si>
    <t>www.lixinger.com/analytics/company/sz/001313/1313/detail</t>
  </si>
  <si>
    <t>三羊马</t>
  </si>
  <si>
    <t>www.lixinger.com/analytics/company/sz/001317/1317/detail</t>
  </si>
  <si>
    <t>阳光乳业</t>
  </si>
  <si>
    <t>www.lixinger.com/analytics/company/sz/001318/1318/detail</t>
  </si>
  <si>
    <t>铭科精技</t>
  </si>
  <si>
    <t>www.lixinger.com/analytics/company/sz/001319/1319/detail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</si>
  <si>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</si>
  <si>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</si>
  <si>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</si>
  <si>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</si>
  <si>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</si>
  <si>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</si>
  <si>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</si>
  <si>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</si>
  <si>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</si>
  <si>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</si>
  <si>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</si>
  <si>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</si>
  <si>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</si>
  <si>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</si>
  <si>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</si>
  <si>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</si>
  <si>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</si>
  <si>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</si>
  <si>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</si>
  <si>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</si>
  <si>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</si>
  <si>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</si>
  <si>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</si>
  <si>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</si>
  <si>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</si>
  <si>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</si>
  <si>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</si>
  <si>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</si>
  <si>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</si>
  <si>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</si>
  <si>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</si>
  <si>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</si>
  <si>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</si>
  <si>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</si>
  <si>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</si>
  <si>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</si>
  <si>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</si>
  <si>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</si>
  <si>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</si>
  <si>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</si>
  <si>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</si>
  <si>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</si>
  <si>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</si>
  <si>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</si>
  <si>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</si>
  <si>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</si>
  <si>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</si>
  <si>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</si>
  <si>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</si>
  <si>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</si>
  <si>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</si>
  <si>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</si>
  <si>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</si>
  <si>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</si>
  <si>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</si>
  <si>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</si>
  <si>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</si>
  <si>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</si>
  <si>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</si>
  <si>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</si>
  <si>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</si>
  <si>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</si>
  <si>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</si>
  <si>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</si>
  <si>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</si>
  <si>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</si>
  <si>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</si>
  <si>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</si>
  <si>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</si>
  <si>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</si>
  <si>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</si>
  <si>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</si>
  <si>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</si>
  <si>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</si>
  <si>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</si>
  <si>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</si>
  <si>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</si>
  <si>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</si>
  <si>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</si>
  <si>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</si>
  <si>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</si>
  <si>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</si>
  <si>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</si>
  <si>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</si>
  <si>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</si>
  <si>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</si>
  <si>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</si>
  <si>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</si>
  <si>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</si>
  <si>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</si>
  <si>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</si>
  <si>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</si>
  <si>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</si>
  <si>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</si>
  <si>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</si>
  <si>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</si>
  <si>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</si>
  <si>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</si>
  <si>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</si>
  <si>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</si>
  <si>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</si>
  <si>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</si>
  <si>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</si>
  <si>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</si>
  <si>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</si>
  <si>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</si>
  <si>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</si>
  <si>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</si>
  <si>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</si>
  <si>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</si>
  <si>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</si>
  <si>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</si>
  <si>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</si>
  <si>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</si>
  <si>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</si>
  <si>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</si>
  <si>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</si>
  <si>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</si>
  <si>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</si>
  <si>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</si>
  <si>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</si>
  <si>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</si>
  <si>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</si>
  <si>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</si>
  <si>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</si>
  <si>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</si>
  <si>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</si>
  <si>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</si>
  <si>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</si>
  <si>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</si>
  <si>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</si>
  <si>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</si>
  <si>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</si>
  <si>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</si>
  <si>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</si>
  <si>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</si>
  <si>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</si>
  <si>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</si>
  <si>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</si>
  <si>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</si>
  <si>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</si>
  <si>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</si>
  <si>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</si>
  <si>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</si>
  <si>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</si>
  <si>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</si>
  <si>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</si>
  <si>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</si>
  <si>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</si>
  <si>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</si>
  <si>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</si>
  <si>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</si>
  <si>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</si>
  <si>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</si>
  <si>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</si>
  <si>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</si>
  <si>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</si>
  <si>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</si>
  <si>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</si>
  <si>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</si>
  <si>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</si>
  <si>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</si>
  <si>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</si>
  <si>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</si>
  <si>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</si>
  <si>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</si>
  <si>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</si>
  <si>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</si>
  <si>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</si>
  <si>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</si>
  <si>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</si>
  <si>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</si>
  <si>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</si>
  <si>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</si>
  <si>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</si>
  <si>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</si>
  <si>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</si>
  <si>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</si>
  <si>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</si>
  <si>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</si>
  <si>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</si>
  <si>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</si>
  <si>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</si>
  <si>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</si>
  <si>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</si>
  <si>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</si>
  <si>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</si>
  <si>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</si>
  <si>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</si>
  <si>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</si>
  <si>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</si>
  <si>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</si>
  <si>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</si>
  <si>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</si>
  <si>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</si>
  <si>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</si>
  <si>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</si>
  <si>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</si>
  <si>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</si>
  <si>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</si>
  <si>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</si>
  <si>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</si>
  <si>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</si>
  <si>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</si>
  <si>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</si>
  <si>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</si>
  <si>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</si>
  <si>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</si>
  <si>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</si>
  <si>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</si>
  <si>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</si>
  <si>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</si>
  <si>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</si>
  <si>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</si>
  <si>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</si>
  <si>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</si>
  <si>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</si>
  <si>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</si>
  <si>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</si>
  <si>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</si>
  <si>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</si>
  <si>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</si>
  <si>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</si>
  <si>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</si>
  <si>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</si>
  <si>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</si>
  <si>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</si>
  <si>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</si>
  <si>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</si>
  <si>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</si>
  <si>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</si>
  <si>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</si>
  <si>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</si>
  <si>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</si>
  <si>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</si>
  <si>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</si>
  <si>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</si>
  <si>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</si>
  <si>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</si>
  <si>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</si>
  <si>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</si>
  <si>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</si>
  <si>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</si>
  <si>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</si>
  <si>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</si>
  <si>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</si>
  <si>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</si>
  <si>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</si>
  <si>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</si>
  <si>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</si>
  <si>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</si>
  <si>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</si>
  <si>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</si>
  <si>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</si>
  <si>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</si>
  <si>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</si>
  <si>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</si>
  <si>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</si>
  <si>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</si>
  <si>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</si>
  <si>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</si>
  <si>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</si>
  <si>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</si>
  <si>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</si>
  <si>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</si>
  <si>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</si>
  <si>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</si>
  <si>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</si>
  <si>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</si>
  <si>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</si>
  <si>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</si>
  <si>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</si>
  <si>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</si>
  <si>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</si>
  <si>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</si>
  <si>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</si>
  <si>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</si>
  <si>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</si>
  <si>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</si>
  <si>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</si>
  <si>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</si>
  <si>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</si>
  <si>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</si>
  <si>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</si>
  <si>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</si>
  <si>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</si>
  <si>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</si>
  <si>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</si>
  <si>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</si>
  <si>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</si>
  <si>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</si>
  <si>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</si>
  <si>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</si>
  <si>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</si>
  <si>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</si>
  <si>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</si>
  <si>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</si>
  <si>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</si>
  <si>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</si>
  <si>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</si>
  <si>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</si>
  <si>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</si>
  <si>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</si>
  <si>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</si>
  <si>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</si>
  <si>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</si>
  <si>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</si>
  <si>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</si>
  <si>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</si>
  <si>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</si>
  <si>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</si>
  <si>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</si>
  <si>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</si>
  <si>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</si>
  <si>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</si>
  <si>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</si>
  <si>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</si>
  <si>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</si>
  <si>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</si>
  <si>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</si>
  <si>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</si>
  <si>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</si>
  <si>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</si>
  <si>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</si>
  <si>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</si>
  <si>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</si>
  <si>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</si>
  <si>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</si>
  <si>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</si>
  <si>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</si>
  <si>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</si>
  <si>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</si>
  <si>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</si>
  <si>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</si>
  <si>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</si>
  <si>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</si>
  <si>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</si>
  <si>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</si>
  <si>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</si>
  <si>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</si>
  <si>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</si>
  <si>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</si>
  <si>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</si>
  <si>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</si>
  <si>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</si>
  <si>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</si>
  <si>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</si>
  <si>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</si>
  <si>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</si>
  <si>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</si>
  <si>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</si>
  <si>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</si>
  <si>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</si>
  <si>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</si>
  <si>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</si>
  <si>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</si>
  <si>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</si>
  <si>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</si>
  <si>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</si>
  <si>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</si>
  <si>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</si>
  <si>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</si>
  <si>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</si>
  <si>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</si>
  <si>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</si>
  <si>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</si>
  <si>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</si>
  <si>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</si>
  <si>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</si>
  <si>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</si>
  <si>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</si>
  <si>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</si>
  <si>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</si>
  <si>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</si>
  <si>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</si>
  <si>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</si>
  <si>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</si>
  <si>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</si>
  <si>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</si>
  <si>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</si>
  <si>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</si>
  <si>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</si>
  <si>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</si>
  <si>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</si>
  <si>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</si>
  <si>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</si>
  <si>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</si>
  <si>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</si>
  <si>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</si>
  <si>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</si>
  <si>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</si>
  <si>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</si>
  <si>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</si>
  <si>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</si>
  <si>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</si>
  <si>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</si>
  <si>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</si>
  <si>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</si>
  <si>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</si>
  <si>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</si>
  <si>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</si>
  <si>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</si>
  <si>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</si>
  <si>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</si>
  <si>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</si>
  <si>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</si>
  <si>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</si>
  <si>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</si>
  <si>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</si>
  <si>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</si>
  <si>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</si>
  <si>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</si>
  <si>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</si>
  <si>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</si>
  <si>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</si>
  <si>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</si>
  <si>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</si>
  <si>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</si>
  <si>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</si>
  <si>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</si>
  <si>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</si>
  <si>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</si>
  <si>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</si>
  <si>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</si>
  <si>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</si>
  <si>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</si>
  <si>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</si>
  <si>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</si>
  <si>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</si>
  <si>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</si>
  <si>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</si>
  <si>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</si>
  <si>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</si>
  <si>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</si>
  <si>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</si>
  <si>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</si>
  <si>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</si>
  <si>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</si>
  <si>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</si>
  <si>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</si>
  <si>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</si>
  <si>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</si>
  <si>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</si>
  <si>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</si>
  <si>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</si>
  <si>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</si>
  <si>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</si>
  <si>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</si>
  <si>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</si>
  <si>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</si>
  <si>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</si>
  <si>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</si>
  <si>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</si>
  <si>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</si>
  <si>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</si>
  <si>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</si>
  <si>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</si>
  <si>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</si>
  <si>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</si>
  <si>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</si>
  <si>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</si>
  <si>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</si>
  <si>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</si>
  <si>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</si>
  <si>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</si>
  <si>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</si>
  <si>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</si>
  <si>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</si>
  <si>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</si>
  <si>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</si>
  <si>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</si>
  <si>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</si>
  <si>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</si>
  <si>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</si>
  <si>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</si>
  <si>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</si>
  <si>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</si>
  <si>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</si>
  <si>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</si>
  <si>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</si>
  <si>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</si>
  <si>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</si>
  <si>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</si>
  <si>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</si>
  <si>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</si>
  <si>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</si>
  <si>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</si>
  <si>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</si>
  <si>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</si>
  <si>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</si>
  <si>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</si>
  <si>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</si>
  <si>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</si>
  <si>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</si>
  <si>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</si>
  <si>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</si>
  <si>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</si>
  <si>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</si>
  <si>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</si>
  <si>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</si>
  <si>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</si>
  <si>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</si>
  <si>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</si>
  <si>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</si>
  <si>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</si>
  <si>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</si>
  <si>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</si>
  <si>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</si>
  <si>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</si>
  <si>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</si>
  <si>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</si>
  <si>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</si>
  <si>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</si>
  <si>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</si>
  <si>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</si>
  <si>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</si>
  <si>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</si>
  <si>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</si>
  <si>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</si>
  <si>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</si>
  <si>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</si>
  <si>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</si>
  <si>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</si>
  <si>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</si>
  <si>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</si>
  <si>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</si>
  <si>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</si>
  <si>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</si>
  <si>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</si>
  <si>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</si>
  <si>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</si>
  <si>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</si>
  <si>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</si>
  <si>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</si>
  <si>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</si>
  <si>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</si>
  <si>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</si>
  <si>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</si>
  <si>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</si>
  <si>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</si>
  <si>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</si>
  <si>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</si>
  <si>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</si>
  <si>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</si>
  <si>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</si>
  <si>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</si>
  <si>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</si>
  <si>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</si>
  <si>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</si>
  <si>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</si>
  <si>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</si>
  <si>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</si>
  <si>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</si>
  <si>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</si>
  <si>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</si>
  <si>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</si>
  <si>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</si>
  <si>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</si>
  <si>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</si>
  <si>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</si>
  <si>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</si>
  <si>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</si>
  <si>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</si>
  <si>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</si>
  <si>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</si>
  <si>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</si>
  <si>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</si>
  <si>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</si>
  <si>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</si>
  <si>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</si>
  <si>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</si>
  <si>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</si>
  <si>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</si>
  <si>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</si>
  <si>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</si>
  <si>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</si>
  <si>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</si>
  <si>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</si>
  <si>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</si>
  <si>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</si>
  <si>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</si>
  <si>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</si>
  <si>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</si>
  <si>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</si>
  <si>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</si>
  <si>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</si>
  <si>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</si>
  <si>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</si>
  <si>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</si>
  <si>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</si>
  <si>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</si>
  <si>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</si>
  <si>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</si>
  <si>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</si>
  <si>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</si>
  <si>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</si>
  <si>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</si>
  <si>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</si>
  <si>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</si>
  <si>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</si>
  <si>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</si>
  <si>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</si>
  <si>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</si>
  <si>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</si>
  <si>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</si>
  <si>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</si>
  <si>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</si>
  <si>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</si>
  <si>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</si>
  <si>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</si>
  <si>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</si>
  <si>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</si>
  <si>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</si>
  <si>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</si>
  <si>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</si>
  <si>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</si>
  <si>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</si>
  <si>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</si>
  <si>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</si>
  <si>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</si>
  <si>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</si>
  <si>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</si>
  <si>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</si>
  <si>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</si>
  <si>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</si>
  <si>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</si>
  <si>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</si>
  <si>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</si>
  <si>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</si>
  <si>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</si>
  <si>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</si>
  <si>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</si>
  <si>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</si>
  <si>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</si>
  <si>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</si>
  <si>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</si>
  <si>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</si>
  <si>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</si>
  <si>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</si>
  <si>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</si>
  <si>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</si>
  <si>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</si>
  <si>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</si>
  <si>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</si>
  <si>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</si>
  <si>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</si>
  <si>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</si>
  <si>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</si>
  <si>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</si>
  <si>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</si>
  <si>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</si>
  <si>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</si>
  <si>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</si>
  <si>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</si>
  <si>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</si>
  <si>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</si>
  <si>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</si>
  <si>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</si>
  <si>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</si>
  <si>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</si>
  <si>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</si>
  <si>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</si>
  <si>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</si>
  <si>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</si>
  <si>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</si>
  <si>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</si>
  <si>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</si>
  <si>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</si>
  <si>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</si>
  <si>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</si>
  <si>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</si>
  <si>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</si>
  <si>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</si>
  <si>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</si>
  <si>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</si>
  <si>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</si>
  <si>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</si>
  <si>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</si>
  <si>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</si>
  <si>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</si>
  <si>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</si>
  <si>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</si>
  <si>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</si>
  <si>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</si>
  <si>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</si>
  <si>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</si>
  <si>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</si>
  <si>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</si>
  <si>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</si>
  <si>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</si>
  <si>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</si>
  <si>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</si>
  <si>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</si>
  <si>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</si>
  <si>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</si>
  <si>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</si>
  <si>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</si>
  <si>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</si>
  <si>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</si>
  <si>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</si>
  <si>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</si>
  <si>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</si>
  <si>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</si>
  <si>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</si>
  <si>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</si>
  <si>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</si>
  <si>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</si>
  <si>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</si>
  <si>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</si>
  <si>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</si>
  <si>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</si>
  <si>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</si>
  <si>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</si>
  <si>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</si>
  <si>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</si>
  <si>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</si>
  <si>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</si>
  <si>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</si>
  <si>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</si>
  <si>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</si>
  <si>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</si>
  <si>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</si>
  <si>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</si>
  <si>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</si>
  <si>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</si>
  <si>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</si>
  <si>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</si>
  <si>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</si>
  <si>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</si>
  <si>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</si>
  <si>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</si>
  <si>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</si>
  <si>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</si>
  <si>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</si>
  <si>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</si>
  <si>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</si>
  <si>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</si>
  <si>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</si>
  <si>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</si>
  <si>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</si>
  <si>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</si>
  <si>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</si>
  <si>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</si>
  <si>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</si>
  <si>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</si>
  <si>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</si>
  <si>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</si>
  <si>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</si>
  <si>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</si>
  <si>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</si>
  <si>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</si>
  <si>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</si>
  <si>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</si>
  <si>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</si>
  <si>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</si>
  <si>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</si>
  <si>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</si>
  <si>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</si>
  <si>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</si>
  <si>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</si>
  <si>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</si>
  <si>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</si>
  <si>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</si>
  <si>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</si>
  <si>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</si>
  <si>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</si>
  <si>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</si>
  <si>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</si>
  <si>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</si>
  <si>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</si>
  <si>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</si>
  <si>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</si>
  <si>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</si>
  <si>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</si>
  <si>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</si>
  <si>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</si>
  <si>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</si>
  <si>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</si>
  <si>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</si>
  <si>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</si>
  <si>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</si>
  <si>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</si>
  <si>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</si>
  <si>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</si>
  <si>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</si>
  <si>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</si>
  <si>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</si>
  <si>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</si>
  <si>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</si>
  <si>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</si>
  <si>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</si>
  <si>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</si>
  <si>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</si>
  <si>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</si>
  <si>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</si>
  <si>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</si>
  <si>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</si>
  <si>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</si>
  <si>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</si>
  <si>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</si>
  <si>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</si>
  <si>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</si>
  <si>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</si>
  <si>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</si>
  <si>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</si>
  <si>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</si>
  <si>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</si>
  <si>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</si>
  <si>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</si>
  <si>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</si>
  <si>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</si>
  <si>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</si>
  <si>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</si>
  <si>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</si>
  <si>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</si>
  <si>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</si>
  <si>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</si>
  <si>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</si>
  <si>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</si>
  <si>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</si>
  <si>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</si>
  <si>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</si>
  <si>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</si>
  <si>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</si>
  <si>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</si>
  <si>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</si>
  <si>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</si>
  <si>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</si>
  <si>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</si>
  <si>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</si>
  <si>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</si>
  <si>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</si>
  <si>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</si>
  <si>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</si>
  <si>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</si>
  <si>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</si>
  <si>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</si>
  <si>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</si>
  <si>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</si>
  <si>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</si>
  <si>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</si>
  <si>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</si>
  <si>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</si>
  <si>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</si>
  <si>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</si>
  <si>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</si>
  <si>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</si>
  <si>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</si>
  <si>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</si>
  <si>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</si>
  <si>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</si>
  <si>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</si>
  <si>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</si>
  <si>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</si>
  <si>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</si>
  <si>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</si>
  <si>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</si>
  <si>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</si>
  <si>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</si>
  <si>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</si>
  <si>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</si>
  <si>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</si>
  <si>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</si>
  <si>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</si>
  <si>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</si>
  <si>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</si>
  <si>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</si>
  <si>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</si>
  <si>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</si>
  <si>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</si>
  <si>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</si>
  <si>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</si>
  <si>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</si>
  <si>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</si>
  <si>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</si>
  <si>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</si>
  <si>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</si>
  <si>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</si>
  <si>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</si>
  <si>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</si>
  <si>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</si>
  <si>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</si>
  <si>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</si>
  <si>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</si>
  <si>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</si>
  <si>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</si>
  <si>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</si>
  <si>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</si>
  <si>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</si>
  <si>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</si>
  <si>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</si>
  <si>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</si>
  <si>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</si>
  <si>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</si>
  <si>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</si>
  <si>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</si>
  <si>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</si>
  <si>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</si>
  <si>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</si>
  <si>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</si>
  <si>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</si>
  <si>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</si>
  <si>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</si>
  <si>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</si>
  <si>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</si>
  <si>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</si>
  <si>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</si>
  <si>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</si>
  <si>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</si>
  <si>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</si>
  <si>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</si>
  <si>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</si>
  <si>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</si>
  <si>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</si>
  <si>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</si>
  <si>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</si>
  <si>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</si>
  <si>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</si>
  <si>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</si>
  <si>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</si>
  <si>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</si>
  <si>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</si>
  <si>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</si>
  <si>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</si>
  <si>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</si>
  <si>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</si>
  <si>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</si>
  <si>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</si>
  <si>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</si>
  <si>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</si>
  <si>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</si>
  <si>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</si>
  <si>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</si>
  <si>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</si>
  <si>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</si>
  <si>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</si>
  <si>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</si>
  <si>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</si>
  <si>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</si>
  <si>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</si>
  <si>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</si>
  <si>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</si>
  <si>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</si>
  <si>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</si>
  <si>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</si>
  <si>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</si>
  <si>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</si>
  <si>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</si>
  <si>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</si>
  <si>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</si>
  <si>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</si>
  <si>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</si>
  <si>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</si>
  <si>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</si>
  <si>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</si>
  <si>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</si>
  <si>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</si>
  <si>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</si>
  <si>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</si>
  <si>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</si>
  <si>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</si>
  <si>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</si>
  <si>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</si>
  <si>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</si>
  <si>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</si>
  <si>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</si>
  <si>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</si>
  <si>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</si>
  <si>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</si>
  <si>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</si>
  <si>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</si>
  <si>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</si>
  <si>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</si>
  <si>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</si>
  <si>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</si>
  <si>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</si>
  <si>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</si>
  <si>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</si>
  <si>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</si>
  <si>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</si>
  <si>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</si>
  <si>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</si>
  <si>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</si>
  <si>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</si>
  <si>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</si>
  <si>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</si>
  <si>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</si>
  <si>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</si>
  <si>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</si>
  <si>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</si>
  <si>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</si>
  <si>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</si>
  <si>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</si>
  <si>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</si>
  <si>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</si>
  <si>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</si>
  <si>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</si>
  <si>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</si>
  <si>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</si>
  <si>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</si>
  <si>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</si>
  <si>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</si>
  <si>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</si>
  <si>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</si>
  <si>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</si>
  <si>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</si>
  <si>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</si>
  <si>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</si>
  <si>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</si>
  <si>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</si>
  <si>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</si>
  <si>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</si>
  <si>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</si>
  <si>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</si>
  <si>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</si>
  <si>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</si>
  <si>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</si>
  <si>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</si>
  <si>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</si>
  <si>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</si>
  <si>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</si>
  <si>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</si>
  <si>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</si>
  <si>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</si>
  <si>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</si>
  <si>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</si>
  <si>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</si>
  <si>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</si>
  <si>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</si>
  <si>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</si>
  <si>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</si>
  <si>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</si>
  <si>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</si>
  <si>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</si>
  <si>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</si>
  <si>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</si>
  <si>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</si>
  <si>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</si>
  <si>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</si>
  <si>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</si>
  <si>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</si>
  <si>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</si>
  <si>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</si>
  <si>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</si>
  <si>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</si>
  <si>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</si>
  <si>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</si>
  <si>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</si>
  <si>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</si>
  <si>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</si>
  <si>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</si>
  <si>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</si>
  <si>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</si>
  <si>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</si>
  <si>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</si>
  <si>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</si>
  <si>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</si>
  <si>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</si>
  <si>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</si>
  <si>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</si>
  <si>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</si>
  <si>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</si>
  <si>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</si>
  <si>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</si>
  <si>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</si>
  <si>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</si>
  <si>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</si>
  <si>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</si>
  <si>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</si>
  <si>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</si>
  <si>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</si>
  <si>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</si>
  <si>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</si>
  <si>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</si>
  <si>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</si>
  <si>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</si>
  <si>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</si>
  <si>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</si>
  <si>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</si>
  <si>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</si>
  <si>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</si>
  <si>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</si>
  <si>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</si>
  <si>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</si>
  <si>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</si>
  <si>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</si>
  <si>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</si>
  <si>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</si>
  <si>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</si>
  <si>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</si>
  <si>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</si>
  <si>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</si>
  <si>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</si>
  <si>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</si>
  <si>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</si>
  <si>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</si>
  <si>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</si>
  <si>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</si>
  <si>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</si>
  <si>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</si>
  <si>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</si>
  <si>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</si>
  <si>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</si>
  <si>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</si>
  <si>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</si>
  <si>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</si>
  <si>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</si>
  <si>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</si>
  <si>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</si>
  <si>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</si>
  <si>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</si>
  <si>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</si>
  <si>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</si>
  <si>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</si>
  <si>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</si>
  <si>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</si>
  <si>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</si>
  <si>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</si>
  <si>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</si>
  <si>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</si>
  <si>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</si>
  <si>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</si>
  <si>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</si>
  <si>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</si>
  <si>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</si>
  <si>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</si>
  <si>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</si>
  <si>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</si>
  <si>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</si>
  <si>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</si>
  <si>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</si>
  <si>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</si>
  <si>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</si>
  <si>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</si>
  <si>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</si>
  <si>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</si>
  <si>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</si>
  <si>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</si>
  <si>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</si>
  <si>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</si>
  <si>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</si>
  <si>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</si>
  <si>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</si>
  <si>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</si>
  <si>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</si>
  <si>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</si>
  <si>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</si>
  <si>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</si>
  <si>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</si>
  <si>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</si>
  <si>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</si>
  <si>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</si>
  <si>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</si>
  <si>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</si>
  <si>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</si>
  <si>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</si>
  <si>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</si>
  <si>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</si>
  <si>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</si>
  <si>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</si>
  <si>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</si>
  <si>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</si>
  <si>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</si>
  <si>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</si>
  <si>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</si>
  <si>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</si>
  <si>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</si>
  <si>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</si>
  <si>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</si>
  <si>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</si>
  <si>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</si>
  <si>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</si>
  <si>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</si>
  <si>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</si>
  <si>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</si>
  <si>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</si>
  <si>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</si>
  <si>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</si>
  <si>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</si>
  <si>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</si>
  <si>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</si>
  <si>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</si>
  <si>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</si>
  <si>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</si>
  <si>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</si>
  <si>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</si>
  <si>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</si>
  <si>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</si>
  <si>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</si>
  <si>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</si>
  <si>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</si>
  <si>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</si>
  <si>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</si>
  <si>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</si>
  <si>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</si>
  <si>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</si>
  <si>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</si>
  <si>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</si>
  <si>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</si>
  <si>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</si>
  <si>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</si>
  <si>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</si>
  <si>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</si>
  <si>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</si>
  <si>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</si>
  <si>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</si>
  <si>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</si>
  <si>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</si>
  <si>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</si>
  <si>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</si>
  <si>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</si>
  <si>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</si>
  <si>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</si>
  <si>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</si>
  <si>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</si>
  <si>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</si>
  <si>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</si>
  <si>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</si>
  <si>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</si>
  <si>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</si>
  <si>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</si>
  <si>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</si>
  <si>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</si>
  <si>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</si>
  <si>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</si>
  <si>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</si>
  <si>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</si>
  <si>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</si>
  <si>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</si>
  <si>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</si>
  <si>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</si>
  <si>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</si>
  <si>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</si>
  <si>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</si>
  <si>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</si>
  <si>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</si>
  <si>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</si>
  <si>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</si>
  <si>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</si>
  <si>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</si>
  <si>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</si>
  <si>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</si>
  <si>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</si>
  <si>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</si>
  <si>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</si>
  <si>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</si>
  <si>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</si>
  <si>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</si>
  <si>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</si>
  <si>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</si>
  <si>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</si>
  <si>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</si>
  <si>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</si>
  <si>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</si>
  <si>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</si>
  <si>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</si>
  <si>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</si>
  <si>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</si>
  <si>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</si>
  <si>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</si>
  <si>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</si>
  <si>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</si>
  <si>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</si>
  <si>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</si>
  <si>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</si>
  <si>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</si>
  <si>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</si>
  <si>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</si>
  <si>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</si>
  <si>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</si>
  <si>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</si>
  <si>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</si>
  <si>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</si>
  <si>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</si>
  <si>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</si>
  <si>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</si>
  <si>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</si>
  <si>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</si>
  <si>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</si>
  <si>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</si>
  <si>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</si>
  <si>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</si>
  <si>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</si>
  <si>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</si>
  <si>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</si>
  <si>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</si>
  <si>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</si>
  <si>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</si>
  <si>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</si>
  <si>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</si>
  <si>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</si>
  <si>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</si>
  <si>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</si>
  <si>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</si>
  <si>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</si>
  <si>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</si>
  <si>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</si>
  <si>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</si>
  <si>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</si>
  <si>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</si>
  <si>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</si>
  <si>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</si>
  <si>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</si>
  <si>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</si>
  <si>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</si>
  <si>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</si>
  <si>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</si>
  <si>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</si>
  <si>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</si>
  <si>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</si>
  <si>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</si>
  <si>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</si>
  <si>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</si>
  <si>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</si>
  <si>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</si>
  <si>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</si>
  <si>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</si>
  <si>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</si>
  <si>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</si>
  <si>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</si>
  <si>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</si>
  <si>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</si>
  <si>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</si>
  <si>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</si>
  <si>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</si>
  <si>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</si>
  <si>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</si>
  <si>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</si>
  <si>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</si>
  <si>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</si>
  <si>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</si>
  <si>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</si>
  <si>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</si>
  <si>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</si>
  <si>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</si>
  <si>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</si>
  <si>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</si>
  <si>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</si>
  <si>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</si>
  <si>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</si>
  <si>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</si>
  <si>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</si>
  <si>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</si>
  <si>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</si>
  <si>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</si>
  <si>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</si>
  <si>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</si>
  <si>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</si>
  <si>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</si>
  <si>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</si>
  <si>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</si>
  <si>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</si>
  <si>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</si>
  <si>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</si>
  <si>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</si>
  <si>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</si>
  <si>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</si>
  <si>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</si>
  <si>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</si>
  <si>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</si>
  <si>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</si>
  <si>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</si>
  <si>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</si>
  <si>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</si>
  <si>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</si>
  <si>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</si>
  <si>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</si>
  <si>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</si>
  <si>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</si>
  <si>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</si>
  <si>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</si>
  <si>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</si>
  <si>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</si>
  <si>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</si>
  <si>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</si>
  <si>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</si>
  <si>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</si>
  <si>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</si>
  <si>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</si>
  <si>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</si>
  <si>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</si>
  <si>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</si>
  <si>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</si>
  <si>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</si>
  <si>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</si>
  <si>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</si>
  <si>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</si>
  <si>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</si>
  <si>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</si>
  <si>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</si>
  <si>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</si>
  <si>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</si>
  <si>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</si>
  <si>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</si>
  <si>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</si>
  <si>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</si>
  <si>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</si>
  <si>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</si>
  <si>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</si>
  <si>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</si>
  <si>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</si>
  <si>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</si>
  <si>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</si>
  <si>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</si>
  <si>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</si>
  <si>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</si>
  <si>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</si>
  <si>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</si>
  <si>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</si>
  <si>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</si>
  <si>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</si>
  <si>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</si>
  <si>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</si>
  <si>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</si>
  <si>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</si>
  <si>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</si>
  <si>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</si>
  <si>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</si>
  <si>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</si>
  <si>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</si>
  <si>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</si>
  <si>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</si>
  <si>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</si>
  <si>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</si>
  <si>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</si>
  <si>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</si>
  <si>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</si>
  <si>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</si>
  <si>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</si>
  <si>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</si>
  <si>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</si>
  <si>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</si>
  <si>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</si>
  <si>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慈铭体检</t>
  </si>
  <si>
    <t>医疗服务</t>
  </si>
  <si>
    <t>www.lixinger.com/analytics/company/sz/002710/2710/detail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</si>
  <si>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</si>
  <si>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</si>
  <si>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</si>
  <si>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</si>
  <si>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</si>
  <si>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</si>
  <si>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</si>
  <si>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</si>
  <si>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</si>
  <si>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</si>
  <si>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</si>
  <si>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</si>
  <si>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</si>
  <si>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</si>
  <si>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</si>
  <si>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</si>
  <si>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</si>
  <si>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</si>
  <si>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</si>
  <si>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</si>
  <si>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</si>
  <si>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</si>
  <si>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</si>
  <si>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</si>
  <si>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</si>
  <si>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</si>
  <si>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</si>
  <si>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</si>
  <si>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</si>
  <si>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</si>
  <si>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</si>
  <si>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</si>
  <si>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</si>
  <si>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</si>
  <si>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</si>
  <si>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</si>
  <si>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</si>
  <si>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</si>
  <si>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</si>
  <si>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</si>
  <si>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</si>
  <si>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</si>
  <si>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</si>
  <si>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</si>
  <si>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</si>
  <si>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</si>
  <si>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</si>
  <si>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</si>
  <si>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</si>
  <si>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</si>
  <si>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</si>
  <si>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</si>
  <si>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</si>
  <si>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</si>
  <si>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</si>
  <si>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</si>
  <si>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</si>
  <si>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</si>
  <si>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</si>
  <si>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</si>
  <si>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</si>
  <si>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</si>
  <si>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</si>
  <si>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</si>
  <si>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</si>
  <si>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</si>
  <si>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</si>
  <si>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</si>
  <si>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</si>
  <si>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</si>
  <si>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</si>
  <si>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</si>
  <si>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</si>
  <si>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</si>
  <si>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</si>
  <si>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</si>
  <si>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</si>
  <si>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</si>
  <si>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</si>
  <si>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</si>
  <si>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</si>
  <si>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</si>
  <si>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</si>
  <si>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</si>
  <si>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</si>
  <si>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</si>
  <si>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</si>
  <si>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</si>
  <si>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</si>
  <si>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</si>
  <si>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</si>
  <si>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</si>
  <si>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</si>
  <si>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</si>
  <si>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</si>
  <si>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</si>
  <si>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</si>
  <si>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</si>
  <si>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</si>
  <si>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</si>
  <si>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</si>
  <si>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</si>
  <si>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</si>
  <si>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</si>
  <si>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</si>
  <si>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</si>
  <si>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</si>
  <si>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</si>
  <si>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</si>
  <si>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</si>
  <si>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</si>
  <si>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</si>
  <si>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</si>
  <si>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</si>
  <si>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</si>
  <si>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</si>
  <si>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</si>
  <si>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</si>
  <si>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</si>
  <si>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</si>
  <si>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</si>
  <si>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</si>
  <si>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</si>
  <si>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</si>
  <si>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</si>
  <si>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</si>
  <si>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</si>
  <si>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</si>
  <si>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</si>
  <si>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</si>
  <si>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</si>
  <si>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</si>
  <si>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</si>
  <si>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</si>
  <si>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</si>
  <si>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</si>
  <si>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</si>
  <si>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</si>
  <si>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</si>
  <si>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</si>
  <si>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</si>
  <si>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</si>
  <si>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</si>
  <si>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</si>
  <si>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</si>
  <si>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</si>
  <si>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</si>
  <si>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</si>
  <si>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</si>
  <si>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</si>
  <si>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</si>
  <si>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</si>
  <si>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</si>
  <si>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</si>
  <si>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</si>
  <si>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</si>
  <si>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</si>
  <si>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</si>
  <si>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</si>
  <si>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</si>
  <si>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</si>
  <si>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</si>
  <si>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</si>
  <si>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</si>
  <si>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</si>
  <si>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</si>
  <si>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</si>
  <si>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</si>
  <si>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</si>
  <si>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</si>
  <si>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</si>
  <si>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</si>
  <si>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</si>
  <si>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</si>
  <si>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</si>
  <si>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</si>
  <si>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</si>
  <si>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</si>
  <si>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</si>
  <si>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</si>
  <si>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</si>
  <si>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</si>
  <si>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</si>
  <si>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</si>
  <si>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</si>
  <si>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</si>
  <si>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</si>
  <si>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</si>
  <si>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</si>
  <si>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</si>
  <si>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</si>
  <si>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</si>
  <si>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</si>
  <si>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</si>
  <si>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</si>
  <si>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</si>
  <si>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</si>
  <si>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</si>
  <si>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</si>
  <si>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</si>
  <si>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</si>
  <si>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</si>
  <si>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</si>
  <si>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</si>
  <si>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</si>
  <si>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</si>
  <si>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</si>
  <si>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</si>
  <si>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</si>
  <si>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</si>
  <si>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</si>
  <si>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</si>
  <si>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</si>
  <si>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</si>
  <si>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</si>
  <si>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</si>
  <si>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</si>
  <si>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</si>
  <si>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</si>
  <si>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</si>
  <si>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</si>
  <si>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</si>
  <si>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</si>
  <si>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</si>
  <si>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</si>
  <si>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</si>
  <si>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</si>
  <si>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</si>
  <si>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</si>
  <si>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</si>
  <si>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</si>
  <si>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</si>
  <si>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</si>
  <si>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</si>
  <si>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</si>
  <si>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</si>
  <si>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</si>
  <si>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</si>
  <si>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</si>
  <si>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</si>
  <si>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</si>
  <si>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</si>
  <si>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</si>
  <si>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</si>
  <si>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</si>
  <si>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</si>
  <si>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</si>
  <si>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</si>
  <si>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</si>
  <si>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</si>
  <si>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</si>
  <si>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</si>
  <si>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</si>
  <si>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</si>
  <si>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</si>
  <si>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</si>
  <si>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</si>
  <si>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</si>
  <si>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</si>
  <si>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</si>
  <si>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</si>
  <si>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</si>
  <si>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</si>
  <si>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</si>
  <si>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</si>
  <si>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</si>
  <si>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</si>
  <si>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</si>
  <si>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</si>
  <si>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</si>
  <si>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</si>
  <si>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</si>
  <si>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</si>
  <si>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</si>
  <si>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</si>
  <si>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</si>
  <si>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</si>
  <si>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</si>
  <si>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</si>
  <si>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</si>
  <si>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</si>
  <si>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</si>
  <si>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</si>
  <si>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</si>
  <si>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</si>
  <si>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</si>
  <si>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</si>
  <si>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</si>
  <si>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</si>
  <si>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</si>
  <si>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</si>
  <si>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</si>
  <si>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</si>
  <si>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</si>
  <si>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</si>
  <si>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</si>
  <si>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</si>
  <si>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</si>
  <si>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</si>
  <si>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</si>
  <si>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</si>
  <si>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</si>
  <si>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</si>
  <si>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</si>
  <si>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</si>
  <si>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</si>
  <si>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</si>
  <si>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</si>
  <si>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</si>
  <si>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</si>
  <si>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</si>
  <si>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</si>
  <si>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</si>
  <si>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</si>
  <si>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</si>
  <si>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</si>
  <si>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</si>
  <si>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</si>
  <si>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</si>
  <si>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</si>
  <si>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</si>
  <si>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</si>
  <si>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</si>
  <si>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</si>
  <si>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</si>
  <si>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</si>
  <si>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</si>
  <si>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</si>
  <si>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</si>
  <si>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</si>
  <si>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</si>
  <si>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</si>
  <si>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</si>
  <si>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</si>
  <si>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</si>
  <si>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</si>
  <si>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</si>
  <si>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</si>
  <si>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</si>
  <si>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</si>
  <si>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</si>
  <si>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</si>
  <si>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</si>
  <si>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</si>
  <si>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</si>
  <si>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</si>
  <si>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</si>
  <si>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</si>
  <si>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</si>
  <si>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</si>
  <si>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</si>
  <si>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</si>
  <si>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</si>
  <si>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</si>
  <si>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</si>
  <si>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</si>
  <si>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</si>
  <si>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</si>
  <si>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</si>
  <si>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</si>
  <si>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</si>
  <si>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</si>
  <si>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</si>
  <si>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</si>
  <si>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</si>
  <si>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</si>
  <si>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</si>
  <si>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</si>
  <si>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</si>
  <si>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</si>
  <si>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</si>
  <si>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</si>
  <si>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</si>
  <si>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</si>
  <si>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</si>
  <si>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</si>
  <si>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</si>
  <si>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</si>
  <si>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</si>
  <si>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</si>
  <si>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</si>
  <si>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</si>
  <si>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</si>
  <si>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</si>
  <si>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</si>
  <si>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</si>
  <si>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</si>
  <si>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</si>
  <si>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</si>
  <si>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</si>
  <si>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</si>
  <si>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</si>
  <si>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</si>
  <si>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</si>
  <si>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</si>
  <si>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</si>
  <si>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</si>
  <si>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</si>
  <si>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</si>
  <si>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</si>
  <si>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</si>
  <si>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</si>
  <si>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</si>
  <si>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</si>
  <si>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</si>
  <si>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</si>
  <si>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</si>
  <si>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</si>
  <si>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</si>
  <si>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</si>
  <si>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</si>
  <si>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</si>
  <si>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</si>
  <si>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</si>
  <si>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</si>
  <si>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</si>
  <si>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</si>
  <si>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</si>
  <si>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</si>
  <si>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</si>
  <si>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</si>
  <si>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</si>
  <si>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</si>
  <si>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</si>
  <si>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</si>
  <si>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</si>
  <si>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</si>
  <si>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</si>
  <si>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</si>
  <si>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</si>
  <si>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</si>
  <si>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</si>
  <si>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</si>
  <si>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</si>
  <si>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</si>
  <si>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</si>
  <si>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</si>
  <si>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</si>
  <si>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</si>
  <si>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</si>
  <si>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</si>
  <si>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</si>
  <si>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</si>
  <si>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</si>
  <si>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</si>
  <si>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</si>
  <si>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</si>
  <si>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</si>
  <si>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</si>
  <si>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</si>
  <si>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</si>
  <si>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</si>
  <si>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</si>
  <si>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</si>
  <si>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</si>
  <si>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</si>
  <si>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</si>
  <si>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</si>
  <si>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</si>
  <si>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</si>
  <si>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</si>
  <si>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</si>
  <si>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</si>
  <si>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</si>
  <si>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</si>
  <si>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</si>
  <si>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</si>
  <si>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</si>
  <si>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</si>
  <si>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</si>
  <si>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</si>
  <si>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</si>
  <si>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</si>
  <si>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</si>
  <si>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</si>
  <si>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</si>
  <si>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</si>
  <si>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</si>
  <si>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</si>
  <si>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</si>
  <si>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</si>
  <si>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</si>
  <si>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</si>
  <si>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</si>
  <si>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</si>
  <si>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</si>
  <si>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</si>
  <si>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</si>
  <si>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</si>
  <si>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</si>
  <si>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</si>
  <si>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</si>
  <si>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</si>
  <si>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</si>
  <si>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</si>
  <si>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</si>
  <si>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</si>
  <si>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</si>
  <si>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</si>
  <si>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</si>
  <si>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</si>
  <si>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</si>
  <si>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</si>
  <si>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</si>
  <si>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</si>
  <si>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</si>
  <si>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</si>
  <si>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</si>
  <si>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</si>
  <si>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</si>
  <si>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</si>
  <si>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</si>
  <si>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</si>
  <si>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</si>
  <si>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</si>
  <si>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</si>
  <si>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</si>
  <si>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</si>
  <si>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</si>
  <si>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</si>
  <si>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</si>
  <si>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</si>
  <si>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</si>
  <si>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</si>
  <si>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</si>
  <si>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</si>
  <si>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</si>
  <si>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</si>
  <si>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</si>
  <si>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</si>
  <si>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</si>
  <si>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</si>
  <si>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</si>
  <si>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</si>
  <si>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</si>
  <si>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</si>
  <si>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</si>
  <si>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</si>
  <si>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</si>
  <si>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</si>
  <si>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</si>
  <si>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</si>
  <si>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</si>
  <si>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</si>
  <si>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</si>
  <si>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</si>
  <si>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</si>
  <si>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</si>
  <si>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</si>
  <si>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</si>
  <si>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</si>
  <si>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</si>
  <si>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</si>
  <si>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</si>
  <si>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</si>
  <si>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</si>
  <si>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</si>
  <si>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</si>
  <si>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</si>
  <si>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</si>
  <si>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</si>
  <si>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</si>
  <si>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</si>
  <si>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</si>
  <si>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</si>
  <si>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</si>
  <si>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</si>
  <si>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</si>
  <si>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</si>
  <si>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</si>
  <si>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</si>
  <si>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</si>
  <si>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</si>
  <si>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</si>
  <si>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</si>
  <si>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</si>
  <si>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</si>
  <si>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</si>
  <si>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</si>
  <si>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</si>
  <si>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</si>
  <si>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</si>
  <si>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</si>
  <si>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</si>
  <si>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</si>
  <si>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</si>
  <si>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</si>
  <si>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</si>
  <si>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</si>
  <si>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</si>
  <si>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</si>
  <si>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</si>
  <si>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</si>
  <si>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</si>
  <si>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</si>
  <si>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</si>
  <si>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</si>
  <si>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</si>
  <si>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</si>
  <si>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</si>
  <si>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</si>
  <si>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</si>
  <si>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</si>
  <si>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</si>
  <si>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</si>
  <si>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</si>
  <si>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</si>
  <si>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</si>
  <si>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</si>
  <si>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</si>
  <si>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</si>
  <si>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</si>
  <si>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</si>
  <si>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</si>
  <si>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</si>
  <si>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</si>
  <si>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</si>
  <si>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</si>
  <si>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</si>
  <si>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</si>
  <si>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</si>
  <si>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</si>
  <si>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</si>
  <si>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</si>
  <si>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PT金田Ｂ</t>
  </si>
  <si>
    <t>www.lixinger.com/analytics/company/sz/200003/200003/detail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</si>
  <si>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</si>
  <si>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</si>
  <si>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</si>
  <si>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</si>
  <si>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</si>
  <si>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</si>
  <si>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</si>
  <si>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</si>
  <si>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</si>
  <si>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</si>
  <si>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</si>
  <si>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</si>
  <si>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</si>
  <si>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</si>
  <si>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</si>
  <si>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</si>
  <si>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</si>
  <si>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</si>
  <si>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</si>
  <si>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</si>
  <si>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</si>
  <si>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</si>
  <si>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</si>
  <si>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</si>
  <si>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</si>
  <si>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</si>
  <si>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</si>
  <si>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</si>
  <si>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</si>
  <si>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</si>
  <si>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</si>
  <si>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</si>
  <si>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</si>
  <si>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</si>
  <si>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</si>
  <si>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</si>
  <si>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</si>
  <si>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</si>
  <si>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</si>
  <si>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</si>
  <si>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</si>
  <si>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</si>
  <si>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</si>
  <si>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</si>
  <si>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</si>
  <si>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</si>
  <si>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</si>
  <si>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</si>
  <si>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</si>
  <si>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</si>
  <si>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</si>
  <si>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</si>
  <si>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</si>
  <si>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</si>
  <si>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</si>
  <si>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</si>
  <si>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</si>
  <si>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</si>
  <si>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</si>
  <si>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</si>
  <si>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</si>
  <si>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</si>
  <si>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</si>
  <si>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</si>
  <si>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</si>
  <si>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</si>
  <si>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</si>
  <si>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</si>
  <si>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</si>
  <si>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</si>
  <si>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</si>
  <si>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</si>
  <si>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</si>
  <si>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</si>
  <si>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</si>
  <si>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</si>
  <si>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</si>
  <si>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</si>
  <si>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</si>
  <si>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</si>
  <si>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</si>
  <si>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</si>
  <si>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</si>
  <si>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</si>
  <si>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</si>
  <si>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</si>
  <si>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</si>
  <si>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</si>
  <si>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</si>
  <si>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</si>
  <si>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</si>
  <si>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</si>
  <si>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</si>
  <si>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</si>
  <si>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</si>
  <si>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</si>
  <si>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</si>
  <si>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</si>
  <si>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</si>
  <si>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</si>
  <si>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</si>
  <si>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</si>
  <si>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</si>
  <si>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</si>
  <si>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</si>
  <si>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</si>
  <si>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</si>
  <si>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</si>
  <si>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</si>
  <si>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</si>
  <si>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</si>
  <si>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</si>
  <si>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</si>
  <si>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</si>
  <si>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</si>
  <si>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</si>
  <si>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</si>
  <si>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</si>
  <si>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</si>
  <si>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</si>
  <si>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</si>
  <si>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</si>
  <si>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</si>
  <si>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</si>
  <si>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</si>
  <si>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</si>
  <si>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</si>
  <si>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</si>
  <si>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</si>
  <si>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</si>
  <si>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</si>
  <si>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</si>
  <si>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</si>
  <si>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</si>
  <si>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</si>
  <si>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</si>
  <si>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</si>
  <si>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</si>
  <si>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</si>
  <si>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</si>
  <si>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</si>
  <si>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</si>
  <si>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</si>
  <si>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</si>
  <si>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</si>
  <si>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</si>
  <si>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</si>
  <si>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</si>
  <si>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</si>
  <si>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</si>
  <si>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</si>
  <si>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</si>
  <si>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</si>
  <si>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</si>
  <si>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</si>
  <si>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</si>
  <si>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</si>
  <si>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</si>
  <si>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</si>
  <si>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</si>
  <si>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</si>
  <si>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</si>
  <si>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</si>
  <si>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</si>
  <si>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</si>
  <si>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</si>
  <si>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</si>
  <si>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</si>
  <si>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</si>
  <si>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</si>
  <si>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</si>
  <si>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</si>
  <si>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</si>
  <si>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</si>
  <si>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</si>
  <si>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</si>
  <si>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</si>
  <si>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</si>
  <si>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</si>
  <si>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</si>
  <si>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</si>
  <si>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</si>
  <si>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</si>
  <si>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</si>
  <si>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</si>
  <si>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</si>
  <si>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</si>
  <si>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</si>
  <si>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</si>
  <si>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</si>
  <si>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</si>
  <si>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</si>
  <si>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</si>
  <si>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</si>
  <si>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</si>
  <si>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</si>
  <si>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</si>
  <si>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</si>
  <si>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</si>
  <si>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</si>
  <si>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</si>
  <si>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</si>
  <si>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</si>
  <si>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</si>
  <si>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</si>
  <si>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</si>
  <si>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</si>
  <si>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</si>
  <si>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</si>
  <si>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</si>
  <si>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</si>
  <si>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</si>
  <si>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</si>
  <si>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</si>
  <si>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</si>
  <si>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</si>
  <si>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</si>
  <si>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</si>
  <si>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</si>
  <si>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</si>
  <si>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</si>
  <si>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</si>
  <si>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</si>
  <si>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</si>
  <si>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</si>
  <si>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</si>
  <si>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</si>
  <si>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</si>
  <si>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</si>
  <si>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</si>
  <si>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</si>
  <si>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</si>
  <si>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</si>
  <si>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</si>
  <si>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</si>
  <si>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</si>
  <si>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</si>
  <si>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</si>
  <si>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</si>
  <si>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</si>
  <si>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</si>
  <si>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</si>
  <si>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</si>
  <si>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</si>
  <si>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</si>
  <si>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</si>
  <si>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</si>
  <si>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</si>
  <si>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</si>
  <si>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</si>
  <si>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</si>
  <si>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</si>
  <si>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</si>
  <si>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</si>
  <si>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</si>
  <si>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</si>
  <si>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</si>
  <si>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</si>
  <si>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</si>
  <si>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</si>
  <si>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</si>
  <si>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</si>
  <si>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</si>
  <si>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</si>
  <si>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</si>
  <si>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</si>
  <si>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</si>
  <si>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</si>
  <si>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</si>
  <si>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</si>
  <si>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</si>
  <si>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</si>
  <si>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</si>
  <si>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</si>
  <si>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</si>
  <si>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</si>
  <si>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</si>
  <si>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</si>
  <si>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</si>
  <si>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</si>
  <si>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</si>
  <si>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</si>
  <si>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</si>
  <si>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</si>
  <si>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</si>
  <si>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</si>
  <si>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</si>
  <si>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</si>
  <si>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</si>
  <si>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</si>
  <si>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</si>
  <si>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</si>
  <si>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</si>
  <si>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</si>
  <si>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</si>
  <si>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</si>
  <si>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</si>
  <si>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</si>
  <si>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</si>
  <si>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</si>
  <si>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</si>
  <si>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</si>
  <si>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</si>
  <si>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</si>
  <si>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</si>
  <si>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</si>
  <si>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</si>
  <si>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</si>
  <si>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</si>
  <si>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</si>
  <si>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</si>
  <si>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</si>
  <si>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</si>
  <si>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</si>
  <si>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</si>
  <si>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</si>
  <si>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</si>
  <si>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</si>
  <si>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</si>
  <si>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</si>
  <si>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</si>
  <si>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</si>
  <si>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</si>
  <si>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</si>
  <si>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</si>
  <si>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</si>
  <si>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</si>
  <si>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</si>
  <si>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</si>
  <si>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</si>
  <si>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</si>
  <si>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</si>
  <si>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</si>
  <si>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</si>
  <si>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</si>
  <si>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</si>
  <si>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</si>
  <si>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</si>
  <si>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</si>
  <si>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</si>
  <si>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</si>
  <si>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</si>
  <si>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</si>
  <si>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</si>
  <si>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</si>
  <si>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</si>
  <si>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</si>
  <si>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</si>
  <si>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</si>
  <si>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</si>
  <si>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</si>
  <si>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</si>
  <si>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</si>
  <si>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</si>
  <si>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</si>
  <si>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</si>
  <si>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</si>
  <si>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</si>
  <si>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</si>
  <si>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</si>
  <si>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</si>
  <si>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</si>
  <si>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</si>
  <si>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</si>
  <si>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</si>
  <si>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</si>
  <si>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</si>
  <si>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</si>
  <si>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</si>
  <si>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</si>
  <si>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</si>
  <si>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</si>
  <si>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</si>
  <si>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</si>
  <si>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</si>
  <si>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</si>
  <si>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</si>
  <si>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</si>
  <si>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</si>
  <si>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</si>
  <si>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</si>
  <si>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</si>
  <si>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</si>
  <si>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</si>
  <si>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</si>
  <si>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</si>
  <si>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</si>
  <si>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</si>
  <si>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</si>
  <si>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</si>
  <si>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</si>
  <si>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</si>
  <si>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</si>
  <si>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</si>
  <si>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</si>
  <si>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</si>
  <si>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</si>
  <si>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</si>
  <si>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</si>
  <si>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</si>
  <si>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</si>
  <si>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</si>
  <si>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</si>
  <si>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</si>
  <si>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</si>
  <si>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</si>
  <si>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</si>
  <si>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</si>
  <si>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</si>
  <si>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</si>
  <si>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</si>
  <si>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</si>
  <si>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</si>
  <si>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</si>
  <si>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</si>
  <si>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</si>
  <si>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</si>
  <si>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</si>
  <si>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</si>
  <si>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</si>
  <si>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</si>
  <si>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</si>
  <si>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</si>
  <si>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</si>
  <si>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</si>
  <si>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</si>
  <si>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</si>
  <si>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</si>
  <si>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</si>
  <si>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</si>
  <si>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</si>
  <si>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</si>
  <si>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</si>
  <si>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</si>
  <si>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</si>
  <si>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</si>
  <si>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</si>
  <si>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</si>
  <si>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</si>
  <si>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</si>
  <si>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</si>
  <si>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</si>
  <si>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</si>
  <si>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</si>
  <si>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</si>
  <si>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</si>
  <si>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</si>
  <si>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</si>
  <si>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</si>
  <si>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</si>
  <si>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</si>
  <si>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</si>
  <si>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</si>
  <si>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</si>
  <si>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</si>
  <si>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</si>
  <si>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</si>
  <si>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</si>
  <si>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</si>
  <si>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</si>
  <si>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</si>
  <si>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</si>
  <si>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</si>
  <si>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</si>
  <si>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</si>
  <si>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</si>
  <si>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</si>
  <si>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</si>
  <si>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</si>
  <si>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</si>
  <si>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</si>
  <si>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</si>
  <si>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</si>
  <si>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</si>
  <si>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</si>
  <si>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</si>
  <si>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</si>
  <si>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</si>
  <si>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</si>
  <si>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</si>
  <si>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</si>
  <si>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</si>
  <si>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</si>
  <si>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</si>
  <si>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</si>
  <si>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</si>
  <si>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</si>
  <si>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</si>
  <si>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</si>
  <si>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</si>
  <si>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</si>
  <si>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</si>
  <si>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</si>
  <si>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</si>
  <si>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</si>
  <si>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</si>
  <si>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</si>
  <si>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</si>
  <si>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</si>
  <si>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</si>
  <si>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</si>
  <si>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</si>
  <si>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</si>
  <si>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</si>
  <si>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</si>
  <si>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</si>
  <si>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</si>
  <si>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</si>
  <si>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</si>
  <si>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</si>
  <si>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</si>
  <si>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</si>
  <si>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</si>
  <si>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</si>
  <si>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</si>
  <si>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</si>
  <si>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</si>
  <si>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</si>
  <si>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</si>
  <si>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</si>
  <si>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</si>
  <si>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</si>
  <si>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</si>
  <si>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</si>
  <si>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</si>
  <si>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</si>
  <si>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</si>
  <si>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</si>
  <si>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</si>
  <si>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</si>
  <si>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</si>
  <si>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</si>
  <si>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</si>
  <si>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</si>
  <si>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</si>
  <si>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</si>
  <si>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</si>
  <si>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</si>
  <si>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</si>
  <si>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</si>
  <si>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</si>
  <si>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</si>
  <si>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</si>
  <si>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</si>
  <si>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</si>
  <si>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</si>
  <si>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</si>
  <si>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</si>
  <si>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</si>
  <si>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</si>
  <si>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</si>
  <si>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</si>
  <si>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</si>
  <si>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</si>
  <si>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</si>
  <si>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</si>
  <si>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</si>
  <si>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</si>
  <si>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</si>
  <si>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</si>
  <si>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</si>
  <si>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</si>
  <si>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</si>
  <si>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</si>
  <si>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</si>
  <si>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</si>
  <si>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</si>
  <si>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</si>
  <si>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</si>
  <si>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</si>
  <si>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</si>
  <si>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</si>
  <si>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</si>
  <si>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</si>
  <si>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</si>
  <si>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</si>
  <si>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</si>
  <si>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</si>
  <si>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</si>
  <si>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</si>
  <si>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</si>
  <si>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</si>
  <si>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</si>
  <si>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</si>
  <si>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</si>
  <si>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</si>
  <si>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</si>
  <si>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</si>
  <si>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</si>
  <si>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</si>
  <si>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</si>
  <si>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</si>
  <si>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</si>
  <si>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</si>
  <si>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</si>
  <si>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</si>
  <si>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</si>
  <si>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</si>
  <si>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</si>
  <si>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</si>
  <si>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</si>
  <si>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</si>
  <si>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</si>
  <si>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</si>
  <si>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</si>
  <si>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</si>
  <si>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</si>
  <si>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</si>
  <si>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</si>
  <si>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</si>
  <si>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</si>
  <si>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</si>
  <si>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</si>
  <si>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</si>
  <si>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</si>
  <si>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</si>
  <si>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</si>
  <si>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</si>
  <si>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</si>
  <si>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</si>
  <si>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</si>
  <si>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</si>
  <si>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</si>
  <si>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</si>
  <si>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</si>
  <si>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</si>
  <si>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</si>
  <si>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</si>
  <si>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</si>
  <si>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</si>
  <si>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</si>
  <si>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</si>
  <si>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</si>
  <si>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</si>
  <si>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</si>
  <si>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</si>
  <si>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</si>
  <si>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</si>
  <si>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</si>
  <si>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</si>
  <si>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</si>
  <si>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</si>
  <si>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</si>
  <si>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</si>
  <si>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</si>
  <si>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</si>
  <si>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</si>
  <si>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</si>
  <si>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</si>
  <si>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</si>
  <si>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</si>
  <si>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</si>
  <si>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</si>
  <si>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</si>
  <si>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</si>
  <si>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</si>
  <si>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</si>
  <si>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</si>
  <si>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</si>
  <si>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</si>
  <si>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</si>
  <si>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</si>
  <si>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</si>
  <si>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</si>
  <si>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</si>
  <si>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</si>
  <si>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</si>
  <si>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</si>
  <si>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</si>
  <si>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</si>
  <si>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</si>
  <si>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</si>
  <si>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</si>
  <si>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</si>
  <si>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</si>
  <si>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</si>
  <si>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</si>
  <si>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</si>
  <si>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</si>
  <si>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</si>
  <si>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</si>
  <si>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</si>
  <si>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</si>
  <si>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</si>
  <si>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</si>
  <si>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</si>
  <si>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</si>
  <si>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</si>
  <si>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</si>
  <si>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</si>
  <si>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</si>
  <si>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</si>
  <si>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</si>
  <si>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</si>
  <si>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</si>
  <si>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</si>
  <si>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</si>
  <si>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</si>
  <si>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</si>
  <si>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</si>
  <si>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</si>
  <si>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</si>
  <si>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</si>
  <si>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</si>
  <si>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</si>
  <si>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</si>
  <si>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</si>
  <si>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</si>
  <si>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</si>
  <si>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</si>
  <si>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</si>
  <si>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</si>
  <si>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</si>
  <si>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</si>
  <si>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</si>
  <si>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</si>
  <si>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</si>
  <si>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</si>
  <si>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</si>
  <si>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</si>
  <si>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</si>
  <si>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</si>
  <si>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</si>
  <si>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</si>
  <si>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</si>
  <si>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</si>
  <si>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</si>
  <si>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</si>
  <si>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</si>
  <si>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</si>
  <si>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</si>
  <si>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</si>
  <si>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</si>
  <si>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</si>
  <si>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</si>
  <si>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</si>
  <si>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</si>
  <si>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</si>
  <si>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</si>
  <si>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</si>
  <si>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</si>
  <si>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</si>
  <si>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</si>
  <si>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</si>
  <si>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</si>
  <si>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</si>
  <si>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</si>
  <si>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</si>
  <si>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</si>
  <si>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</si>
  <si>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</si>
  <si>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</si>
  <si>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</si>
  <si>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</si>
  <si>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</si>
  <si>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</si>
  <si>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</si>
  <si>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</si>
  <si>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</si>
  <si>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</si>
  <si>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</si>
  <si>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</si>
  <si>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</si>
  <si>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</si>
  <si>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</si>
  <si>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</si>
  <si>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</si>
  <si>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</si>
  <si>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</si>
  <si>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</si>
  <si>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</si>
  <si>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</si>
  <si>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</si>
  <si>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</si>
  <si>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</si>
  <si>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</si>
  <si>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</si>
  <si>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</si>
  <si>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</si>
  <si>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</si>
  <si>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</si>
  <si>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</si>
  <si>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</si>
  <si>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</si>
  <si>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</si>
  <si>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</si>
  <si>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</si>
  <si>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</si>
  <si>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</si>
  <si>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</si>
  <si>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</si>
  <si>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</si>
  <si>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</si>
  <si>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</si>
  <si>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</si>
  <si>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</si>
  <si>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</si>
  <si>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</si>
  <si>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</si>
  <si>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</si>
  <si>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</si>
  <si>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</si>
  <si>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</si>
  <si>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</si>
  <si>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</si>
  <si>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</si>
  <si>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</si>
  <si>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</si>
  <si>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</si>
  <si>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</si>
  <si>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</si>
  <si>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</si>
  <si>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</si>
  <si>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</si>
  <si>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</si>
  <si>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</si>
  <si>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</si>
  <si>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</si>
  <si>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</si>
  <si>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</si>
  <si>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</si>
  <si>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</si>
  <si>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</si>
  <si>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</si>
  <si>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</si>
  <si>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</si>
  <si>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</si>
  <si>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</si>
  <si>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</si>
  <si>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</si>
  <si>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</si>
  <si>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</si>
  <si>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</si>
  <si>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</si>
  <si>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</si>
  <si>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</si>
  <si>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</si>
  <si>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</si>
  <si>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</si>
  <si>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</si>
  <si>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</si>
  <si>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</si>
  <si>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</si>
  <si>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</si>
  <si>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</si>
  <si>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</si>
  <si>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</si>
  <si>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</si>
  <si>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</si>
  <si>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</si>
  <si>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</si>
  <si>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</si>
  <si>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</si>
  <si>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</si>
  <si>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</si>
  <si>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</si>
  <si>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</si>
  <si>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</si>
  <si>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</si>
  <si>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</si>
  <si>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</si>
  <si>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</si>
  <si>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</si>
  <si>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</si>
  <si>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</si>
  <si>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</si>
  <si>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</si>
  <si>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</si>
  <si>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</si>
  <si>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</si>
  <si>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</si>
  <si>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</si>
  <si>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</si>
  <si>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</si>
  <si>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</si>
  <si>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</si>
  <si>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</si>
  <si>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</si>
  <si>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</si>
  <si>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</si>
  <si>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</si>
  <si>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</si>
  <si>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</si>
  <si>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</si>
  <si>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</si>
  <si>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</si>
  <si>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</si>
  <si>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</si>
  <si>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</si>
  <si>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</si>
  <si>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</si>
  <si>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</si>
  <si>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</si>
  <si>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</si>
  <si>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</si>
  <si>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</si>
  <si>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</si>
  <si>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</si>
  <si>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</si>
  <si>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</si>
  <si>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</si>
  <si>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</si>
  <si>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</si>
  <si>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</si>
  <si>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</si>
  <si>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</si>
  <si>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</si>
  <si>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</si>
  <si>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</si>
  <si>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</si>
  <si>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</si>
  <si>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</si>
  <si>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</si>
  <si>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</si>
  <si>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</si>
  <si>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</si>
  <si>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</si>
  <si>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</si>
  <si>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</si>
  <si>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</si>
  <si>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</si>
  <si>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</si>
  <si>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</si>
  <si>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</si>
  <si>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</si>
  <si>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</si>
  <si>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</si>
  <si>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</si>
  <si>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</si>
  <si>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</si>
  <si>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</si>
  <si>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</si>
  <si>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</si>
  <si>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</si>
  <si>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</si>
  <si>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</si>
  <si>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</si>
  <si>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</si>
  <si>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</si>
  <si>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</si>
  <si>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</si>
  <si>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</si>
  <si>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</si>
  <si>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</si>
  <si>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</si>
  <si>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</si>
  <si>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</si>
  <si>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</si>
  <si>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</si>
  <si>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</si>
  <si>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</si>
  <si>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</si>
  <si>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</si>
  <si>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</si>
  <si>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</si>
  <si>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</si>
  <si>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</si>
  <si>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</si>
  <si>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</si>
  <si>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</si>
  <si>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</si>
  <si>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</si>
  <si>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</si>
  <si>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</si>
  <si>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</si>
  <si>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</si>
  <si>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</si>
  <si>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</si>
  <si>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</si>
  <si>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</si>
  <si>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</si>
  <si>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</si>
  <si>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</si>
  <si>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</si>
  <si>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</si>
  <si>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</si>
  <si>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</si>
  <si>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</si>
  <si>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</si>
  <si>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</si>
  <si>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</si>
  <si>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</si>
  <si>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</si>
  <si>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</si>
  <si>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</si>
  <si>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</si>
  <si>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</si>
  <si>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</si>
  <si>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</si>
  <si>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</si>
  <si>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</si>
  <si>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</si>
  <si>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</si>
  <si>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</si>
  <si>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</si>
  <si>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</si>
  <si>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</si>
  <si>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</si>
  <si>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</si>
  <si>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</si>
  <si>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</si>
  <si>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</si>
  <si>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</si>
  <si>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</si>
  <si>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</si>
  <si>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</si>
  <si>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</si>
  <si>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</si>
  <si>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</si>
  <si>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</si>
  <si>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</si>
  <si>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</si>
  <si>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</si>
  <si>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</si>
  <si>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</si>
  <si>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</si>
  <si>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</si>
  <si>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</si>
  <si>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</si>
  <si>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</si>
  <si>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</si>
  <si>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</si>
  <si>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</si>
  <si>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</si>
  <si>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</si>
  <si>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</si>
  <si>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</si>
  <si>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</si>
  <si>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</si>
  <si>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</si>
  <si>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</si>
  <si>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</si>
  <si>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</si>
  <si>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</si>
  <si>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</si>
  <si>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</si>
  <si>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</si>
  <si>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</si>
  <si>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</si>
  <si>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</si>
  <si>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</si>
  <si>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</si>
  <si>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</si>
  <si>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</si>
  <si>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</si>
  <si>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</si>
  <si>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</si>
  <si>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</si>
  <si>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</si>
  <si>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</si>
  <si>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</si>
  <si>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</si>
  <si>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</si>
  <si>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</si>
  <si>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</si>
  <si>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</si>
  <si>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</si>
  <si>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</si>
  <si>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</si>
  <si>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</si>
  <si>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</si>
  <si>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</si>
  <si>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</si>
  <si>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</si>
  <si>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</si>
  <si>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</si>
  <si>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</si>
  <si>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</si>
  <si>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</si>
  <si>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</si>
  <si>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</si>
  <si>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</si>
  <si>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</si>
  <si>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</si>
  <si>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</si>
  <si>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</si>
  <si>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</si>
  <si>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</si>
  <si>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</si>
  <si>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</si>
  <si>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</si>
  <si>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</si>
  <si>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</si>
  <si>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</si>
  <si>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</si>
  <si>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</si>
  <si>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</si>
  <si>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</si>
  <si>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</si>
  <si>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</si>
  <si>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</si>
  <si>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</si>
  <si>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</si>
  <si>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</si>
  <si>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</si>
  <si>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</si>
  <si>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</si>
  <si>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</si>
  <si>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</si>
  <si>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</si>
  <si>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</si>
  <si>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</si>
  <si>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</si>
  <si>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</si>
  <si>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</si>
  <si>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</si>
  <si>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</si>
  <si>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</si>
  <si>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</si>
  <si>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</si>
  <si>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</si>
  <si>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</si>
  <si>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</si>
  <si>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</si>
  <si>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</si>
  <si>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</si>
  <si>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</si>
  <si>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</si>
  <si>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</si>
  <si>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</si>
  <si>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</si>
  <si>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</si>
  <si>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</si>
  <si>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</si>
  <si>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</si>
  <si>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</si>
  <si>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</si>
  <si>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</si>
  <si>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</si>
  <si>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</si>
  <si>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</si>
  <si>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</si>
  <si>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</si>
  <si>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</si>
  <si>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</si>
  <si>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</si>
  <si>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</si>
  <si>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</si>
  <si>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</si>
  <si>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</si>
  <si>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</si>
  <si>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</si>
  <si>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</si>
  <si>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</si>
  <si>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</si>
  <si>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</si>
  <si>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</si>
  <si>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</si>
  <si>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</si>
  <si>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</si>
  <si>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</si>
  <si>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</si>
  <si>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</si>
  <si>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</si>
  <si>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</si>
  <si>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</si>
  <si>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</si>
  <si>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</si>
  <si>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</si>
  <si>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</si>
  <si>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</si>
  <si>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</si>
  <si>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</si>
  <si>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</si>
  <si>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</si>
  <si>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</si>
  <si>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</si>
  <si>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</si>
  <si>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</si>
  <si>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</si>
  <si>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</si>
  <si>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</si>
  <si>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</si>
  <si>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</si>
  <si>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</si>
  <si>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</si>
  <si>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</si>
  <si>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</si>
  <si>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</si>
  <si>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</si>
  <si>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</si>
  <si>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</si>
  <si>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</si>
  <si>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</si>
  <si>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</si>
  <si>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</si>
  <si>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</si>
  <si>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</si>
  <si>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</si>
  <si>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</si>
  <si>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</si>
  <si>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</si>
  <si>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</si>
  <si>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</si>
  <si>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</si>
  <si>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</si>
  <si>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</si>
  <si>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</si>
  <si>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</si>
  <si>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</si>
  <si>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</si>
  <si>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</si>
  <si>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</si>
  <si>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</si>
  <si>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</si>
  <si>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</si>
  <si>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</si>
  <si>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</si>
  <si>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</si>
  <si>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</si>
  <si>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</si>
  <si>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</si>
  <si>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</si>
  <si>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</si>
  <si>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</si>
  <si>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</si>
  <si>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</si>
  <si>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</si>
  <si>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</si>
  <si>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</si>
  <si>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</si>
  <si>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</si>
  <si>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</si>
  <si>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</si>
  <si>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</si>
  <si>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</si>
  <si>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</si>
  <si>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</si>
  <si>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</si>
  <si>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</si>
  <si>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</si>
  <si>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</si>
  <si>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</si>
  <si>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</si>
  <si>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</si>
  <si>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</si>
  <si>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</si>
  <si>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</si>
  <si>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</si>
  <si>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</si>
  <si>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</si>
  <si>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</si>
  <si>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</si>
  <si>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</si>
  <si>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</si>
  <si>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</si>
  <si>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</si>
  <si>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</si>
  <si>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</si>
  <si>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</si>
  <si>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</si>
  <si>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</si>
  <si>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</si>
  <si>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</si>
  <si>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</si>
  <si>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</si>
  <si>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</si>
  <si>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</si>
  <si>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</si>
  <si>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</si>
  <si>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</si>
  <si>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</si>
  <si>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</si>
  <si>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</si>
  <si>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</si>
  <si>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</si>
  <si>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</si>
  <si>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</si>
  <si>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</si>
  <si>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</si>
  <si>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</si>
  <si>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</si>
  <si>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</si>
  <si>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</si>
  <si>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</si>
  <si>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</si>
  <si>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</si>
  <si>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</si>
  <si>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</si>
  <si>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</si>
  <si>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</si>
  <si>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</si>
  <si>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</si>
  <si>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</si>
  <si>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</si>
  <si>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</si>
  <si>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</si>
  <si>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</si>
  <si>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</si>
  <si>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</si>
  <si>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</si>
  <si>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</si>
  <si>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</si>
  <si>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</si>
  <si>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</si>
  <si>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</si>
  <si>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</si>
  <si>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</si>
  <si>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</si>
  <si>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</si>
  <si>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</si>
  <si>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</si>
  <si>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</si>
  <si>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</si>
  <si>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</si>
  <si>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</si>
  <si>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</si>
  <si>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</si>
  <si>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</si>
  <si>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</si>
  <si>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</si>
  <si>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</si>
  <si>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</si>
  <si>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</si>
  <si>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</si>
  <si>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</si>
  <si>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</si>
  <si>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</si>
  <si>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</si>
  <si>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</si>
  <si>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</si>
  <si>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</si>
  <si>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</si>
  <si>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</si>
  <si>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</si>
  <si>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</si>
  <si>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</si>
  <si>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</si>
  <si>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</si>
  <si>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</si>
  <si>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</si>
  <si>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</si>
  <si>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</si>
  <si>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</si>
  <si>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</si>
  <si>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</si>
  <si>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</si>
  <si>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</si>
  <si>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</si>
  <si>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</si>
  <si>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</si>
  <si>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</si>
  <si>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</si>
  <si>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</si>
  <si>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</si>
  <si>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</si>
  <si>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</si>
  <si>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</si>
  <si>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</si>
  <si>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</si>
  <si>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</si>
  <si>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</si>
  <si>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</si>
  <si>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</si>
  <si>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</si>
  <si>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</si>
  <si>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</si>
  <si>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</si>
  <si>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</si>
  <si>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</si>
  <si>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</si>
  <si>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</si>
  <si>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</si>
  <si>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</si>
  <si>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</si>
  <si>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</si>
  <si>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</si>
  <si>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</si>
  <si>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</si>
  <si>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</si>
  <si>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</si>
  <si>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</si>
  <si>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</si>
  <si>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</si>
  <si>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</si>
  <si>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</si>
  <si>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</si>
  <si>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</si>
  <si>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</si>
  <si>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</si>
  <si>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</si>
  <si>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</si>
  <si>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</si>
  <si>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</si>
  <si>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</si>
  <si>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</si>
  <si>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</si>
  <si>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</si>
  <si>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</si>
  <si>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</si>
  <si>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侨源气体</t>
  </si>
  <si>
    <t>www.lixinger.com/analytics/company/sz/300646/300646/detail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</si>
  <si>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</si>
  <si>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</si>
  <si>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</si>
  <si>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</si>
  <si>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</si>
  <si>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</si>
  <si>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</si>
  <si>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</si>
  <si>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</si>
  <si>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</si>
  <si>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</si>
  <si>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</si>
  <si>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</si>
  <si>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</si>
  <si>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</si>
  <si>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</si>
  <si>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</si>
  <si>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</si>
  <si>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</si>
  <si>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</si>
  <si>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</si>
  <si>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</si>
  <si>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</si>
  <si>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</si>
  <si>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</si>
  <si>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</si>
  <si>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</si>
  <si>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</si>
  <si>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</si>
  <si>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</si>
  <si>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</si>
  <si>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</si>
  <si>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</si>
  <si>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</si>
  <si>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</si>
  <si>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</si>
  <si>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</si>
  <si>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</si>
  <si>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</si>
  <si>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</si>
  <si>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</si>
  <si>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</si>
  <si>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</si>
  <si>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</si>
  <si>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</si>
  <si>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</si>
  <si>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</si>
  <si>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</si>
  <si>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</si>
  <si>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</si>
  <si>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</si>
  <si>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</si>
  <si>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</si>
  <si>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</si>
  <si>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</si>
  <si>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</si>
  <si>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</si>
  <si>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</si>
  <si>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</si>
  <si>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</si>
  <si>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</si>
  <si>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</si>
  <si>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</si>
  <si>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</si>
  <si>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</si>
  <si>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</si>
  <si>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</si>
  <si>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</si>
  <si>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</si>
  <si>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</si>
  <si>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</si>
  <si>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</si>
  <si>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</si>
  <si>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</si>
  <si>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</si>
  <si>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</si>
  <si>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</si>
  <si>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</si>
  <si>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</si>
  <si>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</si>
  <si>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</si>
  <si>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</si>
  <si>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</si>
  <si>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</si>
  <si>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</si>
  <si>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</si>
  <si>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</si>
  <si>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</si>
  <si>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</si>
  <si>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</si>
  <si>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</si>
  <si>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</si>
  <si>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</si>
  <si>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</si>
  <si>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</si>
  <si>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</si>
  <si>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</si>
  <si>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</si>
  <si>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</si>
  <si>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</si>
  <si>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</si>
  <si>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</si>
  <si>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</si>
  <si>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</si>
  <si>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</si>
  <si>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</si>
  <si>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</si>
  <si>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</si>
  <si>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</si>
  <si>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</si>
  <si>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</si>
  <si>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</si>
  <si>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</si>
  <si>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</si>
  <si>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</si>
  <si>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</si>
  <si>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</si>
  <si>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</si>
  <si>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</si>
  <si>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</si>
  <si>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</si>
  <si>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</si>
  <si>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</si>
  <si>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</si>
  <si>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</si>
  <si>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</si>
  <si>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</si>
  <si>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</si>
  <si>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</si>
  <si>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</si>
  <si>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</si>
  <si>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</si>
  <si>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</si>
  <si>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</si>
  <si>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</si>
  <si>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</si>
  <si>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</si>
  <si>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</si>
  <si>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</si>
  <si>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</si>
  <si>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</si>
  <si>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</si>
  <si>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</si>
  <si>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</si>
  <si>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</si>
  <si>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</si>
  <si>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</si>
  <si>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</si>
  <si>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</si>
  <si>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</si>
  <si>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</si>
  <si>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</si>
  <si>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</si>
  <si>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</si>
  <si>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</si>
  <si>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</si>
  <si>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</si>
  <si>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</si>
  <si>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</si>
  <si>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</si>
  <si>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</si>
  <si>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</si>
  <si>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</si>
  <si>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</si>
  <si>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</si>
  <si>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</si>
  <si>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</si>
  <si>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</si>
  <si>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</si>
  <si>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</si>
  <si>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</si>
  <si>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</si>
  <si>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</si>
  <si>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</si>
  <si>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</si>
  <si>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</si>
  <si>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</si>
  <si>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</si>
  <si>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</si>
  <si>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</si>
  <si>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</si>
  <si>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</si>
  <si>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</si>
  <si>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</si>
  <si>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</si>
  <si>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</si>
  <si>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</si>
  <si>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</si>
  <si>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</si>
  <si>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</si>
  <si>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</si>
  <si>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</si>
  <si>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</si>
  <si>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</si>
  <si>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</si>
  <si>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</si>
  <si>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</si>
  <si>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</si>
  <si>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</si>
  <si>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</si>
  <si>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</si>
  <si>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</si>
  <si>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</si>
  <si>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</si>
  <si>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</si>
  <si>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</si>
  <si>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</si>
  <si>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</si>
  <si>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</si>
  <si>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</si>
  <si>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</si>
  <si>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</si>
  <si>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</si>
  <si>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</si>
  <si>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</si>
  <si>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</si>
  <si>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</si>
  <si>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</si>
  <si>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</si>
  <si>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</si>
  <si>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</si>
  <si>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</si>
  <si>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</si>
  <si>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</si>
  <si>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</si>
  <si>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</si>
  <si>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</si>
  <si>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</si>
  <si>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</si>
  <si>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</si>
  <si>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</si>
  <si>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</si>
  <si>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</si>
  <si>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</si>
  <si>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</si>
  <si>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</si>
  <si>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</si>
  <si>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</si>
  <si>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</si>
  <si>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</si>
  <si>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</si>
  <si>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</si>
  <si>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</si>
  <si>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</si>
  <si>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</si>
  <si>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</si>
  <si>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</si>
  <si>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</si>
  <si>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</si>
  <si>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</si>
  <si>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</si>
  <si>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</si>
  <si>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</si>
  <si>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</si>
  <si>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</si>
  <si>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</si>
  <si>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</si>
  <si>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</si>
  <si>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</si>
  <si>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</si>
  <si>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</si>
  <si>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</si>
  <si>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</si>
  <si>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</si>
  <si>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</si>
  <si>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</si>
  <si>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</si>
  <si>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</si>
  <si>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</si>
  <si>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</si>
  <si>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</si>
  <si>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</si>
  <si>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</si>
  <si>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</si>
  <si>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</si>
  <si>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</si>
  <si>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</si>
  <si>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</si>
  <si>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</si>
  <si>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</si>
  <si>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</si>
  <si>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</si>
  <si>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</si>
  <si>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</si>
  <si>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</si>
  <si>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</si>
  <si>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</si>
  <si>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</si>
  <si>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</si>
  <si>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</si>
  <si>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</si>
  <si>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</si>
  <si>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</si>
  <si>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</si>
  <si>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</si>
  <si>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</si>
  <si>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</si>
  <si>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</si>
  <si>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</si>
  <si>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</si>
  <si>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</si>
  <si>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</si>
  <si>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</si>
  <si>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</si>
  <si>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</si>
  <si>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</si>
  <si>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</si>
  <si>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</si>
  <si>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</si>
  <si>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</si>
  <si>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</si>
  <si>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</si>
  <si>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</si>
  <si>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</si>
  <si>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</si>
  <si>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</si>
  <si>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</si>
  <si>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</si>
  <si>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</si>
  <si>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</si>
  <si>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</si>
  <si>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</si>
  <si>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</si>
  <si>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</si>
  <si>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</si>
  <si>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</si>
  <si>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</si>
  <si>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</si>
  <si>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</si>
  <si>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</si>
  <si>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</si>
  <si>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</si>
  <si>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</si>
  <si>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</si>
  <si>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</si>
  <si>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</si>
  <si>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</si>
  <si>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</si>
  <si>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</si>
  <si>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</si>
  <si>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</si>
  <si>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</si>
  <si>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</si>
  <si>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</si>
  <si>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</si>
  <si>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</si>
  <si>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</si>
  <si>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</si>
  <si>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</si>
  <si>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</si>
  <si>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</si>
  <si>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</si>
  <si>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</si>
  <si>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</si>
  <si>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</si>
  <si>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</si>
  <si>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</si>
  <si>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</si>
  <si>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</si>
  <si>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</si>
  <si>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</si>
  <si>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</si>
  <si>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</si>
  <si>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</si>
  <si>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</si>
  <si>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</si>
  <si>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</si>
  <si>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</si>
  <si>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</si>
  <si>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</si>
  <si>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</si>
  <si>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</si>
  <si>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</si>
  <si>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</si>
  <si>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</si>
  <si>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</si>
  <si>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</si>
  <si>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</si>
  <si>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</si>
  <si>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</si>
  <si>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</si>
  <si>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</si>
  <si>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</si>
  <si>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</si>
  <si>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</si>
  <si>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</si>
  <si>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</si>
  <si>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</si>
  <si>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</si>
  <si>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</si>
  <si>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</si>
  <si>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</si>
  <si>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</si>
  <si>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</si>
  <si>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</si>
  <si>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</si>
  <si>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</si>
  <si>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</si>
  <si>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</si>
  <si>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</si>
  <si>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</si>
  <si>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</si>
  <si>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</si>
  <si>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</si>
  <si>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</si>
  <si>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</si>
  <si>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</si>
  <si>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</si>
  <si>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</si>
  <si>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</si>
  <si>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</si>
  <si>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</si>
  <si>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</si>
  <si>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</si>
  <si>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</si>
  <si>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</si>
  <si>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</si>
  <si>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</si>
  <si>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</si>
  <si>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</si>
  <si>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</si>
  <si>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</si>
  <si>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</si>
  <si>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</si>
  <si>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</si>
  <si>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</si>
  <si>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</si>
  <si>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</si>
  <si>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</si>
  <si>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</si>
  <si>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</si>
  <si>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</si>
  <si>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</si>
  <si>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</si>
  <si>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</si>
  <si>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</si>
  <si>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</si>
  <si>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</si>
  <si>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</si>
  <si>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</si>
  <si>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</si>
  <si>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</si>
  <si>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</si>
  <si>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</si>
  <si>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</si>
  <si>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</si>
  <si>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</si>
  <si>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</si>
  <si>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</si>
  <si>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</si>
  <si>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</si>
  <si>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</si>
  <si>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</si>
  <si>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</si>
  <si>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</si>
  <si>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</si>
  <si>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</si>
  <si>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</si>
  <si>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</si>
  <si>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</si>
  <si>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</si>
  <si>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</si>
  <si>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</si>
  <si>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</si>
  <si>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</si>
  <si>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</si>
  <si>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</si>
  <si>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</si>
  <si>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</si>
  <si>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</si>
  <si>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</si>
  <si>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</si>
  <si>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</si>
  <si>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</si>
  <si>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</si>
  <si>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</si>
  <si>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</si>
  <si>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</si>
  <si>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</si>
  <si>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</si>
  <si>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</si>
  <si>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</si>
  <si>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</si>
  <si>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</si>
  <si>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</si>
  <si>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</si>
  <si>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</si>
  <si>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</si>
  <si>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</si>
  <si>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</si>
  <si>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</si>
  <si>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</si>
  <si>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</si>
  <si>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</si>
  <si>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</si>
  <si>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</si>
  <si>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</si>
  <si>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</si>
  <si>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</si>
  <si>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</si>
  <si>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</si>
  <si>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</si>
  <si>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</si>
  <si>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</si>
  <si>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</si>
  <si>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</si>
  <si>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</si>
  <si>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</si>
  <si>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</si>
  <si>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</si>
  <si>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</si>
  <si>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</si>
  <si>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</si>
  <si>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</si>
  <si>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</si>
  <si>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</si>
  <si>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</si>
  <si>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</si>
  <si>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</si>
  <si>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</si>
  <si>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</si>
  <si>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</si>
  <si>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</si>
  <si>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</si>
  <si>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</si>
  <si>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</si>
  <si>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</si>
  <si>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</si>
  <si>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</si>
  <si>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</si>
  <si>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</si>
  <si>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</si>
  <si>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</si>
  <si>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</si>
  <si>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</si>
  <si>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</si>
  <si>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</si>
  <si>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</si>
  <si>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</si>
  <si>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</si>
  <si>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</si>
  <si>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</si>
  <si>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</si>
  <si>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</si>
  <si>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</si>
  <si>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</si>
  <si>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</si>
  <si>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</si>
  <si>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</si>
  <si>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</si>
  <si>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</si>
  <si>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</si>
  <si>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</si>
  <si>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</si>
  <si>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</si>
  <si>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</si>
  <si>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</si>
  <si>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</si>
  <si>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</si>
  <si>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</si>
  <si>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</si>
  <si>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</si>
  <si>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</si>
  <si>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</si>
  <si>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</si>
  <si>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</si>
  <si>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</si>
  <si>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</si>
  <si>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</si>
  <si>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</si>
  <si>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</si>
  <si>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</si>
  <si>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</si>
  <si>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</si>
  <si>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</si>
  <si>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</si>
  <si>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</si>
  <si>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</si>
  <si>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</si>
  <si>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</si>
  <si>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</si>
  <si>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</si>
  <si>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</si>
  <si>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</si>
  <si>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</si>
  <si>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</si>
  <si>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</si>
  <si>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</si>
  <si>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</si>
  <si>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</si>
  <si>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</si>
  <si>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</si>
  <si>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</si>
  <si>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</si>
  <si>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</si>
  <si>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</si>
  <si>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</si>
  <si>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</si>
  <si>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</si>
  <si>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</si>
  <si>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</si>
  <si>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</si>
  <si>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</si>
  <si>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</si>
  <si>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</si>
  <si>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</si>
  <si>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</si>
  <si>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</si>
  <si>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</si>
  <si>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</si>
  <si>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</si>
  <si>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</si>
  <si>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</si>
  <si>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</si>
  <si>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</si>
  <si>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</si>
  <si>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</si>
  <si>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</si>
  <si>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</si>
  <si>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</si>
  <si>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</si>
  <si>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</si>
  <si>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</si>
  <si>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</si>
  <si>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</si>
  <si>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</si>
  <si>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</si>
  <si>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</si>
  <si>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</si>
  <si>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</si>
  <si>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</si>
  <si>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</si>
  <si>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</si>
  <si>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</si>
  <si>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</si>
  <si>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</si>
  <si>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</si>
  <si>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</si>
  <si>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</si>
  <si>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</si>
  <si>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</si>
  <si>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</si>
  <si>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</si>
  <si>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</si>
  <si>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</si>
  <si>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</si>
  <si>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</si>
  <si>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</si>
  <si>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</si>
  <si>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</si>
  <si>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</si>
  <si>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</si>
  <si>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</si>
  <si>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</si>
  <si>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</si>
  <si>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</si>
  <si>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</si>
  <si>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</si>
  <si>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</si>
  <si>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</si>
  <si>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</si>
  <si>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</si>
  <si>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</si>
  <si>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</si>
  <si>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</si>
  <si>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</si>
  <si>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</si>
  <si>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</si>
  <si>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</si>
  <si>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</si>
  <si>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</si>
  <si>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</si>
  <si>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</si>
  <si>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</si>
  <si>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</si>
  <si>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</si>
  <si>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</si>
  <si>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</si>
  <si>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</si>
  <si>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</si>
  <si>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</si>
  <si>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</si>
  <si>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</si>
  <si>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</si>
  <si>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</si>
  <si>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</si>
  <si>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</si>
  <si>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</si>
  <si>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</si>
  <si>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</si>
  <si>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</si>
  <si>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</si>
  <si>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</si>
  <si>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</si>
  <si>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</si>
  <si>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</si>
  <si>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</si>
  <si>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</si>
  <si>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</si>
  <si>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</si>
  <si>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</si>
  <si>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</si>
  <si>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</si>
  <si>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</si>
  <si>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</si>
  <si>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</si>
  <si>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</si>
  <si>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</si>
  <si>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</si>
  <si>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</si>
  <si>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</si>
  <si>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</si>
  <si>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</si>
  <si>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</si>
  <si>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</si>
  <si>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</si>
  <si>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</si>
  <si>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</si>
  <si>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</si>
  <si>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</si>
  <si>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</si>
  <si>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</si>
  <si>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</si>
  <si>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</si>
  <si>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</si>
  <si>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</si>
  <si>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</si>
  <si>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</si>
  <si>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</si>
  <si>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</si>
  <si>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</si>
  <si>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</si>
  <si>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</si>
  <si>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</si>
  <si>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</si>
  <si>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</si>
  <si>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</si>
  <si>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</si>
  <si>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</si>
  <si>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</si>
  <si>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</si>
  <si>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</si>
  <si>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</si>
  <si>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</si>
  <si>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</si>
  <si>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</si>
  <si>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</si>
  <si>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</si>
  <si>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</si>
  <si>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</si>
  <si>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</si>
  <si>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</si>
  <si>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</si>
  <si>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</si>
  <si>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</si>
  <si>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</si>
  <si>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</si>
  <si>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</si>
  <si>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</si>
  <si>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</si>
  <si>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</si>
  <si>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</si>
  <si>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</si>
  <si>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</si>
  <si>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</si>
  <si>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</si>
  <si>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</si>
  <si>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</si>
  <si>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</si>
  <si>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</si>
  <si>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</si>
  <si>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</si>
  <si>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</si>
  <si>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</si>
  <si>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</si>
  <si>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</si>
  <si>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</si>
  <si>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</si>
  <si>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</si>
  <si>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</si>
  <si>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</si>
  <si>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</si>
  <si>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</si>
  <si>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</si>
  <si>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</si>
  <si>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</si>
  <si>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</si>
  <si>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</si>
  <si>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</si>
  <si>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</si>
  <si>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</si>
  <si>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</si>
  <si>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</si>
  <si>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</si>
  <si>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</si>
  <si>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</si>
  <si>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</si>
  <si>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</si>
  <si>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</si>
  <si>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</si>
  <si>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</si>
  <si>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</si>
  <si>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</si>
  <si>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</si>
  <si>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</si>
  <si>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</si>
  <si>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</si>
  <si>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</si>
  <si>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</si>
  <si>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</si>
  <si>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</si>
  <si>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</si>
  <si>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</si>
  <si>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</si>
  <si>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</si>
  <si>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</si>
  <si>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</si>
  <si>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</si>
  <si>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</si>
  <si>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</si>
  <si>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</si>
  <si>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</si>
  <si>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</si>
  <si>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</si>
  <si>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</si>
  <si>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</si>
  <si>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</si>
  <si>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</si>
  <si>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</si>
  <si>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</si>
  <si>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</si>
  <si>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</si>
  <si>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</si>
  <si>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</si>
  <si>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</si>
  <si>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</si>
  <si>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</si>
  <si>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</si>
  <si>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</si>
  <si>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</si>
  <si>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</si>
  <si>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</si>
  <si>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</si>
  <si>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</si>
  <si>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</si>
  <si>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</si>
  <si>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</si>
  <si>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</si>
  <si>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</si>
  <si>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</si>
  <si>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</si>
  <si>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天益医疗</t>
  </si>
  <si>
    <t>www.lixinger.com/analytics/company/sz/301097/301097/detail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</si>
  <si>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</si>
  <si>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</si>
  <si>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</si>
  <si>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</si>
  <si>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</si>
  <si>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</si>
  <si>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</si>
  <si>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</si>
  <si>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兆讯传媒</t>
  </si>
  <si>
    <t>www.lixinger.com/analytics/company/sz/301102/301102/detail</t>
  </si>
  <si>
    <t>何氏眼科</t>
  </si>
  <si>
    <t>www.lixinger.com/analytics/company/sz/301103/301103/detail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</si>
  <si>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</si>
  <si>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</si>
  <si>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</si>
  <si>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</si>
  <si>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军信股份</t>
  </si>
  <si>
    <t>www.lixinger.com/analytics/company/sz/301109/301109/detail</t>
  </si>
  <si>
    <t>青木股份</t>
  </si>
  <si>
    <t>www.lixinger.com/analytics/company/sz/301110/301110/detail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</si>
  <si>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</si>
  <si>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</si>
  <si>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</si>
  <si>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</si>
  <si>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</si>
  <si>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</si>
  <si>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</si>
  <si>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</si>
  <si>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</si>
  <si>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</si>
  <si>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</si>
  <si>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</si>
  <si>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新特电气</t>
  </si>
  <si>
    <t>www.lixinger.com/analytics/company/sz/301120/301120/detail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</si>
  <si>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</si>
  <si>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</si>
  <si>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</si>
  <si>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</si>
  <si>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</si>
  <si>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</si>
  <si>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</si>
  <si>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</si>
  <si>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</si>
  <si>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</si>
  <si>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</si>
  <si>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</si>
  <si>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</si>
  <si>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</si>
  <si>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聚赛龙</t>
  </si>
  <si>
    <t>www.lixinger.com/analytics/company/sz/301131/301131/detail</t>
  </si>
  <si>
    <t>金钟股份</t>
  </si>
  <si>
    <t>www.lixinger.com/analytics/company/sz/301133/301133/detail</t>
  </si>
  <si>
    <t>瑞德智能</t>
  </si>
  <si>
    <t>www.lixinger.com/analytics/company/sz/301135/301135/detail</t>
  </si>
  <si>
    <t>招标股份</t>
  </si>
  <si>
    <t>www.lixinger.com/analytics/company/sz/301136/301136/detail</t>
  </si>
  <si>
    <t>哈焊华通</t>
  </si>
  <si>
    <t>www.lixinger.com/analytics/company/sz/301137/301137/detail</t>
  </si>
  <si>
    <t>华研精机</t>
  </si>
  <si>
    <t>www.lixinger.com/analytics/company/sz/301138/301138/detail</t>
  </si>
  <si>
    <t>嘉戎技术</t>
  </si>
  <si>
    <t>www.lixinger.com/analytics/company/sz/301148/301148/detail</t>
  </si>
  <si>
    <t>隆华新材</t>
  </si>
  <si>
    <t>www.lixinger.com/analytics/company/sz/301149/301149/detail</t>
  </si>
  <si>
    <t>中一科技</t>
  </si>
  <si>
    <t>www.lixinger.com/analytics/company/sz/301150/301150/detail</t>
  </si>
  <si>
    <t>冠龙节能</t>
  </si>
  <si>
    <t>www.lixinger.com/analytics/company/sz/301151/301151/detail</t>
  </si>
  <si>
    <t>中科江南</t>
  </si>
  <si>
    <t>www.lixinger.com/analytics/company/sz/301153/301153/detail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</si>
  <si>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</si>
  <si>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</si>
  <si>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</si>
  <si>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</si>
  <si>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</si>
  <si>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</si>
  <si>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国能日新</t>
  </si>
  <si>
    <t>www.lixinger.com/analytics/company/sz/301162/301162/detail</t>
  </si>
  <si>
    <t>宏德股份</t>
  </si>
  <si>
    <t>www.lixinger.com/analytics/company/sz/301163/301163/detail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</si>
  <si>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</si>
  <si>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</si>
  <si>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</si>
  <si>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</si>
  <si>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</si>
  <si>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</si>
  <si>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</si>
  <si>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</si>
  <si>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</si>
  <si>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</si>
  <si>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</si>
  <si>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</si>
  <si>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</si>
  <si>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</si>
  <si>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</si>
  <si>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</si>
  <si>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</si>
  <si>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</si>
  <si>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</si>
  <si>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</si>
  <si>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</si>
  <si>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</si>
  <si>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</si>
  <si>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</si>
  <si>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</si>
  <si>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</si>
  <si>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</si>
  <si>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</si>
  <si>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</si>
  <si>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</si>
  <si>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</si>
  <si>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</si>
  <si>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</si>
  <si>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</si>
  <si>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</si>
  <si>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</si>
  <si>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</si>
  <si>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</si>
  <si>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</si>
  <si>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</si>
  <si>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</si>
  <si>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</si>
  <si>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</si>
  <si>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</si>
  <si>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</si>
  <si>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</si>
  <si>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</si>
  <si>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</si>
  <si>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</si>
  <si>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</si>
  <si>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联盛化学</t>
  </si>
  <si>
    <t>www.lixinger.com/analytics/company/sz/301212/301212/detail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</si>
  <si>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</si>
  <si>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</si>
  <si>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</si>
  <si>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</si>
  <si>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万凯新材</t>
  </si>
  <si>
    <t>www.lixinger.com/analytics/company/sz/301216/301216/detail</t>
  </si>
  <si>
    <t>铜冠铜箔</t>
  </si>
  <si>
    <t>www.lixinger.com/analytics/company/sz/301217/301217/detail</t>
  </si>
  <si>
    <t>华是科技</t>
  </si>
  <si>
    <t>www.lixinger.com/analytics/company/sz/301218/301218/detail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</si>
  <si>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</si>
  <si>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</si>
  <si>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</si>
  <si>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</si>
  <si>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浙江恒威</t>
  </si>
  <si>
    <t>www.lixinger.com/analytics/company/sz/301222/301222/detail</t>
  </si>
  <si>
    <t>祥明智能</t>
  </si>
  <si>
    <t>www.lixinger.com/analytics/company/sz/301226/301226/detail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</si>
  <si>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</si>
  <si>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</si>
  <si>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</si>
  <si>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</si>
  <si>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</si>
  <si>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</si>
  <si>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</si>
  <si>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</si>
  <si>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</si>
  <si>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</si>
  <si>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杰创智能</t>
  </si>
  <si>
    <t>www.lixinger.com/analytics/company/sz/301248/301248/detail</t>
  </si>
  <si>
    <t>华融化学</t>
  </si>
  <si>
    <t>www.lixinger.com/analytics/company/sz/301256/301256/detail</t>
  </si>
  <si>
    <t>普蕊斯</t>
  </si>
  <si>
    <t>www.lixinger.com/analytics/company/sz/301257/301257/detail</t>
  </si>
  <si>
    <t>富士莱</t>
  </si>
  <si>
    <t>www.lixinger.com/analytics/company/sz/301258/301258/detail</t>
  </si>
  <si>
    <t>艾布鲁</t>
  </si>
  <si>
    <t>www.lixinger.com/analytics/company/sz/301259/301259/detail</t>
  </si>
  <si>
    <t>泰恩康</t>
  </si>
  <si>
    <t>www.lixinger.com/analytics/company/sz/301263/301263/detail</t>
  </si>
  <si>
    <t>铭利达</t>
  </si>
  <si>
    <t>www.lixinger.com/analytics/company/sz/301268/301268/detail</t>
  </si>
  <si>
    <t>金道科技</t>
  </si>
  <si>
    <t>www.lixinger.com/analytics/company/sz/301279/301279/detail</t>
  </si>
  <si>
    <t>清研环境</t>
  </si>
  <si>
    <t>www.lixinger.com/analytics/company/sz/301288/301288/detail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</si>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</sst>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59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P2">
        <v>17547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1272619921</v>
      </c>
      <c r="G3">
        <v>1106945312</v>
      </c>
      <c r="H3">
        <v>934885962</v>
      </c>
      <c r="I3">
        <v>1167901519</v>
      </c>
      <c r="J3">
        <v>821335742</v>
      </c>
      <c r="K3">
        <v>772783112</v>
      </c>
      <c r="L3">
        <v>591686520</v>
      </c>
      <c r="M3">
        <v>657734436</v>
      </c>
      <c r="N3">
        <v>578314838</v>
      </c>
      <c r="O3">
        <v>627287790</v>
      </c>
      <c r="P3">
        <v>1892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5068119197.21</v>
      </c>
      <c r="L4">
        <v>11102200992</v>
      </c>
      <c r="M4">
        <v>9272321999.4899998</v>
      </c>
      <c r="N4">
        <v>2753702759.2399998</v>
      </c>
      <c r="O4">
        <v>1955094995.28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3621812789</v>
      </c>
      <c r="G5">
        <v>4720830061</v>
      </c>
      <c r="H5">
        <v>6072009823</v>
      </c>
      <c r="I5">
        <v>6288963473</v>
      </c>
      <c r="J5">
        <v>3746393662</v>
      </c>
      <c r="K5">
        <v>2776145504</v>
      </c>
      <c r="L5">
        <v>2209029070</v>
      </c>
      <c r="M5">
        <v>935156272</v>
      </c>
      <c r="N5">
        <v>647322011</v>
      </c>
      <c r="O5">
        <v>738053741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368491616</v>
      </c>
      <c r="G6">
        <v>440548083</v>
      </c>
      <c r="H6">
        <v>421649740</v>
      </c>
      <c r="I6">
        <v>0</v>
      </c>
      <c r="J6">
        <v>299260334</v>
      </c>
      <c r="K6">
        <v>144293862</v>
      </c>
      <c r="L6">
        <v>141547001</v>
      </c>
      <c r="M6">
        <v>143657938</v>
      </c>
      <c r="N6">
        <v>151977606</v>
      </c>
      <c r="O6">
        <v>167759766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5903895543</v>
      </c>
      <c r="G7">
        <v>4782236596</v>
      </c>
      <c r="H7">
        <v>3770712727</v>
      </c>
      <c r="I7">
        <v>2870228932</v>
      </c>
      <c r="J7">
        <v>2281047069</v>
      </c>
      <c r="K7">
        <v>2059846424</v>
      </c>
      <c r="L7">
        <v>1362184514</v>
      </c>
      <c r="M7">
        <v>833123392</v>
      </c>
      <c r="N7">
        <v>1367470332</v>
      </c>
      <c r="O7">
        <v>1147184943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1143502624</v>
      </c>
      <c r="G8">
        <v>1647809062</v>
      </c>
      <c r="H8">
        <v>1662029290</v>
      </c>
      <c r="I8">
        <v>1314326982</v>
      </c>
      <c r="J8">
        <v>1188793936</v>
      </c>
      <c r="K8">
        <v>1029260090</v>
      </c>
      <c r="L8">
        <v>889838247</v>
      </c>
      <c r="M8">
        <v>863776674</v>
      </c>
      <c r="N8">
        <v>777992587</v>
      </c>
      <c r="O8">
        <v>811631548</v>
      </c>
      <c r="P8">
        <v>5731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2371066025</v>
      </c>
      <c r="G9">
        <v>3232712680</v>
      </c>
      <c r="H9">
        <v>3124173812</v>
      </c>
      <c r="I9">
        <v>3079606935</v>
      </c>
      <c r="J9">
        <v>3084851361</v>
      </c>
      <c r="K9">
        <v>1557254039</v>
      </c>
      <c r="L9">
        <v>1380644061</v>
      </c>
      <c r="M9">
        <v>1727404657</v>
      </c>
      <c r="N9">
        <v>1246326367</v>
      </c>
      <c r="O9">
        <v>1071101317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39856733939</v>
      </c>
      <c r="G10">
        <v>28633861767</v>
      </c>
      <c r="H10">
        <v>25351937451</v>
      </c>
      <c r="I10">
        <v>24657757708</v>
      </c>
      <c r="J10">
        <v>21836667089</v>
      </c>
      <c r="K10">
        <v>13961207080</v>
      </c>
      <c r="L10">
        <v>14399611218</v>
      </c>
      <c r="M10">
        <v>14075569332</v>
      </c>
      <c r="N10">
        <v>14806790255</v>
      </c>
      <c r="O10">
        <v>14942374163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P13">
        <v>20730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559254553</v>
      </c>
      <c r="G14">
        <v>573320620</v>
      </c>
      <c r="H14">
        <v>660804308</v>
      </c>
      <c r="I14">
        <v>621447951</v>
      </c>
      <c r="J14">
        <v>565648995</v>
      </c>
      <c r="K14">
        <v>686994555</v>
      </c>
      <c r="L14">
        <v>752164927</v>
      </c>
      <c r="M14">
        <v>608154069</v>
      </c>
      <c r="N14">
        <v>604982318</v>
      </c>
      <c r="O14">
        <v>441853513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2966601398</v>
      </c>
      <c r="G15">
        <v>2412860237</v>
      </c>
      <c r="H15">
        <v>2426571366</v>
      </c>
      <c r="I15">
        <v>2787148215</v>
      </c>
      <c r="J15">
        <v>2394706008</v>
      </c>
      <c r="K15">
        <v>2738633600</v>
      </c>
      <c r="L15">
        <v>2421353497</v>
      </c>
      <c r="M15">
        <v>2149478611</v>
      </c>
      <c r="N15">
        <v>2094310106</v>
      </c>
      <c r="O15">
        <v>2167591620</v>
      </c>
      <c r="P15">
        <v>876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12246391865</v>
      </c>
      <c r="G16">
        <v>9631221741</v>
      </c>
      <c r="H16">
        <v>10877760224</v>
      </c>
      <c r="I16">
        <v>12696008219</v>
      </c>
      <c r="J16">
        <v>12079375684</v>
      </c>
      <c r="K16">
        <v>10414655663</v>
      </c>
      <c r="L16">
        <v>9158063277</v>
      </c>
      <c r="M16">
        <v>10049072037</v>
      </c>
      <c r="N16">
        <v>11274903876</v>
      </c>
      <c r="O16">
        <v>8542193128</v>
      </c>
      <c r="P16">
        <v>2292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170769632</v>
      </c>
      <c r="G17">
        <v>258286861</v>
      </c>
      <c r="H17">
        <v>250785946</v>
      </c>
      <c r="I17">
        <v>209475896</v>
      </c>
      <c r="J17">
        <v>214390912</v>
      </c>
      <c r="K17">
        <v>126816790</v>
      </c>
      <c r="L17">
        <v>67391451</v>
      </c>
      <c r="M17">
        <v>134756044</v>
      </c>
      <c r="N17">
        <v>116860590</v>
      </c>
      <c r="O17">
        <v>77725362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13864746532</v>
      </c>
      <c r="G18">
        <v>9453736695</v>
      </c>
      <c r="H18">
        <v>7826799897</v>
      </c>
      <c r="I18">
        <v>4476795465</v>
      </c>
      <c r="J18">
        <v>3913791910</v>
      </c>
      <c r="K18">
        <v>2652398394</v>
      </c>
      <c r="L18">
        <v>2488275085</v>
      </c>
      <c r="M18">
        <v>2619930786</v>
      </c>
      <c r="N18">
        <v>1814606685</v>
      </c>
      <c r="O18">
        <v>1919238553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243865926</v>
      </c>
      <c r="G19">
        <v>97210417</v>
      </c>
      <c r="H19">
        <v>150423182</v>
      </c>
      <c r="I19">
        <v>107519535</v>
      </c>
      <c r="J19">
        <v>200512774</v>
      </c>
      <c r="K19">
        <v>753373971</v>
      </c>
      <c r="L19">
        <v>1253716925</v>
      </c>
      <c r="M19">
        <v>382664479</v>
      </c>
      <c r="N19">
        <v>461603382</v>
      </c>
      <c r="O19">
        <v>4005891103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8526555114</v>
      </c>
      <c r="G20">
        <v>6024366863</v>
      </c>
      <c r="H20">
        <v>5893842608</v>
      </c>
      <c r="I20">
        <v>5828080327</v>
      </c>
      <c r="J20">
        <v>5336136382</v>
      </c>
      <c r="K20">
        <v>5265040268</v>
      </c>
      <c r="L20">
        <v>5041713571</v>
      </c>
      <c r="M20">
        <v>5463831686</v>
      </c>
      <c r="N20">
        <v>4395968214</v>
      </c>
      <c r="O20">
        <v>5041375594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1898603884</v>
      </c>
      <c r="G21">
        <v>1367893544</v>
      </c>
      <c r="H21">
        <v>2056965650</v>
      </c>
      <c r="I21">
        <v>2378202984</v>
      </c>
      <c r="J21">
        <v>2014994700</v>
      </c>
      <c r="K21">
        <v>1066647154</v>
      </c>
      <c r="L21">
        <v>1171076968</v>
      </c>
      <c r="M21">
        <v>1941475922</v>
      </c>
      <c r="P21">
        <v>766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368282409</v>
      </c>
      <c r="G22">
        <v>655848760</v>
      </c>
      <c r="H22">
        <v>936474805</v>
      </c>
      <c r="I22">
        <v>735240597</v>
      </c>
      <c r="J22">
        <v>918346944</v>
      </c>
      <c r="K22">
        <v>1132382090</v>
      </c>
      <c r="L22">
        <v>1816968648</v>
      </c>
      <c r="M22">
        <v>1507633195</v>
      </c>
      <c r="N22">
        <v>1598630832</v>
      </c>
      <c r="O22">
        <v>1285048608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9049423000</v>
      </c>
      <c r="G23">
        <v>10110108000</v>
      </c>
      <c r="H23">
        <v>10616329000</v>
      </c>
      <c r="I23">
        <v>9537909000</v>
      </c>
      <c r="J23">
        <v>9162820000</v>
      </c>
      <c r="K23">
        <v>6077765000</v>
      </c>
      <c r="L23">
        <v>7901918000</v>
      </c>
      <c r="M23">
        <v>7497637000</v>
      </c>
      <c r="N23">
        <v>7348570000</v>
      </c>
      <c r="O23">
        <v>6613709000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34861000000</v>
      </c>
      <c r="G24">
        <v>35587000000</v>
      </c>
      <c r="H24">
        <v>54865000000</v>
      </c>
      <c r="I24">
        <v>56993000000</v>
      </c>
      <c r="J24">
        <v>68494000000</v>
      </c>
      <c r="K24">
        <v>50289000000</v>
      </c>
      <c r="L24">
        <v>56126000000</v>
      </c>
      <c r="M24">
        <v>90831000000</v>
      </c>
      <c r="N24">
        <v>68466000000</v>
      </c>
      <c r="O24">
        <v>81395000000</v>
      </c>
      <c r="P24">
        <v>2315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2894000000</v>
      </c>
      <c r="G25">
        <v>2544000000</v>
      </c>
      <c r="H25">
        <v>3197000000</v>
      </c>
      <c r="I25">
        <v>0</v>
      </c>
      <c r="J25">
        <v>2672000000</v>
      </c>
      <c r="K25">
        <v>3009000000</v>
      </c>
      <c r="L25">
        <v>2592000000</v>
      </c>
      <c r="M25">
        <v>2705000000</v>
      </c>
      <c r="N25">
        <v>2213000000</v>
      </c>
      <c r="O25">
        <v>1885000000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F26">
        <v>34693841419</v>
      </c>
      <c r="G26">
        <v>39352598398</v>
      </c>
      <c r="H26">
        <v>29067859327</v>
      </c>
      <c r="I26">
        <v>29717774627</v>
      </c>
      <c r="J26">
        <v>21661634482</v>
      </c>
      <c r="K26">
        <v>23123244133</v>
      </c>
      <c r="L26">
        <v>0</v>
      </c>
      <c r="M26">
        <v>0</v>
      </c>
      <c r="N26">
        <v>0</v>
      </c>
      <c r="O26">
        <v>0</v>
      </c>
      <c r="P26">
        <v>5754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19655404000</v>
      </c>
      <c r="G27">
        <v>21512081000</v>
      </c>
      <c r="H27">
        <v>21792894000</v>
      </c>
      <c r="I27">
        <v>20133360000</v>
      </c>
      <c r="J27">
        <v>18365634000</v>
      </c>
      <c r="K27">
        <v>18084787000</v>
      </c>
      <c r="L27">
        <v>20961389000</v>
      </c>
      <c r="M27">
        <v>19851307000</v>
      </c>
      <c r="N27">
        <v>18727664000</v>
      </c>
      <c r="O27">
        <v>14974446000</v>
      </c>
      <c r="P27">
        <v>6538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4672013709</v>
      </c>
      <c r="G28">
        <v>3340252134</v>
      </c>
      <c r="H28">
        <v>2542823269</v>
      </c>
      <c r="I28">
        <v>1168257652</v>
      </c>
      <c r="J28">
        <v>98787200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524360730</v>
      </c>
      <c r="G29">
        <v>663266966</v>
      </c>
      <c r="H29">
        <v>761372934</v>
      </c>
      <c r="I29">
        <v>469519002</v>
      </c>
      <c r="J29">
        <v>391909291</v>
      </c>
      <c r="K29">
        <v>389482521</v>
      </c>
      <c r="L29">
        <v>371962829</v>
      </c>
      <c r="M29">
        <v>748026719</v>
      </c>
      <c r="N29">
        <v>613107354</v>
      </c>
      <c r="O29">
        <v>447242261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407122470</v>
      </c>
      <c r="G30">
        <v>489440270</v>
      </c>
      <c r="H30">
        <v>492809962</v>
      </c>
      <c r="I30">
        <v>423659514</v>
      </c>
      <c r="J30">
        <v>392470183</v>
      </c>
      <c r="K30">
        <v>75074664</v>
      </c>
      <c r="L30">
        <v>54130443</v>
      </c>
      <c r="M30">
        <v>49243973</v>
      </c>
      <c r="N30">
        <v>29394908</v>
      </c>
      <c r="O30">
        <v>717279</v>
      </c>
      <c r="P30">
        <v>290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P31">
        <v>68589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449264949</v>
      </c>
      <c r="G32">
        <v>443306593</v>
      </c>
      <c r="H32">
        <v>439560117</v>
      </c>
      <c r="I32">
        <v>378992559</v>
      </c>
      <c r="J32">
        <v>311988535</v>
      </c>
      <c r="K32">
        <v>260830384</v>
      </c>
      <c r="L32">
        <v>219086280</v>
      </c>
      <c r="M32">
        <v>181044486</v>
      </c>
      <c r="N32">
        <v>71842680</v>
      </c>
      <c r="O32">
        <v>35270877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3304498264</v>
      </c>
      <c r="G33">
        <v>2957061425</v>
      </c>
      <c r="H33">
        <v>1619929725</v>
      </c>
      <c r="I33">
        <v>2019642441</v>
      </c>
      <c r="J33">
        <v>1723907298</v>
      </c>
      <c r="K33">
        <v>1783341417</v>
      </c>
      <c r="L33">
        <v>3413192314</v>
      </c>
      <c r="M33">
        <v>1428400253</v>
      </c>
      <c r="N33">
        <v>1239948072</v>
      </c>
      <c r="O33">
        <v>726152812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18287660510</v>
      </c>
      <c r="G34">
        <v>11323083931</v>
      </c>
      <c r="H34">
        <v>6829354262</v>
      </c>
      <c r="I34">
        <v>4978003786</v>
      </c>
      <c r="J34">
        <v>4287869345</v>
      </c>
      <c r="K34">
        <v>2322082266</v>
      </c>
      <c r="L34">
        <v>1078766239</v>
      </c>
      <c r="M34">
        <v>1099599847</v>
      </c>
      <c r="N34">
        <v>730919911</v>
      </c>
      <c r="O34">
        <v>915634848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3178646785</v>
      </c>
      <c r="G35">
        <v>2450315094</v>
      </c>
      <c r="H35">
        <v>1845278032</v>
      </c>
      <c r="I35">
        <v>2005854498</v>
      </c>
      <c r="J35">
        <v>1855010484</v>
      </c>
      <c r="K35">
        <v>1611632099</v>
      </c>
      <c r="L35">
        <v>3141762239</v>
      </c>
      <c r="M35">
        <v>3349567715</v>
      </c>
      <c r="N35">
        <v>2331813450</v>
      </c>
      <c r="O35">
        <v>1880283617</v>
      </c>
      <c r="P35">
        <v>8844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19351822927</v>
      </c>
      <c r="G36">
        <v>19460867809</v>
      </c>
      <c r="H36">
        <v>20456916625</v>
      </c>
      <c r="I36">
        <v>0</v>
      </c>
      <c r="J36">
        <v>18509160971</v>
      </c>
      <c r="K36">
        <v>17414272274</v>
      </c>
      <c r="L36">
        <v>16811072024</v>
      </c>
      <c r="M36">
        <v>16632115939</v>
      </c>
      <c r="N36">
        <v>15312304551</v>
      </c>
      <c r="O36">
        <v>14299836695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184673489</v>
      </c>
      <c r="G37">
        <v>177446854</v>
      </c>
      <c r="H37">
        <v>142877718</v>
      </c>
      <c r="I37">
        <v>163633457</v>
      </c>
      <c r="J37">
        <v>159039510</v>
      </c>
      <c r="K37">
        <v>212590353</v>
      </c>
      <c r="L37">
        <v>214431938</v>
      </c>
      <c r="M37">
        <v>223970179</v>
      </c>
      <c r="N37">
        <v>167617059</v>
      </c>
      <c r="O37">
        <v>125200030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66899597</v>
      </c>
      <c r="G38">
        <v>50919881</v>
      </c>
      <c r="H38">
        <v>88383535</v>
      </c>
      <c r="I38">
        <v>189160630</v>
      </c>
      <c r="J38">
        <v>74184538</v>
      </c>
      <c r="K38">
        <v>222007153</v>
      </c>
      <c r="L38">
        <v>11549810</v>
      </c>
      <c r="M38">
        <v>33757826</v>
      </c>
      <c r="N38">
        <v>10388135</v>
      </c>
      <c r="O38">
        <v>7145373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83806277</v>
      </c>
      <c r="G39">
        <v>109643988</v>
      </c>
      <c r="H39">
        <v>76119477</v>
      </c>
      <c r="I39">
        <v>150803586</v>
      </c>
      <c r="J39">
        <v>173611409</v>
      </c>
      <c r="K39">
        <v>144788267</v>
      </c>
      <c r="L39">
        <v>199121249</v>
      </c>
      <c r="M39">
        <v>0</v>
      </c>
      <c r="N39">
        <v>889474</v>
      </c>
      <c r="O39">
        <v>486386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11486481</v>
      </c>
      <c r="G40">
        <v>15152686</v>
      </c>
      <c r="H40">
        <v>41179589</v>
      </c>
      <c r="I40">
        <v>57674365</v>
      </c>
      <c r="J40">
        <v>62413452</v>
      </c>
      <c r="K40">
        <v>39249446</v>
      </c>
      <c r="L40">
        <v>52445887</v>
      </c>
      <c r="M40">
        <v>42243491</v>
      </c>
      <c r="N40">
        <v>37647640</v>
      </c>
      <c r="O40">
        <v>55092744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200552123</v>
      </c>
      <c r="G41">
        <v>155372955</v>
      </c>
      <c r="H41">
        <v>258533584</v>
      </c>
      <c r="I41">
        <v>285822392</v>
      </c>
      <c r="J41">
        <v>295180844</v>
      </c>
      <c r="K41">
        <v>166594448</v>
      </c>
      <c r="L41">
        <v>188009628</v>
      </c>
      <c r="M41">
        <v>207183090</v>
      </c>
      <c r="N41">
        <v>215064067</v>
      </c>
      <c r="O41">
        <v>219485297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11165822791</v>
      </c>
      <c r="G42">
        <v>11140112008</v>
      </c>
      <c r="H42">
        <v>11079258132</v>
      </c>
      <c r="I42">
        <v>9464138224</v>
      </c>
      <c r="J42">
        <v>7557569012</v>
      </c>
      <c r="K42">
        <v>6527971464</v>
      </c>
      <c r="L42">
        <v>4614627159</v>
      </c>
      <c r="M42">
        <v>4100567014</v>
      </c>
      <c r="N42">
        <v>3476013230</v>
      </c>
      <c r="O42">
        <v>2277506924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14395603333</v>
      </c>
      <c r="G43">
        <v>12526823964</v>
      </c>
      <c r="H43">
        <v>5476341449</v>
      </c>
      <c r="I43">
        <v>4880266411</v>
      </c>
      <c r="J43">
        <v>2585136409</v>
      </c>
      <c r="K43">
        <v>2812207076</v>
      </c>
      <c r="L43">
        <v>2406842464</v>
      </c>
      <c r="M43">
        <v>2455518627</v>
      </c>
      <c r="N43">
        <v>989750625</v>
      </c>
      <c r="O43">
        <v>609187873</v>
      </c>
      <c r="P43">
        <v>411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7226033556</v>
      </c>
      <c r="G44">
        <v>5897739606</v>
      </c>
      <c r="H44">
        <v>5503348796</v>
      </c>
      <c r="I44">
        <v>5598729998</v>
      </c>
      <c r="J44">
        <v>4761224245</v>
      </c>
      <c r="K44">
        <v>4808647464</v>
      </c>
      <c r="L44">
        <v>6059288039</v>
      </c>
      <c r="M44">
        <v>10377877256</v>
      </c>
      <c r="N44">
        <v>8731956957</v>
      </c>
      <c r="O44">
        <v>4106504763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119833951</v>
      </c>
      <c r="G45">
        <v>100097038</v>
      </c>
      <c r="H45">
        <v>108819719</v>
      </c>
      <c r="I45">
        <v>144426773</v>
      </c>
      <c r="J45">
        <v>118995157</v>
      </c>
      <c r="K45">
        <v>144684361</v>
      </c>
      <c r="L45">
        <v>122055691</v>
      </c>
      <c r="M45">
        <v>129493019</v>
      </c>
      <c r="N45">
        <v>133846922</v>
      </c>
      <c r="O45">
        <v>121679570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4281999289</v>
      </c>
      <c r="G46">
        <v>3301203687</v>
      </c>
      <c r="H46">
        <v>2503925432</v>
      </c>
      <c r="I46">
        <v>2587113901</v>
      </c>
      <c r="J46">
        <v>2348188107</v>
      </c>
      <c r="K46">
        <v>2327347743</v>
      </c>
      <c r="L46">
        <v>2091612041</v>
      </c>
      <c r="M46">
        <v>1742469068</v>
      </c>
      <c r="N46">
        <v>1390150119</v>
      </c>
      <c r="O46">
        <v>1243531528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538828653</v>
      </c>
      <c r="G47">
        <v>515767661</v>
      </c>
      <c r="H47">
        <v>521922598</v>
      </c>
      <c r="I47">
        <v>455231202</v>
      </c>
      <c r="J47">
        <v>493855375</v>
      </c>
      <c r="K47">
        <v>231862384</v>
      </c>
      <c r="L47">
        <v>352501550</v>
      </c>
      <c r="M47">
        <v>83643843</v>
      </c>
      <c r="N47">
        <v>72476019</v>
      </c>
      <c r="O47">
        <v>97471130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1232982001</v>
      </c>
      <c r="G48">
        <v>1185733497</v>
      </c>
      <c r="H48">
        <v>1189470761</v>
      </c>
      <c r="I48">
        <v>1066049245</v>
      </c>
      <c r="J48">
        <v>955786924</v>
      </c>
      <c r="K48">
        <v>894078016</v>
      </c>
      <c r="L48">
        <v>896584014</v>
      </c>
      <c r="M48">
        <v>597570549</v>
      </c>
      <c r="N48">
        <v>615052530</v>
      </c>
      <c r="O48">
        <v>886915918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281062080</v>
      </c>
      <c r="G49">
        <v>238449330</v>
      </c>
      <c r="H49">
        <v>193163743</v>
      </c>
      <c r="I49">
        <v>487049081</v>
      </c>
      <c r="J49">
        <v>385848021</v>
      </c>
      <c r="K49">
        <v>397395654</v>
      </c>
      <c r="L49">
        <v>276214404</v>
      </c>
      <c r="M49">
        <v>188376658</v>
      </c>
      <c r="N49">
        <v>145415676</v>
      </c>
      <c r="O49">
        <v>170891635</v>
      </c>
      <c r="P49">
        <v>224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279443590</v>
      </c>
      <c r="G50">
        <v>600634989</v>
      </c>
      <c r="H50">
        <v>766200785</v>
      </c>
      <c r="I50">
        <v>813245469</v>
      </c>
      <c r="J50">
        <v>859405149</v>
      </c>
      <c r="K50">
        <v>499252616</v>
      </c>
      <c r="L50">
        <v>359706633</v>
      </c>
      <c r="M50">
        <v>339657950</v>
      </c>
      <c r="N50">
        <v>466569719</v>
      </c>
      <c r="O50">
        <v>510232949</v>
      </c>
      <c r="P50">
        <v>432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K51">
        <v>356293263.13</v>
      </c>
      <c r="L51">
        <v>403257273.32999998</v>
      </c>
      <c r="M51">
        <v>168107947.13</v>
      </c>
      <c r="N51">
        <v>46057920.659999996</v>
      </c>
      <c r="O51">
        <v>35703179.75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5531466977</v>
      </c>
      <c r="G52">
        <v>8952266058</v>
      </c>
      <c r="H52">
        <v>13861748699</v>
      </c>
      <c r="I52">
        <v>17273234818</v>
      </c>
      <c r="J52">
        <v>17388097277</v>
      </c>
      <c r="K52">
        <v>15049323450</v>
      </c>
      <c r="L52">
        <v>9948959662</v>
      </c>
      <c r="M52">
        <v>8584497052</v>
      </c>
      <c r="N52">
        <v>4175354300</v>
      </c>
      <c r="O52">
        <v>3115571858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1135378543</v>
      </c>
      <c r="G53">
        <v>864902359</v>
      </c>
      <c r="H53">
        <v>726412624</v>
      </c>
      <c r="I53">
        <v>580236983</v>
      </c>
      <c r="J53">
        <v>664305374</v>
      </c>
      <c r="K53">
        <v>648062969</v>
      </c>
      <c r="L53">
        <v>578188847</v>
      </c>
      <c r="M53">
        <v>585141916</v>
      </c>
      <c r="N53">
        <v>667751192</v>
      </c>
      <c r="O53">
        <v>679941657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G54">
        <v>16052251719</v>
      </c>
      <c r="H54">
        <v>14811827639</v>
      </c>
      <c r="I54">
        <v>15270815876</v>
      </c>
      <c r="J54">
        <v>16485904029</v>
      </c>
      <c r="K54">
        <v>10598548786</v>
      </c>
      <c r="L54">
        <v>10149245311</v>
      </c>
      <c r="M54">
        <v>11933818561</v>
      </c>
      <c r="N54">
        <v>3952346461</v>
      </c>
      <c r="O54">
        <v>4165532408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H55">
        <v>955413340</v>
      </c>
      <c r="I55">
        <v>319754828</v>
      </c>
      <c r="J55">
        <v>169523255</v>
      </c>
      <c r="K55">
        <v>179871385</v>
      </c>
      <c r="L55">
        <v>253533471</v>
      </c>
      <c r="M55">
        <v>280294979</v>
      </c>
      <c r="N55">
        <v>344859787</v>
      </c>
      <c r="O55">
        <v>411333331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959257473</v>
      </c>
      <c r="G56">
        <v>1143706652</v>
      </c>
      <c r="H56">
        <v>1044578729</v>
      </c>
      <c r="I56">
        <v>900077780</v>
      </c>
      <c r="J56">
        <v>608591664</v>
      </c>
      <c r="K56">
        <v>455810779</v>
      </c>
      <c r="L56">
        <v>44776370</v>
      </c>
      <c r="M56">
        <v>44492269</v>
      </c>
      <c r="N56">
        <v>30842232</v>
      </c>
      <c r="O56">
        <v>45594535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458100566</v>
      </c>
      <c r="G57">
        <v>386854296</v>
      </c>
      <c r="H57">
        <v>381469570</v>
      </c>
      <c r="I57">
        <v>284199542</v>
      </c>
      <c r="J57">
        <v>246183026</v>
      </c>
      <c r="K57">
        <v>229258525</v>
      </c>
      <c r="L57">
        <v>267658056</v>
      </c>
      <c r="M57">
        <v>247975880</v>
      </c>
      <c r="N57">
        <v>95507723</v>
      </c>
      <c r="O57">
        <v>99489785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488344796</v>
      </c>
      <c r="G58">
        <v>720814479</v>
      </c>
      <c r="H58">
        <v>1020247600</v>
      </c>
      <c r="I58">
        <v>1387493399</v>
      </c>
      <c r="J58">
        <v>1182733731</v>
      </c>
      <c r="K58">
        <v>1528141004</v>
      </c>
      <c r="L58">
        <v>375628143</v>
      </c>
      <c r="M58">
        <v>483316764</v>
      </c>
      <c r="N58">
        <v>412863917</v>
      </c>
      <c r="O58">
        <v>500416938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1581099472</v>
      </c>
      <c r="G59">
        <v>1392040330</v>
      </c>
      <c r="H59">
        <v>1727827728</v>
      </c>
      <c r="I59">
        <v>1491602151</v>
      </c>
      <c r="J59">
        <v>1452177362</v>
      </c>
      <c r="K59">
        <v>1355804586</v>
      </c>
      <c r="L59">
        <v>744322126</v>
      </c>
      <c r="M59">
        <v>551959278</v>
      </c>
      <c r="N59">
        <v>612904170</v>
      </c>
      <c r="O59">
        <v>628786704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28976475</v>
      </c>
      <c r="I60">
        <v>5235587</v>
      </c>
      <c r="J60">
        <v>533640209</v>
      </c>
      <c r="K60">
        <v>1118066597</v>
      </c>
      <c r="L60">
        <v>551717104</v>
      </c>
      <c r="M60">
        <v>68972813</v>
      </c>
      <c r="N60">
        <v>62279710</v>
      </c>
      <c r="O60">
        <v>85180325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175268151</v>
      </c>
      <c r="G61">
        <v>190057124</v>
      </c>
      <c r="H61">
        <v>226589917</v>
      </c>
      <c r="I61">
        <v>237865807</v>
      </c>
      <c r="J61">
        <v>778588297</v>
      </c>
      <c r="K61">
        <v>623461420</v>
      </c>
      <c r="L61">
        <v>670459490</v>
      </c>
      <c r="M61">
        <v>468557191</v>
      </c>
      <c r="N61">
        <v>349158894</v>
      </c>
      <c r="O61">
        <v>243434646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143443990</v>
      </c>
      <c r="G62">
        <v>299041484</v>
      </c>
      <c r="H62">
        <v>428582607</v>
      </c>
      <c r="I62">
        <v>346867047</v>
      </c>
      <c r="J62">
        <v>367216239</v>
      </c>
      <c r="K62">
        <v>237096203</v>
      </c>
      <c r="L62">
        <v>197703177</v>
      </c>
      <c r="M62">
        <v>3017332</v>
      </c>
      <c r="N62">
        <v>1235142</v>
      </c>
      <c r="O62">
        <v>3141905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126034959</v>
      </c>
      <c r="G63">
        <v>52179700</v>
      </c>
      <c r="H63">
        <v>90874724</v>
      </c>
      <c r="I63">
        <v>20128553</v>
      </c>
      <c r="J63">
        <v>4927926</v>
      </c>
      <c r="K63">
        <v>49400</v>
      </c>
      <c r="L63">
        <v>8719022</v>
      </c>
      <c r="M63">
        <v>45127242</v>
      </c>
      <c r="N63">
        <v>54388912</v>
      </c>
      <c r="O63">
        <v>3970623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206888381</v>
      </c>
      <c r="G64">
        <v>201439239</v>
      </c>
      <c r="H64">
        <v>226811927</v>
      </c>
      <c r="I64">
        <v>234626755</v>
      </c>
      <c r="J64">
        <v>198153926</v>
      </c>
      <c r="K64">
        <v>181938560</v>
      </c>
      <c r="L64">
        <v>127174730</v>
      </c>
      <c r="M64">
        <v>120376046</v>
      </c>
      <c r="N64">
        <v>102381909</v>
      </c>
      <c r="O64">
        <v>84595111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6746658716</v>
      </c>
      <c r="G65">
        <v>5885569846</v>
      </c>
      <c r="H65">
        <v>6877921866</v>
      </c>
      <c r="I65">
        <v>6779297399</v>
      </c>
      <c r="J65">
        <v>5534916665</v>
      </c>
      <c r="K65">
        <v>4544683536</v>
      </c>
      <c r="L65">
        <v>3778486981</v>
      </c>
      <c r="M65">
        <v>2496890538</v>
      </c>
      <c r="N65">
        <v>1901316959</v>
      </c>
      <c r="O65">
        <v>1331822819</v>
      </c>
      <c r="P65">
        <v>941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115263439</v>
      </c>
      <c r="G66">
        <v>152142020</v>
      </c>
      <c r="H66">
        <v>153992679</v>
      </c>
      <c r="I66">
        <v>161987747</v>
      </c>
      <c r="J66">
        <v>144946121</v>
      </c>
      <c r="K66">
        <v>145429905</v>
      </c>
      <c r="L66">
        <v>173553140</v>
      </c>
      <c r="M66">
        <v>176609108</v>
      </c>
      <c r="N66">
        <v>93030305</v>
      </c>
      <c r="O66">
        <v>70131360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1934101654</v>
      </c>
      <c r="G67">
        <v>1830304501</v>
      </c>
      <c r="H67">
        <v>1700821853</v>
      </c>
      <c r="I67">
        <v>1539744071</v>
      </c>
      <c r="J67">
        <v>1628675299</v>
      </c>
      <c r="K67">
        <v>1548680978</v>
      </c>
      <c r="L67">
        <v>1012200430</v>
      </c>
      <c r="M67">
        <v>1054252871</v>
      </c>
      <c r="N67">
        <v>722041021</v>
      </c>
      <c r="O67">
        <v>431196840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66232094</v>
      </c>
      <c r="G68">
        <v>6069777</v>
      </c>
      <c r="H68">
        <v>20705670</v>
      </c>
      <c r="I68">
        <v>941879</v>
      </c>
      <c r="J68">
        <v>425962</v>
      </c>
      <c r="K68">
        <v>3976418</v>
      </c>
      <c r="L68">
        <v>4761277</v>
      </c>
      <c r="M68">
        <v>2535437</v>
      </c>
      <c r="N68">
        <v>175526</v>
      </c>
      <c r="O68">
        <v>1537687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124716185</v>
      </c>
      <c r="G69">
        <v>29148661</v>
      </c>
      <c r="H69">
        <v>66224774</v>
      </c>
      <c r="I69">
        <v>87189658</v>
      </c>
      <c r="J69">
        <v>38127146</v>
      </c>
      <c r="K69">
        <v>38155039</v>
      </c>
      <c r="L69">
        <v>43446198</v>
      </c>
      <c r="M69">
        <v>44510249</v>
      </c>
      <c r="N69">
        <v>21211429</v>
      </c>
      <c r="O69">
        <v>0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24744564</v>
      </c>
      <c r="G70">
        <v>54333621</v>
      </c>
      <c r="H70">
        <v>61758331</v>
      </c>
      <c r="I70">
        <v>47454267</v>
      </c>
      <c r="J70">
        <v>59178823</v>
      </c>
      <c r="K70">
        <v>46768371</v>
      </c>
      <c r="L70">
        <v>92509230</v>
      </c>
      <c r="M70">
        <v>192837370</v>
      </c>
      <c r="N70">
        <v>108222239</v>
      </c>
      <c r="O70">
        <v>59219623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1004296482</v>
      </c>
      <c r="G71">
        <v>1141207527</v>
      </c>
      <c r="H71">
        <v>1208559453</v>
      </c>
      <c r="I71">
        <v>1194980160</v>
      </c>
      <c r="J71">
        <v>1172937844</v>
      </c>
      <c r="K71">
        <v>925790609</v>
      </c>
      <c r="L71">
        <v>864652713</v>
      </c>
      <c r="M71">
        <v>624752892</v>
      </c>
      <c r="N71">
        <v>471142608</v>
      </c>
      <c r="O71">
        <v>322108131</v>
      </c>
      <c r="P71">
        <v>2030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H72">
        <v>425795108</v>
      </c>
      <c r="I72">
        <v>472519430</v>
      </c>
      <c r="J72">
        <v>256956272</v>
      </c>
      <c r="K72">
        <v>186806568</v>
      </c>
      <c r="L72">
        <v>399274339</v>
      </c>
      <c r="M72">
        <v>44898233</v>
      </c>
      <c r="N72">
        <v>7512142</v>
      </c>
      <c r="O72">
        <v>7167545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254916413.53</v>
      </c>
      <c r="L73">
        <v>294010929.70999998</v>
      </c>
      <c r="M73">
        <v>308310101.10000002</v>
      </c>
      <c r="N73">
        <v>645797448.05999994</v>
      </c>
      <c r="O73">
        <v>720400372.52999997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51541441</v>
      </c>
      <c r="G74">
        <v>20437101</v>
      </c>
      <c r="H74">
        <v>21999035</v>
      </c>
      <c r="I74">
        <v>8585677</v>
      </c>
      <c r="J74">
        <v>11872608</v>
      </c>
      <c r="K74">
        <v>7953110</v>
      </c>
      <c r="L74">
        <v>82937143</v>
      </c>
      <c r="M74">
        <v>101693296</v>
      </c>
      <c r="N74">
        <v>110678122</v>
      </c>
      <c r="O74">
        <v>220686514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12660774219</v>
      </c>
      <c r="G75">
        <v>12615980927</v>
      </c>
      <c r="H75">
        <v>12124898289</v>
      </c>
      <c r="I75">
        <v>11288506277</v>
      </c>
      <c r="J75">
        <v>11454271962</v>
      </c>
      <c r="K75">
        <v>8250131184</v>
      </c>
      <c r="L75">
        <v>8803977088</v>
      </c>
      <c r="M75">
        <v>7947465920</v>
      </c>
      <c r="N75">
        <v>5364084563</v>
      </c>
      <c r="O75">
        <v>3654589255</v>
      </c>
      <c r="P75">
        <v>1281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G76">
        <v>2001244363</v>
      </c>
      <c r="H76">
        <v>3133361748</v>
      </c>
      <c r="I76">
        <v>3592864845</v>
      </c>
      <c r="J76">
        <v>2350796820</v>
      </c>
      <c r="K76">
        <v>2198262068</v>
      </c>
      <c r="L76">
        <v>3203384</v>
      </c>
      <c r="M76">
        <v>3767490</v>
      </c>
      <c r="N76">
        <v>11523919</v>
      </c>
      <c r="O76">
        <v>7429386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1423959</v>
      </c>
      <c r="G77">
        <v>2937979</v>
      </c>
      <c r="H77">
        <v>5990343</v>
      </c>
      <c r="I77">
        <v>12705180</v>
      </c>
      <c r="J77">
        <v>9556455</v>
      </c>
      <c r="K77">
        <v>4803371</v>
      </c>
      <c r="L77">
        <v>6142111</v>
      </c>
      <c r="M77">
        <v>12897500</v>
      </c>
      <c r="N77">
        <v>6591024</v>
      </c>
      <c r="O77">
        <v>15260914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K78">
        <v>9189668.9000000004</v>
      </c>
      <c r="L78">
        <v>9323142.0999999996</v>
      </c>
      <c r="M78">
        <v>9423012.1999999993</v>
      </c>
      <c r="N78">
        <v>9386275.6999999993</v>
      </c>
      <c r="O78">
        <v>9128011.2699999996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144956671</v>
      </c>
      <c r="G79">
        <v>178344705</v>
      </c>
      <c r="H79">
        <v>133231455</v>
      </c>
      <c r="I79">
        <v>222137338</v>
      </c>
      <c r="J79">
        <v>1386295428</v>
      </c>
      <c r="K79">
        <v>1486040194</v>
      </c>
      <c r="L79">
        <v>424519605</v>
      </c>
      <c r="M79">
        <v>56653282</v>
      </c>
      <c r="N79">
        <v>62035674</v>
      </c>
      <c r="O79">
        <v>103624256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319122308</v>
      </c>
      <c r="G80">
        <v>253443297</v>
      </c>
      <c r="H80">
        <v>217371528</v>
      </c>
      <c r="I80">
        <v>224094005</v>
      </c>
      <c r="J80">
        <v>157019693</v>
      </c>
      <c r="K80">
        <v>6341811</v>
      </c>
      <c r="L80">
        <v>133474075</v>
      </c>
      <c r="M80">
        <v>130849685</v>
      </c>
      <c r="N80">
        <v>989500</v>
      </c>
      <c r="O80">
        <v>1849992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337876262</v>
      </c>
      <c r="G81">
        <v>95662020</v>
      </c>
      <c r="H81">
        <v>24691494</v>
      </c>
      <c r="I81">
        <v>8998801</v>
      </c>
      <c r="J81">
        <v>11424760</v>
      </c>
      <c r="K81">
        <v>35322136</v>
      </c>
      <c r="L81">
        <v>26458416</v>
      </c>
      <c r="M81">
        <v>40849128</v>
      </c>
      <c r="N81">
        <v>43764178</v>
      </c>
      <c r="O81">
        <v>48093505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954547839</v>
      </c>
      <c r="G82">
        <v>2261650727</v>
      </c>
      <c r="H82">
        <v>3791036460</v>
      </c>
      <c r="I82">
        <v>4247476322</v>
      </c>
      <c r="J82">
        <v>3027262461</v>
      </c>
      <c r="K82">
        <v>6055943467</v>
      </c>
      <c r="L82">
        <v>6055099793</v>
      </c>
      <c r="M82">
        <v>2947748812</v>
      </c>
      <c r="N82">
        <v>3788846630</v>
      </c>
      <c r="O82">
        <v>774907599</v>
      </c>
      <c r="P82">
        <v>390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105976687</v>
      </c>
      <c r="G83">
        <v>128148481</v>
      </c>
      <c r="H83">
        <v>117941921</v>
      </c>
      <c r="I83">
        <v>102388782</v>
      </c>
      <c r="J83">
        <v>127842743</v>
      </c>
      <c r="K83">
        <v>66551194</v>
      </c>
      <c r="L83">
        <v>33435323</v>
      </c>
      <c r="M83">
        <v>17497222</v>
      </c>
      <c r="N83">
        <v>15162325</v>
      </c>
      <c r="O83">
        <v>22636171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2600069047</v>
      </c>
      <c r="G84">
        <v>2027015717</v>
      </c>
      <c r="H84">
        <v>1657281086</v>
      </c>
      <c r="I84">
        <v>1365348936</v>
      </c>
      <c r="J84">
        <v>1111934681</v>
      </c>
      <c r="K84">
        <v>1068868259</v>
      </c>
      <c r="L84">
        <v>2224025729</v>
      </c>
      <c r="M84">
        <v>1225426964</v>
      </c>
      <c r="N84">
        <v>1133232069</v>
      </c>
      <c r="O84">
        <v>1084398134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112126677</v>
      </c>
      <c r="G85">
        <v>69927079</v>
      </c>
      <c r="H85">
        <v>79444245</v>
      </c>
      <c r="I85">
        <v>81717347</v>
      </c>
      <c r="J85">
        <v>79826270</v>
      </c>
      <c r="K85">
        <v>98652969</v>
      </c>
      <c r="L85">
        <v>73917914</v>
      </c>
      <c r="M85">
        <v>74039236</v>
      </c>
      <c r="N85">
        <v>55221173</v>
      </c>
      <c r="O85">
        <v>36034395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5438405381</v>
      </c>
      <c r="G86">
        <v>6097733907</v>
      </c>
      <c r="H86">
        <v>6836901179</v>
      </c>
      <c r="I86">
        <v>8146589520</v>
      </c>
      <c r="J86">
        <v>7150244020</v>
      </c>
      <c r="K86">
        <v>7115732144</v>
      </c>
      <c r="L86">
        <v>8008046817</v>
      </c>
      <c r="M86">
        <v>6780758988</v>
      </c>
      <c r="N86">
        <v>5659460122</v>
      </c>
      <c r="O86">
        <v>4559797612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23739546</v>
      </c>
      <c r="G87">
        <v>13935633</v>
      </c>
      <c r="H87">
        <v>14286101</v>
      </c>
      <c r="I87">
        <v>4613436</v>
      </c>
      <c r="J87">
        <v>20537140</v>
      </c>
      <c r="K87">
        <v>3904534</v>
      </c>
      <c r="L87">
        <v>13566715</v>
      </c>
      <c r="M87">
        <v>7839446</v>
      </c>
      <c r="N87">
        <v>2679113</v>
      </c>
      <c r="O87">
        <v>2764090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N88">
        <v>461603381.91000003</v>
      </c>
      <c r="O88">
        <v>4005891102.8899999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134791372</v>
      </c>
      <c r="G89">
        <v>123114270</v>
      </c>
      <c r="H89">
        <v>154364557</v>
      </c>
      <c r="I89">
        <v>140076303</v>
      </c>
      <c r="J89">
        <v>161220792</v>
      </c>
      <c r="K89">
        <v>177541168</v>
      </c>
      <c r="L89">
        <v>206495704</v>
      </c>
      <c r="M89">
        <v>240303211</v>
      </c>
      <c r="N89">
        <v>200358463</v>
      </c>
      <c r="O89">
        <v>167569605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47463533395</v>
      </c>
      <c r="G90">
        <v>43602501087</v>
      </c>
      <c r="H90">
        <v>41340635444</v>
      </c>
      <c r="I90">
        <v>40129806051</v>
      </c>
      <c r="J90">
        <v>34667807134</v>
      </c>
      <c r="K90">
        <v>30662080933</v>
      </c>
      <c r="L90">
        <v>29332370953</v>
      </c>
      <c r="M90">
        <v>20696097315</v>
      </c>
      <c r="N90">
        <v>19244289150</v>
      </c>
      <c r="O90">
        <v>15427853242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1037942803</v>
      </c>
      <c r="G91">
        <v>953395831</v>
      </c>
      <c r="H91">
        <v>983270241</v>
      </c>
      <c r="I91">
        <v>1182184904</v>
      </c>
      <c r="J91">
        <v>1125440298</v>
      </c>
      <c r="K91">
        <v>779250603</v>
      </c>
      <c r="L91">
        <v>673081237</v>
      </c>
      <c r="M91">
        <v>620965035</v>
      </c>
      <c r="N91">
        <v>560538441</v>
      </c>
      <c r="O91">
        <v>551385147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18440574</v>
      </c>
      <c r="G92">
        <v>0</v>
      </c>
      <c r="H92">
        <v>50774379</v>
      </c>
      <c r="I92">
        <v>145538516</v>
      </c>
      <c r="J92">
        <v>16708979</v>
      </c>
      <c r="K92">
        <v>106858984</v>
      </c>
      <c r="L92">
        <v>14259</v>
      </c>
      <c r="M92">
        <v>41959175</v>
      </c>
      <c r="N92">
        <v>8652</v>
      </c>
      <c r="O92">
        <v>41862875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53046678</v>
      </c>
      <c r="G93">
        <v>54248261</v>
      </c>
      <c r="H93">
        <v>55557758</v>
      </c>
      <c r="I93">
        <v>55483047</v>
      </c>
      <c r="J93">
        <v>76351171</v>
      </c>
      <c r="K93">
        <v>38867954</v>
      </c>
      <c r="L93">
        <v>49573590</v>
      </c>
      <c r="M93">
        <v>42318852</v>
      </c>
      <c r="N93">
        <v>49793764</v>
      </c>
      <c r="O93">
        <v>45304013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1269426007</v>
      </c>
      <c r="G94">
        <v>1298033340</v>
      </c>
      <c r="H94">
        <v>1294064999</v>
      </c>
      <c r="I94">
        <v>1231424710</v>
      </c>
      <c r="J94">
        <v>980757629</v>
      </c>
      <c r="K94">
        <v>627480955</v>
      </c>
      <c r="L94">
        <v>716321838</v>
      </c>
      <c r="M94">
        <v>607811575</v>
      </c>
      <c r="N94">
        <v>463311603</v>
      </c>
      <c r="O94">
        <v>487229314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F95">
        <v>114859100</v>
      </c>
      <c r="G95">
        <v>90944642</v>
      </c>
      <c r="H95">
        <v>60446787</v>
      </c>
      <c r="I95">
        <v>56319065</v>
      </c>
      <c r="J95">
        <v>50962140</v>
      </c>
      <c r="K95">
        <v>41421018</v>
      </c>
      <c r="L95">
        <v>0</v>
      </c>
      <c r="M95">
        <v>0</v>
      </c>
      <c r="N95">
        <v>0</v>
      </c>
      <c r="O95">
        <v>0</v>
      </c>
      <c r="P95">
        <v>1128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1542855595</v>
      </c>
      <c r="G96">
        <v>1213697065</v>
      </c>
      <c r="H96">
        <v>677506332</v>
      </c>
      <c r="I96">
        <v>617697361</v>
      </c>
      <c r="J96">
        <v>613308970</v>
      </c>
      <c r="K96">
        <v>344781272</v>
      </c>
      <c r="L96">
        <v>482814746</v>
      </c>
      <c r="M96">
        <v>750939040</v>
      </c>
      <c r="N96">
        <v>560477788</v>
      </c>
      <c r="O96">
        <v>495663846</v>
      </c>
      <c r="P96">
        <v>339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3840758619</v>
      </c>
      <c r="G97">
        <v>2988226043</v>
      </c>
      <c r="H97">
        <v>1934150724</v>
      </c>
      <c r="I97">
        <v>1292666438</v>
      </c>
      <c r="J97">
        <v>1438654313</v>
      </c>
      <c r="K97">
        <v>922078089</v>
      </c>
      <c r="L97">
        <v>964512725</v>
      </c>
      <c r="M97">
        <v>1565578673</v>
      </c>
      <c r="N97">
        <v>702019800</v>
      </c>
      <c r="O97">
        <v>475183659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65303985</v>
      </c>
      <c r="G98">
        <v>67377822</v>
      </c>
      <c r="H98">
        <v>130904979</v>
      </c>
      <c r="I98">
        <v>146026250</v>
      </c>
      <c r="J98">
        <v>280305041</v>
      </c>
      <c r="K98">
        <v>291064320</v>
      </c>
      <c r="L98">
        <v>240615946</v>
      </c>
      <c r="M98">
        <v>285579373</v>
      </c>
      <c r="N98">
        <v>320774389</v>
      </c>
      <c r="O98">
        <v>244550170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28350965</v>
      </c>
      <c r="G99">
        <v>29371599</v>
      </c>
      <c r="H99">
        <v>27823670</v>
      </c>
      <c r="I99">
        <v>17551889</v>
      </c>
      <c r="J99">
        <v>12499637</v>
      </c>
      <c r="K99">
        <v>9537222</v>
      </c>
      <c r="L99">
        <v>6641990</v>
      </c>
      <c r="M99">
        <v>270265</v>
      </c>
      <c r="N99">
        <v>235431</v>
      </c>
      <c r="O99">
        <v>467000</v>
      </c>
      <c r="P99">
        <v>136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960138884</v>
      </c>
      <c r="G100">
        <v>988615116</v>
      </c>
      <c r="H100">
        <v>567692572</v>
      </c>
      <c r="I100">
        <v>411861229</v>
      </c>
      <c r="J100">
        <v>432912146</v>
      </c>
      <c r="K100">
        <v>370170538</v>
      </c>
      <c r="L100">
        <v>321633532</v>
      </c>
      <c r="M100">
        <v>300674322</v>
      </c>
      <c r="N100">
        <v>259532600</v>
      </c>
      <c r="O100">
        <v>222009385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974000000</v>
      </c>
      <c r="G101">
        <v>1124000000</v>
      </c>
      <c r="H101">
        <v>1717000000</v>
      </c>
      <c r="I101">
        <v>1432000000</v>
      </c>
      <c r="J101">
        <v>2124000000</v>
      </c>
      <c r="K101">
        <v>2630000000</v>
      </c>
      <c r="L101">
        <v>2867000000</v>
      </c>
      <c r="M101">
        <v>3862000000</v>
      </c>
      <c r="N101">
        <v>3524182000</v>
      </c>
      <c r="O101">
        <v>2956181000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721901670</v>
      </c>
      <c r="G102">
        <v>613448700</v>
      </c>
      <c r="H102">
        <v>86733293</v>
      </c>
      <c r="I102">
        <v>68313041</v>
      </c>
      <c r="J102">
        <v>59685250</v>
      </c>
      <c r="K102">
        <v>40411235</v>
      </c>
      <c r="L102">
        <v>31767826</v>
      </c>
      <c r="M102">
        <v>22015149</v>
      </c>
      <c r="N102">
        <v>19631709</v>
      </c>
      <c r="O102">
        <v>31695196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420958702</v>
      </c>
      <c r="G103">
        <v>890970970</v>
      </c>
      <c r="H103">
        <v>662252340</v>
      </c>
      <c r="I103">
        <v>404884543</v>
      </c>
      <c r="J103">
        <v>497871030</v>
      </c>
      <c r="K103">
        <v>794278987</v>
      </c>
      <c r="L103">
        <v>589810320</v>
      </c>
      <c r="M103">
        <v>821755024</v>
      </c>
      <c r="N103">
        <v>211404217</v>
      </c>
      <c r="O103">
        <v>124567524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1663464732</v>
      </c>
      <c r="G104">
        <v>1622652717</v>
      </c>
      <c r="H104">
        <v>2645976600</v>
      </c>
      <c r="I104">
        <v>2512911327</v>
      </c>
      <c r="J104">
        <v>2413442033</v>
      </c>
      <c r="K104">
        <v>2695624577</v>
      </c>
      <c r="L104">
        <v>2704682483</v>
      </c>
      <c r="M104">
        <v>2387289781</v>
      </c>
      <c r="N104">
        <v>1969983402</v>
      </c>
      <c r="O104">
        <v>1101475530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242821399</v>
      </c>
      <c r="G105">
        <v>334652065</v>
      </c>
      <c r="H105">
        <v>373647625</v>
      </c>
      <c r="I105">
        <v>398071170</v>
      </c>
      <c r="J105">
        <v>642521957</v>
      </c>
      <c r="K105">
        <v>729844035</v>
      </c>
      <c r="L105">
        <v>683514975</v>
      </c>
      <c r="M105">
        <v>372521500</v>
      </c>
      <c r="N105">
        <v>216087600</v>
      </c>
      <c r="O105">
        <v>152304346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224517722</v>
      </c>
      <c r="G106">
        <v>242675051</v>
      </c>
      <c r="H106">
        <v>289502146</v>
      </c>
      <c r="I106">
        <v>267826357</v>
      </c>
      <c r="J106">
        <v>309385342</v>
      </c>
      <c r="K106">
        <v>390455626</v>
      </c>
      <c r="L106">
        <v>803860156</v>
      </c>
      <c r="M106">
        <v>780298445</v>
      </c>
      <c r="N106">
        <v>624125593</v>
      </c>
      <c r="O106">
        <v>551578319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1400216125</v>
      </c>
      <c r="G107">
        <v>1442424308</v>
      </c>
      <c r="H107">
        <v>1935531877</v>
      </c>
      <c r="I107">
        <v>1789516680</v>
      </c>
      <c r="J107">
        <v>1874598163</v>
      </c>
      <c r="K107">
        <v>1612505831</v>
      </c>
      <c r="L107">
        <v>965590913</v>
      </c>
      <c r="M107">
        <v>1030195738</v>
      </c>
      <c r="N107">
        <v>279312829</v>
      </c>
      <c r="O107">
        <v>195949067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785216162</v>
      </c>
      <c r="G108">
        <v>903694490</v>
      </c>
      <c r="H108">
        <v>1041724375</v>
      </c>
      <c r="I108">
        <v>1303983785</v>
      </c>
      <c r="J108">
        <v>724794246</v>
      </c>
      <c r="K108">
        <v>788404801</v>
      </c>
      <c r="L108">
        <v>885689756</v>
      </c>
      <c r="M108">
        <v>923519927</v>
      </c>
      <c r="N108">
        <v>875597658</v>
      </c>
      <c r="O108">
        <v>688496318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99880813</v>
      </c>
      <c r="G109">
        <v>119045925</v>
      </c>
      <c r="H109">
        <v>82072011</v>
      </c>
      <c r="I109">
        <v>72779738</v>
      </c>
      <c r="J109">
        <v>198489204</v>
      </c>
      <c r="K109">
        <v>55638649</v>
      </c>
      <c r="L109">
        <v>138875714</v>
      </c>
      <c r="M109">
        <v>37663539</v>
      </c>
      <c r="N109">
        <v>30394602</v>
      </c>
      <c r="O109">
        <v>19730538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529587306</v>
      </c>
      <c r="G110">
        <v>199686975</v>
      </c>
      <c r="H110">
        <v>181792199</v>
      </c>
      <c r="I110">
        <v>230124229</v>
      </c>
      <c r="J110">
        <v>141121669</v>
      </c>
      <c r="K110">
        <v>93354595</v>
      </c>
      <c r="L110">
        <v>80643620</v>
      </c>
      <c r="M110">
        <v>82061475</v>
      </c>
      <c r="N110">
        <v>157404143</v>
      </c>
      <c r="O110">
        <v>44640342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527986057</v>
      </c>
      <c r="G111">
        <v>85861263</v>
      </c>
      <c r="H111">
        <v>222388508</v>
      </c>
      <c r="I111">
        <v>166071904</v>
      </c>
      <c r="J111">
        <v>139159087</v>
      </c>
      <c r="K111">
        <v>149746263</v>
      </c>
      <c r="L111">
        <v>203686646</v>
      </c>
      <c r="M111">
        <v>48171752</v>
      </c>
      <c r="N111">
        <v>73788416</v>
      </c>
      <c r="O111">
        <v>51157881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103624899</v>
      </c>
      <c r="G112">
        <v>103765189</v>
      </c>
      <c r="H112">
        <v>134608312</v>
      </c>
      <c r="I112">
        <v>140042420</v>
      </c>
      <c r="J112">
        <v>142195308</v>
      </c>
      <c r="K112">
        <v>108284727</v>
      </c>
      <c r="L112">
        <v>79544064</v>
      </c>
      <c r="M112">
        <v>79884972</v>
      </c>
      <c r="N112">
        <v>73644700</v>
      </c>
      <c r="O112">
        <v>62418986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697165170</v>
      </c>
      <c r="G113">
        <v>511972952</v>
      </c>
      <c r="H113">
        <v>469837486</v>
      </c>
      <c r="I113">
        <v>467933645</v>
      </c>
      <c r="J113">
        <v>451172031</v>
      </c>
      <c r="K113">
        <v>315114366</v>
      </c>
      <c r="L113">
        <v>364291285</v>
      </c>
      <c r="M113">
        <v>474227704</v>
      </c>
      <c r="N113">
        <v>272213174</v>
      </c>
      <c r="O113">
        <v>220429874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1795991749</v>
      </c>
      <c r="G114">
        <v>1702648062</v>
      </c>
      <c r="H114">
        <v>1826590556</v>
      </c>
      <c r="I114">
        <v>1475885788</v>
      </c>
      <c r="J114">
        <v>1282531904</v>
      </c>
      <c r="K114">
        <v>905125172</v>
      </c>
      <c r="L114">
        <v>837755552</v>
      </c>
      <c r="M114">
        <v>1000398915</v>
      </c>
      <c r="N114">
        <v>804611733</v>
      </c>
      <c r="O114">
        <v>614383375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180842488</v>
      </c>
      <c r="G115">
        <v>239985024</v>
      </c>
      <c r="H115">
        <v>65016702</v>
      </c>
      <c r="I115">
        <v>92375118</v>
      </c>
      <c r="J115">
        <v>85459062</v>
      </c>
      <c r="K115">
        <v>195255271</v>
      </c>
      <c r="L115">
        <v>79757898</v>
      </c>
      <c r="M115">
        <v>112860559</v>
      </c>
      <c r="N115">
        <v>44778274</v>
      </c>
      <c r="O115">
        <v>17905664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5324894354</v>
      </c>
      <c r="G116">
        <v>5470209057</v>
      </c>
      <c r="H116">
        <v>5179622185</v>
      </c>
      <c r="I116">
        <v>748570</v>
      </c>
      <c r="J116">
        <v>4863799</v>
      </c>
      <c r="K116">
        <v>10654462</v>
      </c>
      <c r="L116">
        <v>10444991</v>
      </c>
      <c r="M116">
        <v>0</v>
      </c>
      <c r="N116">
        <v>0</v>
      </c>
      <c r="O116">
        <v>0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109244674</v>
      </c>
      <c r="G117">
        <v>114510542</v>
      </c>
      <c r="H117">
        <v>58261577</v>
      </c>
      <c r="I117">
        <v>67050347</v>
      </c>
      <c r="J117">
        <v>26764864</v>
      </c>
      <c r="K117">
        <v>51244805</v>
      </c>
      <c r="L117">
        <v>59946543</v>
      </c>
      <c r="M117">
        <v>40471772</v>
      </c>
      <c r="N117">
        <v>48851515</v>
      </c>
      <c r="O117">
        <v>63329969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5769842640</v>
      </c>
      <c r="G118">
        <v>4566163178</v>
      </c>
      <c r="H118">
        <v>5313344978</v>
      </c>
      <c r="I118">
        <v>3925137063</v>
      </c>
      <c r="J118">
        <v>2507640966</v>
      </c>
      <c r="K118">
        <v>2838810662</v>
      </c>
      <c r="L118">
        <v>2144570378</v>
      </c>
      <c r="M118">
        <v>1842741860</v>
      </c>
      <c r="N118">
        <v>841396297</v>
      </c>
      <c r="O118">
        <v>722066315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306923859</v>
      </c>
      <c r="G119">
        <v>382554419</v>
      </c>
      <c r="H119">
        <v>217711209</v>
      </c>
      <c r="I119">
        <v>266894871</v>
      </c>
      <c r="J119">
        <v>282279031</v>
      </c>
      <c r="K119">
        <v>306652726</v>
      </c>
      <c r="L119">
        <v>278314690</v>
      </c>
      <c r="M119">
        <v>169059747</v>
      </c>
      <c r="N119">
        <v>130768960</v>
      </c>
      <c r="O119">
        <v>123356706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574970688</v>
      </c>
      <c r="G120">
        <v>577358231</v>
      </c>
      <c r="H120">
        <v>1193440982</v>
      </c>
      <c r="I120">
        <v>1981028118</v>
      </c>
      <c r="J120">
        <v>984004089</v>
      </c>
      <c r="K120">
        <v>519234418</v>
      </c>
      <c r="L120">
        <v>401431559</v>
      </c>
      <c r="M120">
        <v>10394678</v>
      </c>
      <c r="N120">
        <v>15656086</v>
      </c>
      <c r="O120">
        <v>9826812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36230035</v>
      </c>
      <c r="G121">
        <v>53894343</v>
      </c>
      <c r="H121">
        <v>57622319</v>
      </c>
      <c r="I121">
        <v>73533933</v>
      </c>
      <c r="J121">
        <v>61212116</v>
      </c>
      <c r="K121">
        <v>45458404</v>
      </c>
      <c r="L121">
        <v>46108378</v>
      </c>
      <c r="M121">
        <v>61058976</v>
      </c>
      <c r="N121">
        <v>71304662</v>
      </c>
      <c r="O121">
        <v>96299477</v>
      </c>
      <c r="P121">
        <v>75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2104931738</v>
      </c>
      <c r="G122">
        <v>2191540174</v>
      </c>
      <c r="H122">
        <v>2345057775</v>
      </c>
      <c r="I122">
        <v>2189497424</v>
      </c>
      <c r="J122">
        <v>1828626987</v>
      </c>
      <c r="K122">
        <v>1557028523</v>
      </c>
      <c r="L122">
        <v>1367488926</v>
      </c>
      <c r="M122">
        <v>1262720923</v>
      </c>
      <c r="N122">
        <v>1121466003</v>
      </c>
      <c r="O122">
        <v>924841143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1450459</v>
      </c>
      <c r="G123">
        <v>1465100</v>
      </c>
      <c r="H123">
        <v>1472420</v>
      </c>
      <c r="I123">
        <v>7700282</v>
      </c>
      <c r="J123">
        <v>232789819</v>
      </c>
      <c r="K123">
        <v>370639750</v>
      </c>
      <c r="L123">
        <v>624543410</v>
      </c>
      <c r="M123">
        <v>609757873</v>
      </c>
      <c r="N123">
        <v>12337286</v>
      </c>
      <c r="O123">
        <v>20142667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898520928</v>
      </c>
      <c r="G124">
        <v>868181010</v>
      </c>
      <c r="H124">
        <v>954333300</v>
      </c>
      <c r="I124">
        <v>786910749</v>
      </c>
      <c r="J124">
        <v>613620043</v>
      </c>
      <c r="K124">
        <v>664408717</v>
      </c>
      <c r="L124">
        <v>551008257</v>
      </c>
      <c r="M124">
        <v>533570057</v>
      </c>
      <c r="N124">
        <v>558875741</v>
      </c>
      <c r="O124">
        <v>411878726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5372732103</v>
      </c>
      <c r="G125">
        <v>4120356934</v>
      </c>
      <c r="H125">
        <v>3913124469</v>
      </c>
      <c r="I125">
        <v>4687262234</v>
      </c>
      <c r="J125">
        <v>4588651853</v>
      </c>
      <c r="K125">
        <v>3942715655</v>
      </c>
      <c r="L125">
        <v>3147709231</v>
      </c>
      <c r="M125">
        <v>2933192082</v>
      </c>
      <c r="N125">
        <v>2682932283</v>
      </c>
      <c r="O125">
        <v>2528022920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G126">
        <v>5867677</v>
      </c>
      <c r="H126">
        <v>7516191</v>
      </c>
      <c r="I126">
        <v>0</v>
      </c>
      <c r="J126">
        <v>320712</v>
      </c>
      <c r="K126">
        <v>338529</v>
      </c>
      <c r="L126">
        <v>0</v>
      </c>
      <c r="M126">
        <v>0</v>
      </c>
      <c r="N126">
        <v>2155338</v>
      </c>
      <c r="O126">
        <v>6821508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G127">
        <v>79774775</v>
      </c>
      <c r="H127">
        <v>61456751</v>
      </c>
      <c r="I127">
        <v>301998818</v>
      </c>
      <c r="J127">
        <v>532530265</v>
      </c>
      <c r="K127">
        <v>267094896</v>
      </c>
      <c r="L127">
        <v>5910929</v>
      </c>
      <c r="M127">
        <v>3152539</v>
      </c>
      <c r="N127">
        <v>15439677</v>
      </c>
      <c r="O127">
        <v>13032102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224279882</v>
      </c>
      <c r="G128">
        <v>136690918</v>
      </c>
      <c r="H128">
        <v>232833871</v>
      </c>
      <c r="I128">
        <v>283022307</v>
      </c>
      <c r="J128">
        <v>188134861</v>
      </c>
      <c r="K128">
        <v>247162353</v>
      </c>
      <c r="L128">
        <v>190863005</v>
      </c>
      <c r="M128">
        <v>195294754</v>
      </c>
      <c r="N128">
        <v>185511893</v>
      </c>
      <c r="O128">
        <v>180046648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20574720</v>
      </c>
      <c r="G129">
        <v>16700392</v>
      </c>
      <c r="H129">
        <v>27632593</v>
      </c>
      <c r="I129">
        <v>16062440</v>
      </c>
      <c r="J129">
        <v>1237144</v>
      </c>
      <c r="K129">
        <v>2028623</v>
      </c>
      <c r="L129">
        <v>8591340</v>
      </c>
      <c r="M129">
        <v>11982925</v>
      </c>
      <c r="N129">
        <v>11654080</v>
      </c>
      <c r="O129">
        <v>14201572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3828329078</v>
      </c>
      <c r="G130">
        <v>5044862639</v>
      </c>
      <c r="H130">
        <v>1490310250</v>
      </c>
      <c r="I130">
        <v>1626368515</v>
      </c>
      <c r="J130">
        <v>1176781494</v>
      </c>
      <c r="K130">
        <v>1134840329</v>
      </c>
      <c r="L130">
        <v>1631955908</v>
      </c>
      <c r="M130">
        <v>1993275101</v>
      </c>
      <c r="N130">
        <v>1986306878</v>
      </c>
      <c r="O130">
        <v>797628527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1790716256</v>
      </c>
      <c r="G131">
        <v>1678489605</v>
      </c>
      <c r="H131">
        <v>1677422881</v>
      </c>
      <c r="I131">
        <v>1857088858</v>
      </c>
      <c r="J131">
        <v>2038186572</v>
      </c>
      <c r="K131">
        <v>1775044935</v>
      </c>
      <c r="L131">
        <v>1519142759</v>
      </c>
      <c r="M131">
        <v>1186918146</v>
      </c>
      <c r="N131">
        <v>1050743868</v>
      </c>
      <c r="O131">
        <v>1114427385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541588761</v>
      </c>
      <c r="G132">
        <v>600795923</v>
      </c>
      <c r="H132">
        <v>443055711</v>
      </c>
      <c r="I132">
        <v>434085581</v>
      </c>
      <c r="J132">
        <v>420967891</v>
      </c>
      <c r="K132">
        <v>45537161</v>
      </c>
      <c r="L132">
        <v>55205904</v>
      </c>
      <c r="M132">
        <v>85903206</v>
      </c>
      <c r="N132">
        <v>164781355</v>
      </c>
      <c r="O132">
        <v>168968971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8226450711</v>
      </c>
      <c r="G133">
        <v>4559457018</v>
      </c>
      <c r="H133">
        <v>6979249804</v>
      </c>
      <c r="I133">
        <v>6729264905</v>
      </c>
      <c r="J133">
        <v>3269667342</v>
      </c>
      <c r="K133">
        <v>3223736884</v>
      </c>
      <c r="L133">
        <v>2861404545</v>
      </c>
      <c r="M133">
        <v>2983251509</v>
      </c>
      <c r="N133">
        <v>4851471543</v>
      </c>
      <c r="O133">
        <v>1780308144</v>
      </c>
      <c r="P133">
        <v>2153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F134">
        <v>0</v>
      </c>
      <c r="G134">
        <v>169069306</v>
      </c>
      <c r="H134">
        <v>169512104</v>
      </c>
      <c r="I134">
        <v>148956147</v>
      </c>
      <c r="J134">
        <v>182345113</v>
      </c>
      <c r="K134">
        <v>206712378</v>
      </c>
      <c r="L134">
        <v>111497741</v>
      </c>
      <c r="M134">
        <v>109318505</v>
      </c>
      <c r="N134">
        <v>67576170</v>
      </c>
      <c r="O134">
        <v>2341639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96189970</v>
      </c>
      <c r="G135">
        <v>89836683</v>
      </c>
      <c r="H135">
        <v>107365869</v>
      </c>
      <c r="I135">
        <v>91103993</v>
      </c>
      <c r="J135">
        <v>103093273</v>
      </c>
      <c r="K135">
        <v>150022346</v>
      </c>
      <c r="L135">
        <v>162478313</v>
      </c>
      <c r="M135">
        <v>120774027</v>
      </c>
      <c r="N135">
        <v>93789808</v>
      </c>
      <c r="O135">
        <v>18804043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2897722333</v>
      </c>
      <c r="G136">
        <v>2663920379</v>
      </c>
      <c r="H136">
        <v>2258040359</v>
      </c>
      <c r="I136">
        <v>2430108194</v>
      </c>
      <c r="J136">
        <v>3987744859</v>
      </c>
      <c r="K136">
        <v>3529080381</v>
      </c>
      <c r="L136">
        <v>4741602978</v>
      </c>
      <c r="M136">
        <v>3515050794</v>
      </c>
      <c r="N136">
        <v>2967966656</v>
      </c>
      <c r="O136">
        <v>1635795256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223457918</v>
      </c>
      <c r="G137">
        <v>129865122</v>
      </c>
      <c r="H137">
        <v>183368410</v>
      </c>
      <c r="I137">
        <v>162458004</v>
      </c>
      <c r="J137">
        <v>90101206</v>
      </c>
      <c r="K137">
        <v>67068140</v>
      </c>
      <c r="L137">
        <v>92783862</v>
      </c>
      <c r="M137">
        <v>59119311</v>
      </c>
      <c r="N137">
        <v>74560364</v>
      </c>
      <c r="O137">
        <v>63312916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245748031</v>
      </c>
      <c r="G138">
        <v>236936537</v>
      </c>
      <c r="H138">
        <v>272049084</v>
      </c>
      <c r="I138">
        <v>254821291</v>
      </c>
      <c r="J138">
        <v>203528963</v>
      </c>
      <c r="K138">
        <v>252817324</v>
      </c>
      <c r="L138">
        <v>250795902</v>
      </c>
      <c r="M138">
        <v>214653366</v>
      </c>
      <c r="N138">
        <v>129019199</v>
      </c>
      <c r="O138">
        <v>111037540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1116083207</v>
      </c>
      <c r="G139">
        <v>575698425</v>
      </c>
      <c r="H139">
        <v>386088550</v>
      </c>
      <c r="I139">
        <v>273121183</v>
      </c>
      <c r="J139">
        <v>475833778</v>
      </c>
      <c r="K139">
        <v>321489923</v>
      </c>
      <c r="L139">
        <v>357606616</v>
      </c>
      <c r="M139">
        <v>274623134</v>
      </c>
      <c r="N139">
        <v>262321755</v>
      </c>
      <c r="O139">
        <v>194320296</v>
      </c>
      <c r="P139">
        <v>471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9809078</v>
      </c>
      <c r="G140">
        <v>12327693</v>
      </c>
      <c r="H140">
        <v>8986962</v>
      </c>
      <c r="I140">
        <v>6310940</v>
      </c>
      <c r="J140">
        <v>26000</v>
      </c>
      <c r="K140">
        <v>213228458</v>
      </c>
      <c r="L140">
        <v>149683249</v>
      </c>
      <c r="M140">
        <v>218227680</v>
      </c>
      <c r="N140">
        <v>319585030</v>
      </c>
      <c r="O140">
        <v>303669330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23306641</v>
      </c>
      <c r="G141">
        <v>29295313</v>
      </c>
      <c r="H141">
        <v>67452538</v>
      </c>
      <c r="I141">
        <v>63739473</v>
      </c>
      <c r="J141">
        <v>47806442</v>
      </c>
      <c r="K141">
        <v>82706427</v>
      </c>
      <c r="L141">
        <v>50646406</v>
      </c>
      <c r="M141">
        <v>36284583</v>
      </c>
      <c r="N141">
        <v>31864147</v>
      </c>
      <c r="O141">
        <v>65192343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1699614466</v>
      </c>
      <c r="G142">
        <v>1085476123</v>
      </c>
      <c r="H142">
        <v>473628254</v>
      </c>
      <c r="I142">
        <v>422610598</v>
      </c>
      <c r="J142">
        <v>352731372</v>
      </c>
      <c r="K142">
        <v>188458798</v>
      </c>
      <c r="L142">
        <v>90160615</v>
      </c>
      <c r="M142">
        <v>78100577</v>
      </c>
      <c r="N142">
        <v>152153729</v>
      </c>
      <c r="O142">
        <v>159779833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19526702</v>
      </c>
      <c r="G143">
        <v>45571891</v>
      </c>
      <c r="H143">
        <v>20435786</v>
      </c>
      <c r="I143">
        <v>36715631</v>
      </c>
      <c r="J143">
        <v>47260108</v>
      </c>
      <c r="K143">
        <v>396635379</v>
      </c>
      <c r="L143">
        <v>372239152</v>
      </c>
      <c r="M143">
        <v>337841476</v>
      </c>
      <c r="N143">
        <v>443247123</v>
      </c>
      <c r="O143">
        <v>314412321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3816927838</v>
      </c>
      <c r="G144">
        <v>4235826508</v>
      </c>
      <c r="H144">
        <v>8251045117</v>
      </c>
      <c r="I144">
        <v>9246811823</v>
      </c>
      <c r="J144">
        <v>12721023497</v>
      </c>
      <c r="K144">
        <v>12600913522</v>
      </c>
      <c r="L144">
        <v>5223204539</v>
      </c>
      <c r="M144">
        <v>3874058428</v>
      </c>
      <c r="N144">
        <v>3065667763</v>
      </c>
      <c r="O144">
        <v>2415449286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735910357</v>
      </c>
      <c r="G145">
        <v>883911144</v>
      </c>
      <c r="H145">
        <v>505661956</v>
      </c>
      <c r="I145">
        <v>401739240</v>
      </c>
      <c r="J145">
        <v>175954457</v>
      </c>
      <c r="K145">
        <v>194739896</v>
      </c>
      <c r="L145">
        <v>12572888</v>
      </c>
      <c r="M145">
        <v>9184195</v>
      </c>
      <c r="N145">
        <v>19545292</v>
      </c>
      <c r="O145">
        <v>6084666</v>
      </c>
      <c r="P145">
        <v>39750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2761457629</v>
      </c>
      <c r="G146">
        <v>2089848557</v>
      </c>
      <c r="H146">
        <v>2224202929</v>
      </c>
      <c r="I146">
        <v>2381826700</v>
      </c>
      <c r="J146">
        <v>1754705817</v>
      </c>
      <c r="K146">
        <v>1263619843</v>
      </c>
      <c r="L146">
        <v>788636421</v>
      </c>
      <c r="M146">
        <v>348257042</v>
      </c>
      <c r="N146">
        <v>250036258</v>
      </c>
      <c r="O146">
        <v>51772127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4913930660</v>
      </c>
      <c r="G147">
        <v>3627713717</v>
      </c>
      <c r="H147">
        <v>6155802819</v>
      </c>
      <c r="I147">
        <v>6625905743</v>
      </c>
      <c r="J147">
        <v>7447986434</v>
      </c>
      <c r="K147">
        <v>7800159053</v>
      </c>
      <c r="L147">
        <v>8797149439</v>
      </c>
      <c r="M147">
        <v>8853691842</v>
      </c>
      <c r="N147">
        <v>9004340715</v>
      </c>
      <c r="O147">
        <v>8090794734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55206089920</v>
      </c>
      <c r="G148">
        <v>44187510101</v>
      </c>
      <c r="H148">
        <v>36382708475</v>
      </c>
      <c r="I148">
        <v>25425371772</v>
      </c>
      <c r="J148">
        <v>19012840651</v>
      </c>
      <c r="K148">
        <v>18531273556</v>
      </c>
      <c r="L148">
        <v>15882180852</v>
      </c>
      <c r="M148">
        <v>12067555247</v>
      </c>
      <c r="N148">
        <v>11623494074</v>
      </c>
      <c r="O148">
        <v>9087007804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284916152</v>
      </c>
      <c r="G149">
        <v>294489775</v>
      </c>
      <c r="H149">
        <v>150836494</v>
      </c>
      <c r="I149">
        <v>152083483</v>
      </c>
      <c r="J149">
        <v>108196831</v>
      </c>
      <c r="K149">
        <v>99128505</v>
      </c>
      <c r="L149">
        <v>110470720</v>
      </c>
      <c r="M149">
        <v>116588420</v>
      </c>
      <c r="N149">
        <v>163536193</v>
      </c>
      <c r="O149">
        <v>188918070</v>
      </c>
      <c r="P149">
        <v>574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753893177</v>
      </c>
      <c r="G150">
        <v>713065450</v>
      </c>
      <c r="H150">
        <v>1176559052</v>
      </c>
      <c r="I150">
        <v>1417120999</v>
      </c>
      <c r="J150">
        <v>1387549977</v>
      </c>
      <c r="K150">
        <v>1143079434</v>
      </c>
      <c r="L150">
        <v>736690237</v>
      </c>
      <c r="M150">
        <v>383897416</v>
      </c>
      <c r="N150">
        <v>280052268</v>
      </c>
      <c r="O150">
        <v>177366317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2013026</v>
      </c>
      <c r="G151">
        <v>1358142</v>
      </c>
      <c r="H151">
        <v>16960066</v>
      </c>
      <c r="I151">
        <v>17853293</v>
      </c>
      <c r="J151">
        <v>258463832</v>
      </c>
      <c r="K151">
        <v>102844462</v>
      </c>
      <c r="L151">
        <v>295036900</v>
      </c>
      <c r="M151">
        <v>388907798</v>
      </c>
      <c r="N151">
        <v>62273016</v>
      </c>
      <c r="O151">
        <v>40685504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238290300</v>
      </c>
      <c r="I152">
        <v>390031787</v>
      </c>
      <c r="J152">
        <v>662771374</v>
      </c>
      <c r="K152">
        <v>219619547</v>
      </c>
      <c r="L152">
        <v>200083936</v>
      </c>
      <c r="M152">
        <v>123208004</v>
      </c>
      <c r="N152">
        <v>102658353</v>
      </c>
      <c r="O152">
        <v>25027770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1752323067</v>
      </c>
      <c r="G153">
        <v>1126960164</v>
      </c>
      <c r="H153">
        <v>1360941142</v>
      </c>
      <c r="I153">
        <v>1247282552</v>
      </c>
      <c r="J153">
        <v>1232514924</v>
      </c>
      <c r="K153">
        <v>1332355376</v>
      </c>
      <c r="L153">
        <v>1760661087</v>
      </c>
      <c r="M153">
        <v>1746709725</v>
      </c>
      <c r="N153">
        <v>1478374962</v>
      </c>
      <c r="O153">
        <v>1461410920</v>
      </c>
      <c r="P153">
        <v>2781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313905572</v>
      </c>
      <c r="G154">
        <v>399022254</v>
      </c>
      <c r="H154">
        <v>395281557</v>
      </c>
      <c r="I154">
        <v>346731871</v>
      </c>
      <c r="J154">
        <v>310343918</v>
      </c>
      <c r="K154">
        <v>264602308</v>
      </c>
      <c r="L154">
        <v>244684786</v>
      </c>
      <c r="M154">
        <v>310360325</v>
      </c>
      <c r="N154">
        <v>448391002</v>
      </c>
      <c r="O154">
        <v>277326827</v>
      </c>
      <c r="P154">
        <v>1571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791195757</v>
      </c>
      <c r="G155">
        <v>844094372</v>
      </c>
      <c r="H155">
        <v>430473267</v>
      </c>
      <c r="I155">
        <v>259332512</v>
      </c>
      <c r="J155">
        <v>542306666</v>
      </c>
      <c r="K155">
        <v>1009840992</v>
      </c>
      <c r="L155">
        <v>551205413</v>
      </c>
      <c r="M155">
        <v>259372983</v>
      </c>
      <c r="N155">
        <v>375340776</v>
      </c>
      <c r="O155">
        <v>614421494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840409042</v>
      </c>
      <c r="G156">
        <v>328745900</v>
      </c>
      <c r="H156">
        <v>739917750</v>
      </c>
      <c r="I156">
        <v>1695272635</v>
      </c>
      <c r="J156">
        <v>858158936</v>
      </c>
      <c r="K156">
        <v>421984451</v>
      </c>
      <c r="L156">
        <v>145602790</v>
      </c>
      <c r="M156">
        <v>187893435</v>
      </c>
      <c r="N156">
        <v>310328111</v>
      </c>
      <c r="O156">
        <v>301160113</v>
      </c>
      <c r="P156">
        <v>128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9380189742</v>
      </c>
      <c r="G157">
        <v>7720874003</v>
      </c>
      <c r="H157">
        <v>3985507168</v>
      </c>
      <c r="I157">
        <v>4163052621</v>
      </c>
      <c r="J157">
        <v>4119297012</v>
      </c>
      <c r="K157">
        <v>3106132514</v>
      </c>
      <c r="L157">
        <v>918541515</v>
      </c>
      <c r="M157">
        <v>665035892</v>
      </c>
      <c r="N157">
        <v>911052593</v>
      </c>
      <c r="O157">
        <v>455250730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1295494229</v>
      </c>
      <c r="G158">
        <v>880250946</v>
      </c>
      <c r="H158">
        <v>984242807</v>
      </c>
      <c r="I158">
        <v>909163539</v>
      </c>
      <c r="J158">
        <v>1079612607</v>
      </c>
      <c r="K158">
        <v>697304200</v>
      </c>
      <c r="L158">
        <v>987332711</v>
      </c>
      <c r="M158">
        <v>1146411270</v>
      </c>
      <c r="N158">
        <v>1664278917</v>
      </c>
      <c r="O158">
        <v>1661131811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6119700687</v>
      </c>
      <c r="G159">
        <v>4887823601</v>
      </c>
      <c r="H159">
        <v>4597984463</v>
      </c>
      <c r="I159">
        <v>3816497678</v>
      </c>
      <c r="J159">
        <v>3813714757</v>
      </c>
      <c r="K159">
        <v>2954676352</v>
      </c>
      <c r="L159">
        <v>2649416469</v>
      </c>
      <c r="M159">
        <v>2486450941</v>
      </c>
      <c r="N159">
        <v>2360733606</v>
      </c>
      <c r="O159">
        <v>1998184535</v>
      </c>
      <c r="P159">
        <v>2338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243010766</v>
      </c>
      <c r="G160">
        <v>253649721</v>
      </c>
      <c r="H160">
        <v>432507296</v>
      </c>
      <c r="I160">
        <v>626815211</v>
      </c>
      <c r="J160">
        <v>501508416</v>
      </c>
      <c r="K160">
        <v>518413074</v>
      </c>
      <c r="L160">
        <v>576923547</v>
      </c>
      <c r="M160">
        <v>503706624</v>
      </c>
      <c r="N160">
        <v>474886837</v>
      </c>
      <c r="O160">
        <v>589716567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289619182</v>
      </c>
      <c r="G161">
        <v>618752167</v>
      </c>
      <c r="H161">
        <v>252692832</v>
      </c>
      <c r="I161">
        <v>335620397</v>
      </c>
      <c r="J161">
        <v>77458971</v>
      </c>
      <c r="K161">
        <v>29406646</v>
      </c>
      <c r="L161">
        <v>6974005</v>
      </c>
      <c r="M161">
        <v>693674</v>
      </c>
      <c r="N161">
        <v>2426567</v>
      </c>
      <c r="O161">
        <v>4644619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105517434</v>
      </c>
      <c r="G162">
        <v>111427637</v>
      </c>
      <c r="H162">
        <v>119511998</v>
      </c>
      <c r="I162">
        <v>0</v>
      </c>
      <c r="J162">
        <v>183412801</v>
      </c>
      <c r="K162">
        <v>194266939</v>
      </c>
      <c r="L162">
        <v>225717372</v>
      </c>
      <c r="M162">
        <v>598423378</v>
      </c>
      <c r="N162">
        <v>566225934</v>
      </c>
      <c r="O162">
        <v>543848958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270121482</v>
      </c>
      <c r="G163">
        <v>235216311</v>
      </c>
      <c r="H163">
        <v>210860235</v>
      </c>
      <c r="I163">
        <v>291591907</v>
      </c>
      <c r="J163">
        <v>299823673</v>
      </c>
      <c r="K163">
        <v>230421129</v>
      </c>
      <c r="L163">
        <v>187235889</v>
      </c>
      <c r="M163">
        <v>477800184</v>
      </c>
      <c r="N163">
        <v>412229234</v>
      </c>
      <c r="O163">
        <v>140901180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6179328000</v>
      </c>
      <c r="G164">
        <v>3979211000</v>
      </c>
      <c r="H164">
        <v>4495398000</v>
      </c>
      <c r="I164">
        <v>4728553000</v>
      </c>
      <c r="J164">
        <v>3845138000</v>
      </c>
      <c r="K164">
        <v>2849858000</v>
      </c>
      <c r="L164">
        <v>2417107000</v>
      </c>
      <c r="M164">
        <v>2015752000</v>
      </c>
      <c r="N164">
        <v>1461387000</v>
      </c>
      <c r="O164">
        <v>926402771</v>
      </c>
      <c r="P164">
        <v>1939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474477427</v>
      </c>
      <c r="G165">
        <v>368828701</v>
      </c>
      <c r="H165">
        <v>214424688</v>
      </c>
      <c r="I165">
        <v>88163590</v>
      </c>
      <c r="J165">
        <v>85201178</v>
      </c>
      <c r="K165">
        <v>27799690</v>
      </c>
      <c r="L165">
        <v>103323821</v>
      </c>
      <c r="M165">
        <v>136502884</v>
      </c>
      <c r="N165">
        <v>73862064</v>
      </c>
      <c r="O165">
        <v>36716193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495309411</v>
      </c>
      <c r="G166">
        <v>614887856</v>
      </c>
      <c r="H166">
        <v>392637332</v>
      </c>
      <c r="I166">
        <v>151748039</v>
      </c>
      <c r="J166">
        <v>67321513</v>
      </c>
      <c r="K166">
        <v>69587576</v>
      </c>
      <c r="L166">
        <v>114411571</v>
      </c>
      <c r="M166">
        <v>97308107</v>
      </c>
      <c r="N166">
        <v>86666617</v>
      </c>
      <c r="O166">
        <v>88128461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1774941</v>
      </c>
      <c r="G167">
        <v>2500940</v>
      </c>
      <c r="H167">
        <v>4328970</v>
      </c>
      <c r="I167">
        <v>7224667</v>
      </c>
      <c r="J167">
        <v>7026815</v>
      </c>
      <c r="K167">
        <v>6704671</v>
      </c>
      <c r="L167">
        <v>8494327</v>
      </c>
      <c r="M167">
        <v>14242932</v>
      </c>
      <c r="N167">
        <v>3495016</v>
      </c>
      <c r="O167">
        <v>15622450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1305848308</v>
      </c>
      <c r="G168">
        <v>1285649028</v>
      </c>
      <c r="H168">
        <v>1519123418</v>
      </c>
      <c r="I168">
        <v>1401182691</v>
      </c>
      <c r="J168">
        <v>1431600420</v>
      </c>
      <c r="K168">
        <v>1472249873</v>
      </c>
      <c r="L168">
        <v>1525686643</v>
      </c>
      <c r="M168">
        <v>1511370925</v>
      </c>
      <c r="N168">
        <v>1187120819</v>
      </c>
      <c r="O168">
        <v>930028709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358513292</v>
      </c>
      <c r="G169">
        <v>290050476</v>
      </c>
      <c r="H169">
        <v>196648093</v>
      </c>
      <c r="I169">
        <v>18761219</v>
      </c>
      <c r="J169">
        <v>49199</v>
      </c>
      <c r="K169">
        <v>68879</v>
      </c>
      <c r="L169">
        <v>88558</v>
      </c>
      <c r="M169">
        <v>7598478</v>
      </c>
      <c r="N169">
        <v>6015386</v>
      </c>
      <c r="O169">
        <v>11826436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542570625</v>
      </c>
      <c r="G170">
        <v>403849656</v>
      </c>
      <c r="H170">
        <v>407476829</v>
      </c>
      <c r="I170">
        <v>260402594</v>
      </c>
      <c r="J170">
        <v>232842027</v>
      </c>
      <c r="K170">
        <v>187608800</v>
      </c>
      <c r="L170">
        <v>196661990</v>
      </c>
      <c r="M170">
        <v>242371632</v>
      </c>
      <c r="N170">
        <v>404427978</v>
      </c>
      <c r="O170">
        <v>359958225</v>
      </c>
      <c r="P170">
        <v>371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6029232584</v>
      </c>
      <c r="G171">
        <v>4564659595</v>
      </c>
      <c r="H171">
        <v>4367599412</v>
      </c>
      <c r="I171">
        <v>3623640741</v>
      </c>
      <c r="J171">
        <v>3247537670</v>
      </c>
      <c r="K171">
        <v>1965005508</v>
      </c>
      <c r="L171">
        <v>1736220517</v>
      </c>
      <c r="M171">
        <v>1504149791</v>
      </c>
      <c r="N171">
        <v>1293986620</v>
      </c>
      <c r="O171">
        <v>907307576</v>
      </c>
      <c r="P171">
        <v>3821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16258998</v>
      </c>
      <c r="G172">
        <v>4599182</v>
      </c>
      <c r="H172">
        <v>2131677</v>
      </c>
      <c r="I172">
        <v>7962650</v>
      </c>
      <c r="J172">
        <v>9468725</v>
      </c>
      <c r="K172">
        <v>46488006</v>
      </c>
      <c r="L172">
        <v>14679672</v>
      </c>
      <c r="M172">
        <v>9931187</v>
      </c>
      <c r="N172">
        <v>12704064</v>
      </c>
      <c r="O172">
        <v>17966459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968148330</v>
      </c>
      <c r="G173">
        <v>462906711</v>
      </c>
      <c r="H173">
        <v>1016407828</v>
      </c>
      <c r="I173">
        <v>1237103947</v>
      </c>
      <c r="J173">
        <v>1516797880</v>
      </c>
      <c r="K173">
        <v>2174153110</v>
      </c>
      <c r="L173">
        <v>3184452324</v>
      </c>
      <c r="M173">
        <v>3841428226</v>
      </c>
      <c r="N173">
        <v>4315583578</v>
      </c>
      <c r="O173">
        <v>2602811179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143475218</v>
      </c>
      <c r="G174">
        <v>89802620</v>
      </c>
      <c r="H174">
        <v>58350460</v>
      </c>
      <c r="I174">
        <v>118312225</v>
      </c>
      <c r="J174">
        <v>114172380</v>
      </c>
      <c r="K174">
        <v>88397575</v>
      </c>
      <c r="L174">
        <v>52022554</v>
      </c>
      <c r="M174">
        <v>58011340</v>
      </c>
      <c r="N174">
        <v>53668158</v>
      </c>
      <c r="O174">
        <v>80767003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759968112</v>
      </c>
      <c r="G175">
        <v>687108857</v>
      </c>
      <c r="H175">
        <v>541756060</v>
      </c>
      <c r="I175">
        <v>458029071</v>
      </c>
      <c r="J175">
        <v>364681833</v>
      </c>
      <c r="K175">
        <v>333421542</v>
      </c>
      <c r="L175">
        <v>270341994</v>
      </c>
      <c r="M175">
        <v>251916940</v>
      </c>
      <c r="N175">
        <v>219996737</v>
      </c>
      <c r="O175">
        <v>271911125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729093523</v>
      </c>
      <c r="G176">
        <v>605618325</v>
      </c>
      <c r="H176">
        <v>576253533</v>
      </c>
      <c r="I176">
        <v>766798965</v>
      </c>
      <c r="J176">
        <v>465785552</v>
      </c>
      <c r="K176">
        <v>263289022</v>
      </c>
      <c r="L176">
        <v>248646022</v>
      </c>
      <c r="M176">
        <v>171814309</v>
      </c>
      <c r="N176">
        <v>154613757</v>
      </c>
      <c r="O176">
        <v>125042648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683878231</v>
      </c>
      <c r="G177">
        <v>684318622</v>
      </c>
      <c r="H177">
        <v>705691468</v>
      </c>
      <c r="I177">
        <v>486633433</v>
      </c>
      <c r="J177">
        <v>517114678</v>
      </c>
      <c r="K177">
        <v>648101284</v>
      </c>
      <c r="L177">
        <v>1008352739</v>
      </c>
      <c r="M177">
        <v>1137030727</v>
      </c>
      <c r="N177">
        <v>1059362832</v>
      </c>
      <c r="O177">
        <v>1156936194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2988839946</v>
      </c>
      <c r="G178">
        <v>2221928133</v>
      </c>
      <c r="H178">
        <v>2214523649</v>
      </c>
      <c r="I178">
        <v>2715529977</v>
      </c>
      <c r="J178">
        <v>1265848813</v>
      </c>
      <c r="K178">
        <v>1134523045</v>
      </c>
      <c r="L178">
        <v>1116467679</v>
      </c>
      <c r="M178">
        <v>750578281</v>
      </c>
      <c r="N178">
        <v>146650107</v>
      </c>
      <c r="O178">
        <v>90139687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292157625</v>
      </c>
      <c r="G179">
        <v>291986092</v>
      </c>
      <c r="H179">
        <v>253921678</v>
      </c>
      <c r="I179">
        <v>187352825</v>
      </c>
      <c r="J179">
        <v>186270029</v>
      </c>
      <c r="K179">
        <v>179416309</v>
      </c>
      <c r="L179">
        <v>132396885</v>
      </c>
      <c r="M179">
        <v>148221136</v>
      </c>
      <c r="N179">
        <v>110890019</v>
      </c>
      <c r="O179">
        <v>93240066</v>
      </c>
      <c r="P179">
        <v>421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214771925</v>
      </c>
      <c r="G180">
        <v>204789306</v>
      </c>
      <c r="H180">
        <v>232888341</v>
      </c>
      <c r="I180">
        <v>258226528</v>
      </c>
      <c r="J180">
        <v>354083929</v>
      </c>
      <c r="K180">
        <v>338834932</v>
      </c>
      <c r="L180">
        <v>368137147</v>
      </c>
      <c r="M180">
        <v>429271394</v>
      </c>
      <c r="N180">
        <v>295318900</v>
      </c>
      <c r="O180">
        <v>200539108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68538378</v>
      </c>
      <c r="G181">
        <v>63980623</v>
      </c>
      <c r="H181">
        <v>45265866</v>
      </c>
      <c r="I181">
        <v>841815640</v>
      </c>
      <c r="J181">
        <v>77366334</v>
      </c>
      <c r="K181">
        <v>89369676</v>
      </c>
      <c r="L181">
        <v>76294145</v>
      </c>
      <c r="M181">
        <v>1157737523</v>
      </c>
      <c r="N181">
        <v>3122071738</v>
      </c>
      <c r="O181">
        <v>4280470193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26475099</v>
      </c>
      <c r="G182">
        <v>26807739</v>
      </c>
      <c r="H182">
        <v>68917452</v>
      </c>
      <c r="I182">
        <v>46309482</v>
      </c>
      <c r="J182">
        <v>68879767</v>
      </c>
      <c r="K182">
        <v>72565944</v>
      </c>
      <c r="L182">
        <v>54211499</v>
      </c>
      <c r="M182">
        <v>57082701</v>
      </c>
      <c r="N182">
        <v>38974191</v>
      </c>
      <c r="O182">
        <v>44969719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1699840832</v>
      </c>
      <c r="G183">
        <v>1436348368</v>
      </c>
      <c r="H183">
        <v>1442312758</v>
      </c>
      <c r="I183">
        <v>1485574274</v>
      </c>
      <c r="J183">
        <v>1404154992</v>
      </c>
      <c r="K183">
        <v>1357506333</v>
      </c>
      <c r="L183">
        <v>1260616770</v>
      </c>
      <c r="M183">
        <v>1124745889</v>
      </c>
      <c r="N183">
        <v>1210517332</v>
      </c>
      <c r="O183">
        <v>1037747731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471373736</v>
      </c>
      <c r="G184">
        <v>332873744</v>
      </c>
      <c r="H184">
        <v>307310986</v>
      </c>
      <c r="I184">
        <v>378716299</v>
      </c>
      <c r="J184">
        <v>335224059</v>
      </c>
      <c r="K184">
        <v>61405741</v>
      </c>
      <c r="L184">
        <v>19328914</v>
      </c>
      <c r="M184">
        <v>124684908</v>
      </c>
      <c r="N184">
        <v>108036724</v>
      </c>
      <c r="O184">
        <v>109427883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80792532</v>
      </c>
      <c r="G185">
        <v>25645074</v>
      </c>
      <c r="H185">
        <v>4880185</v>
      </c>
      <c r="I185">
        <v>28545901</v>
      </c>
      <c r="J185">
        <v>109646227</v>
      </c>
      <c r="K185">
        <v>111510654</v>
      </c>
      <c r="L185">
        <v>112137978</v>
      </c>
      <c r="M185">
        <v>213559228</v>
      </c>
      <c r="N185">
        <v>56281074</v>
      </c>
      <c r="O185">
        <v>74201023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1648585835</v>
      </c>
      <c r="G186">
        <v>3068678196</v>
      </c>
      <c r="H186">
        <v>4024135310</v>
      </c>
      <c r="I186">
        <v>4081115972</v>
      </c>
      <c r="J186">
        <v>3655618633</v>
      </c>
      <c r="K186">
        <v>3258072495</v>
      </c>
      <c r="L186">
        <v>1654261775</v>
      </c>
      <c r="M186">
        <v>1224434586</v>
      </c>
      <c r="N186">
        <v>744425318</v>
      </c>
      <c r="O186">
        <v>593643169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206786141</v>
      </c>
      <c r="G187">
        <v>419316</v>
      </c>
      <c r="H187">
        <v>192500</v>
      </c>
      <c r="I187">
        <v>122500</v>
      </c>
      <c r="J187">
        <v>198581694</v>
      </c>
      <c r="K187">
        <v>284868530</v>
      </c>
      <c r="L187">
        <v>365234244</v>
      </c>
      <c r="M187">
        <v>340433627</v>
      </c>
      <c r="N187">
        <v>262584195</v>
      </c>
      <c r="O187">
        <v>207448406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1443761092</v>
      </c>
      <c r="G188">
        <v>1175094129</v>
      </c>
      <c r="H188">
        <v>1413220466</v>
      </c>
      <c r="I188">
        <v>1259155677</v>
      </c>
      <c r="J188">
        <v>1300687562</v>
      </c>
      <c r="K188">
        <v>1012410279</v>
      </c>
      <c r="L188">
        <v>915845594</v>
      </c>
      <c r="M188">
        <v>838909663</v>
      </c>
      <c r="N188">
        <v>919122969</v>
      </c>
      <c r="O188">
        <v>929227419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4600287075</v>
      </c>
      <c r="G189">
        <v>4387574201</v>
      </c>
      <c r="H189">
        <v>3813704685</v>
      </c>
      <c r="I189">
        <v>2869697297</v>
      </c>
      <c r="J189">
        <v>3052168231</v>
      </c>
      <c r="K189">
        <v>1755700391</v>
      </c>
      <c r="L189">
        <v>1239154638</v>
      </c>
      <c r="M189">
        <v>27273687</v>
      </c>
      <c r="N189">
        <v>12375833</v>
      </c>
      <c r="O189">
        <v>22377223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447708090</v>
      </c>
      <c r="G190">
        <v>498862053</v>
      </c>
      <c r="H190">
        <v>518723031</v>
      </c>
      <c r="I190">
        <v>396090209</v>
      </c>
      <c r="J190">
        <v>414024408</v>
      </c>
      <c r="K190">
        <v>327727576</v>
      </c>
      <c r="L190">
        <v>291531064</v>
      </c>
      <c r="M190">
        <v>404087904</v>
      </c>
      <c r="N190">
        <v>432603221</v>
      </c>
      <c r="O190">
        <v>404543313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2864903848</v>
      </c>
      <c r="G191">
        <v>2320683378</v>
      </c>
      <c r="H191">
        <v>1971740686</v>
      </c>
      <c r="I191">
        <v>2134394775</v>
      </c>
      <c r="J191">
        <v>2083638692</v>
      </c>
      <c r="K191">
        <v>1150008609</v>
      </c>
      <c r="L191">
        <v>710204664</v>
      </c>
      <c r="M191">
        <v>545252200</v>
      </c>
      <c r="N191">
        <v>440009992</v>
      </c>
      <c r="O191">
        <v>650474443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640539157</v>
      </c>
      <c r="G192">
        <v>435878772</v>
      </c>
      <c r="H192">
        <v>524223217</v>
      </c>
      <c r="I192">
        <v>427660847</v>
      </c>
      <c r="J192">
        <v>337264444</v>
      </c>
      <c r="K192">
        <v>280188662</v>
      </c>
      <c r="L192">
        <v>276435742</v>
      </c>
      <c r="M192">
        <v>254025325</v>
      </c>
      <c r="N192">
        <v>162987448</v>
      </c>
      <c r="O192">
        <v>187408446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2135776000</v>
      </c>
      <c r="G193">
        <v>2443164000</v>
      </c>
      <c r="H193">
        <v>4804419000</v>
      </c>
      <c r="I193">
        <v>3032153000</v>
      </c>
      <c r="J193">
        <v>2196511000</v>
      </c>
      <c r="K193">
        <v>1201620000</v>
      </c>
      <c r="L193">
        <v>710246000</v>
      </c>
      <c r="M193">
        <v>733906000</v>
      </c>
      <c r="N193">
        <v>578203000</v>
      </c>
      <c r="O193">
        <v>541651000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520770761</v>
      </c>
      <c r="G194">
        <v>487991394</v>
      </c>
      <c r="H194">
        <v>527221426</v>
      </c>
      <c r="I194">
        <v>442879925</v>
      </c>
      <c r="J194">
        <v>475015300</v>
      </c>
      <c r="K194">
        <v>346610062</v>
      </c>
      <c r="L194">
        <v>328974875</v>
      </c>
      <c r="M194">
        <v>277321547</v>
      </c>
      <c r="N194">
        <v>270671926</v>
      </c>
      <c r="O194">
        <v>212748120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277710411</v>
      </c>
      <c r="G195">
        <v>190876168</v>
      </c>
      <c r="H195">
        <v>158409016</v>
      </c>
      <c r="I195">
        <v>125028127</v>
      </c>
      <c r="J195">
        <v>12045654</v>
      </c>
      <c r="K195">
        <v>206474263</v>
      </c>
      <c r="L195">
        <v>163768074</v>
      </c>
      <c r="M195">
        <v>285330795</v>
      </c>
      <c r="N195">
        <v>245551001</v>
      </c>
      <c r="O195">
        <v>5504184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637836031</v>
      </c>
      <c r="G196">
        <v>757313111</v>
      </c>
      <c r="H196">
        <v>934644945</v>
      </c>
      <c r="I196">
        <v>962312371</v>
      </c>
      <c r="J196">
        <v>459977235</v>
      </c>
      <c r="K196">
        <v>14230059</v>
      </c>
      <c r="L196">
        <v>690400857</v>
      </c>
      <c r="M196">
        <v>1493667311</v>
      </c>
      <c r="N196">
        <v>202745144</v>
      </c>
      <c r="O196">
        <v>63117989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59742247</v>
      </c>
      <c r="G197">
        <v>27194851</v>
      </c>
      <c r="H197">
        <v>385819604</v>
      </c>
      <c r="I197">
        <v>230211045</v>
      </c>
      <c r="J197">
        <v>191842037</v>
      </c>
      <c r="K197">
        <v>76206335</v>
      </c>
      <c r="L197">
        <v>87244173</v>
      </c>
      <c r="M197">
        <v>105052135</v>
      </c>
      <c r="N197">
        <v>129503607</v>
      </c>
      <c r="O197">
        <v>133032479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733240874</v>
      </c>
      <c r="G198">
        <v>924687039</v>
      </c>
      <c r="H198">
        <v>873211835</v>
      </c>
      <c r="I198">
        <v>846104121</v>
      </c>
      <c r="J198">
        <v>576901051</v>
      </c>
      <c r="K198">
        <v>315464828</v>
      </c>
      <c r="L198">
        <v>434110451</v>
      </c>
      <c r="M198">
        <v>438092570</v>
      </c>
      <c r="N198">
        <v>337795403</v>
      </c>
      <c r="O198">
        <v>225962690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119883016</v>
      </c>
      <c r="G199">
        <v>10371120</v>
      </c>
      <c r="H199">
        <v>12242715</v>
      </c>
      <c r="I199">
        <v>17686643</v>
      </c>
      <c r="J199">
        <v>21541772</v>
      </c>
      <c r="K199">
        <v>21604563</v>
      </c>
      <c r="L199">
        <v>11711055</v>
      </c>
      <c r="M199">
        <v>25168873</v>
      </c>
      <c r="N199">
        <v>32212844</v>
      </c>
      <c r="O199">
        <v>37297673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374873864</v>
      </c>
      <c r="G200">
        <v>416659984</v>
      </c>
      <c r="H200">
        <v>335247271</v>
      </c>
      <c r="I200">
        <v>311323854</v>
      </c>
      <c r="J200">
        <v>282089089</v>
      </c>
      <c r="K200">
        <v>195673005</v>
      </c>
      <c r="L200">
        <v>165896292</v>
      </c>
      <c r="M200">
        <v>125576310</v>
      </c>
      <c r="N200">
        <v>132042423</v>
      </c>
      <c r="O200">
        <v>147385808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0</v>
      </c>
      <c r="G201">
        <v>3361339</v>
      </c>
      <c r="H201">
        <v>61611346</v>
      </c>
      <c r="I201">
        <v>2701780</v>
      </c>
      <c r="J201">
        <v>14430818</v>
      </c>
      <c r="K201">
        <v>6094509</v>
      </c>
      <c r="L201">
        <v>7875183</v>
      </c>
      <c r="M201">
        <v>5413546</v>
      </c>
      <c r="N201">
        <v>52586</v>
      </c>
      <c r="O201">
        <v>2441369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216389470</v>
      </c>
      <c r="G202">
        <v>38113946</v>
      </c>
      <c r="H202">
        <v>58135256</v>
      </c>
      <c r="I202">
        <v>52961148</v>
      </c>
      <c r="J202">
        <v>57403234</v>
      </c>
      <c r="K202">
        <v>141698301</v>
      </c>
      <c r="L202">
        <v>133348039</v>
      </c>
      <c r="M202">
        <v>446943780</v>
      </c>
      <c r="N202">
        <v>174856549</v>
      </c>
      <c r="O202">
        <v>156449768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214870442</v>
      </c>
      <c r="G203">
        <v>248339148</v>
      </c>
      <c r="H203">
        <v>255985886</v>
      </c>
      <c r="I203">
        <v>160581369</v>
      </c>
      <c r="J203">
        <v>228125983</v>
      </c>
      <c r="K203">
        <v>194892329</v>
      </c>
      <c r="L203">
        <v>170894092</v>
      </c>
      <c r="M203">
        <v>150232761</v>
      </c>
      <c r="N203">
        <v>157516836</v>
      </c>
      <c r="O203">
        <v>164504441</v>
      </c>
      <c r="P203">
        <v>89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1627020624</v>
      </c>
      <c r="G204">
        <v>1358318402</v>
      </c>
      <c r="H204">
        <v>1195791323</v>
      </c>
      <c r="I204">
        <v>1397407066</v>
      </c>
      <c r="J204">
        <v>1110746355</v>
      </c>
      <c r="K204">
        <v>189378796</v>
      </c>
      <c r="L204">
        <v>100363085</v>
      </c>
      <c r="M204">
        <v>108747043</v>
      </c>
      <c r="N204">
        <v>109142039</v>
      </c>
      <c r="O204">
        <v>168784687</v>
      </c>
      <c r="P204">
        <v>733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234012788</v>
      </c>
      <c r="G205">
        <v>295923833</v>
      </c>
      <c r="H205">
        <v>17405244</v>
      </c>
      <c r="I205">
        <v>7870985</v>
      </c>
      <c r="J205">
        <v>1306250</v>
      </c>
      <c r="K205">
        <v>3590969</v>
      </c>
      <c r="L205">
        <v>3533649</v>
      </c>
      <c r="M205">
        <v>1309767</v>
      </c>
      <c r="N205">
        <v>68685</v>
      </c>
      <c r="O205">
        <v>187084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281154986</v>
      </c>
      <c r="G206">
        <v>249619636</v>
      </c>
      <c r="H206">
        <v>247098118</v>
      </c>
      <c r="I206">
        <v>256236818</v>
      </c>
      <c r="J206">
        <v>244008475</v>
      </c>
      <c r="K206">
        <v>264390040</v>
      </c>
      <c r="L206">
        <v>285857466</v>
      </c>
      <c r="M206">
        <v>276414955</v>
      </c>
      <c r="N206">
        <v>255140947</v>
      </c>
      <c r="O206">
        <v>191826844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1400701267</v>
      </c>
      <c r="G207">
        <v>1285863465</v>
      </c>
      <c r="H207">
        <v>971830303</v>
      </c>
      <c r="I207">
        <v>1027956394</v>
      </c>
      <c r="J207">
        <v>1073794206</v>
      </c>
      <c r="K207">
        <v>795324628</v>
      </c>
      <c r="L207">
        <v>726601867</v>
      </c>
      <c r="M207">
        <v>673966159</v>
      </c>
      <c r="N207">
        <v>513883680</v>
      </c>
      <c r="O207">
        <v>684230890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226870988</v>
      </c>
      <c r="G208">
        <v>251856893</v>
      </c>
      <c r="H208">
        <v>266419810</v>
      </c>
      <c r="I208">
        <v>271248760</v>
      </c>
      <c r="J208">
        <v>260125850</v>
      </c>
      <c r="K208">
        <v>203477159</v>
      </c>
      <c r="L208">
        <v>220942902</v>
      </c>
      <c r="M208">
        <v>221619114</v>
      </c>
      <c r="N208">
        <v>190024211</v>
      </c>
      <c r="O208">
        <v>179571785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93929995</v>
      </c>
      <c r="G209">
        <v>89646986</v>
      </c>
      <c r="H209">
        <v>89035616</v>
      </c>
      <c r="I209">
        <v>74927181</v>
      </c>
      <c r="J209">
        <v>39921557</v>
      </c>
      <c r="K209">
        <v>17687299</v>
      </c>
      <c r="L209">
        <v>24471204</v>
      </c>
      <c r="M209">
        <v>38650952</v>
      </c>
      <c r="N209">
        <v>37091763</v>
      </c>
      <c r="O209">
        <v>97385268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180632367</v>
      </c>
      <c r="G210">
        <v>126438544</v>
      </c>
      <c r="H210">
        <v>295139558</v>
      </c>
      <c r="I210">
        <v>500019728</v>
      </c>
      <c r="J210">
        <v>872917844</v>
      </c>
      <c r="K210">
        <v>1540448144</v>
      </c>
      <c r="L210">
        <v>1297998214</v>
      </c>
      <c r="M210">
        <v>2842098512</v>
      </c>
      <c r="N210">
        <v>171848268</v>
      </c>
      <c r="O210">
        <v>28283605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H211">
        <v>387386717</v>
      </c>
      <c r="I211">
        <v>483996185</v>
      </c>
      <c r="J211">
        <v>304938398</v>
      </c>
      <c r="K211">
        <v>189251414</v>
      </c>
      <c r="L211">
        <v>163755412</v>
      </c>
      <c r="M211">
        <v>811808</v>
      </c>
      <c r="N211">
        <v>0</v>
      </c>
      <c r="O211">
        <v>0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170692664</v>
      </c>
      <c r="G212">
        <v>131891776</v>
      </c>
      <c r="H212">
        <v>58891488</v>
      </c>
      <c r="I212">
        <v>70392911</v>
      </c>
      <c r="J212">
        <v>193322181</v>
      </c>
      <c r="K212">
        <v>183477644</v>
      </c>
      <c r="L212">
        <v>212425575</v>
      </c>
      <c r="M212">
        <v>164317751</v>
      </c>
      <c r="N212">
        <v>141529217</v>
      </c>
      <c r="O212">
        <v>132443005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203460922</v>
      </c>
      <c r="G213">
        <v>345497515</v>
      </c>
      <c r="H213">
        <v>435580545</v>
      </c>
      <c r="I213">
        <v>601822304</v>
      </c>
      <c r="J213">
        <v>498656924</v>
      </c>
      <c r="K213">
        <v>199214560</v>
      </c>
      <c r="L213">
        <v>254302056</v>
      </c>
      <c r="M213">
        <v>201748088</v>
      </c>
      <c r="N213">
        <v>230718222</v>
      </c>
      <c r="O213">
        <v>170288748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247286990</v>
      </c>
      <c r="G214">
        <v>75638850</v>
      </c>
      <c r="H214">
        <v>232489265</v>
      </c>
      <c r="I214">
        <v>363418013</v>
      </c>
      <c r="J214">
        <v>635013630</v>
      </c>
      <c r="K214">
        <v>682602117</v>
      </c>
      <c r="L214">
        <v>597906612</v>
      </c>
      <c r="M214">
        <v>546121169</v>
      </c>
      <c r="N214">
        <v>414565468</v>
      </c>
      <c r="O214">
        <v>363784954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54379825</v>
      </c>
      <c r="G215">
        <v>45219200</v>
      </c>
      <c r="H215">
        <v>25788993</v>
      </c>
      <c r="I215">
        <v>22943808</v>
      </c>
      <c r="J215">
        <v>58191655</v>
      </c>
      <c r="K215">
        <v>8610301</v>
      </c>
      <c r="L215">
        <v>56916389</v>
      </c>
      <c r="M215">
        <v>54081786</v>
      </c>
      <c r="N215">
        <v>77031883</v>
      </c>
      <c r="O215">
        <v>1565322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H216">
        <v>7354923</v>
      </c>
      <c r="I216">
        <v>9813812</v>
      </c>
      <c r="J216">
        <v>28219393</v>
      </c>
      <c r="K216">
        <v>182290962</v>
      </c>
      <c r="L216">
        <v>13806090</v>
      </c>
      <c r="M216">
        <v>0</v>
      </c>
      <c r="N216">
        <v>432438</v>
      </c>
      <c r="O216">
        <v>2040654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112739002986</v>
      </c>
      <c r="G217">
        <v>92063174324</v>
      </c>
      <c r="H217">
        <v>3642099282</v>
      </c>
      <c r="I217">
        <v>2973682247</v>
      </c>
      <c r="J217">
        <v>2087751699</v>
      </c>
      <c r="K217">
        <v>2065613624</v>
      </c>
      <c r="L217">
        <v>2405962136</v>
      </c>
      <c r="M217">
        <v>1946188862</v>
      </c>
      <c r="N217">
        <v>1714944627</v>
      </c>
      <c r="O217">
        <v>1723520426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64240449</v>
      </c>
      <c r="G218">
        <v>68153051</v>
      </c>
      <c r="H218">
        <v>72569906</v>
      </c>
      <c r="I218">
        <v>138214906</v>
      </c>
      <c r="J218">
        <v>133736103</v>
      </c>
      <c r="K218">
        <v>173544190</v>
      </c>
      <c r="L218">
        <v>187439949</v>
      </c>
      <c r="M218">
        <v>146630061</v>
      </c>
      <c r="N218">
        <v>147144542</v>
      </c>
      <c r="O218">
        <v>143023635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104064671</v>
      </c>
      <c r="G219">
        <v>107629715</v>
      </c>
      <c r="H219">
        <v>102885350</v>
      </c>
      <c r="I219">
        <v>96866114</v>
      </c>
      <c r="J219">
        <v>106293509</v>
      </c>
      <c r="K219">
        <v>50453269</v>
      </c>
      <c r="L219">
        <v>150268488</v>
      </c>
      <c r="M219">
        <v>106368277</v>
      </c>
      <c r="N219">
        <v>306524989</v>
      </c>
      <c r="O219">
        <v>269287931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140490274</v>
      </c>
      <c r="G220">
        <v>170424583</v>
      </c>
      <c r="H220">
        <v>286806185</v>
      </c>
      <c r="I220">
        <v>0</v>
      </c>
      <c r="J220">
        <v>298906778</v>
      </c>
      <c r="K220">
        <v>256532096</v>
      </c>
      <c r="L220">
        <v>236973965</v>
      </c>
      <c r="M220">
        <v>296835596</v>
      </c>
      <c r="N220">
        <v>129391451</v>
      </c>
      <c r="O220">
        <v>37841615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570082048</v>
      </c>
      <c r="G221">
        <v>689863663</v>
      </c>
      <c r="H221">
        <v>228530447</v>
      </c>
      <c r="I221">
        <v>190258534</v>
      </c>
      <c r="J221">
        <v>107430372</v>
      </c>
      <c r="K221">
        <v>53299009</v>
      </c>
      <c r="L221">
        <v>21155687</v>
      </c>
      <c r="M221">
        <v>327732875</v>
      </c>
      <c r="N221">
        <v>203244657</v>
      </c>
      <c r="O221">
        <v>55117927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799376755.98000002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368177115</v>
      </c>
      <c r="G223">
        <v>380088716</v>
      </c>
      <c r="H223">
        <v>307080786</v>
      </c>
      <c r="I223">
        <v>611771022</v>
      </c>
      <c r="J223">
        <v>785004753</v>
      </c>
      <c r="K223">
        <v>920787724</v>
      </c>
      <c r="L223">
        <v>674329388</v>
      </c>
      <c r="M223">
        <v>266990035</v>
      </c>
      <c r="N223">
        <v>358822081</v>
      </c>
      <c r="O223">
        <v>142921661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1766930543</v>
      </c>
      <c r="G224">
        <v>997757806</v>
      </c>
      <c r="H224">
        <v>798429595</v>
      </c>
      <c r="I224">
        <v>279424977</v>
      </c>
      <c r="J224">
        <v>290108896</v>
      </c>
      <c r="K224">
        <v>361460953</v>
      </c>
      <c r="L224">
        <v>513214727</v>
      </c>
      <c r="M224">
        <v>873008912</v>
      </c>
      <c r="N224">
        <v>670709874</v>
      </c>
      <c r="O224">
        <v>422948259</v>
      </c>
      <c r="P224">
        <v>494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167206703</v>
      </c>
      <c r="G225">
        <v>203588482</v>
      </c>
      <c r="H225">
        <v>145777162</v>
      </c>
      <c r="I225">
        <v>138739412</v>
      </c>
      <c r="J225">
        <v>96401124</v>
      </c>
      <c r="K225">
        <v>73187024</v>
      </c>
      <c r="L225">
        <v>62119977</v>
      </c>
      <c r="M225">
        <v>43361720</v>
      </c>
      <c r="N225">
        <v>37839538</v>
      </c>
      <c r="O225">
        <v>42499147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267258290</v>
      </c>
      <c r="G226">
        <v>186665343</v>
      </c>
      <c r="H226">
        <v>189319105</v>
      </c>
      <c r="I226">
        <v>231631321</v>
      </c>
      <c r="J226">
        <v>200303911</v>
      </c>
      <c r="K226">
        <v>177003838</v>
      </c>
      <c r="L226">
        <v>35445778</v>
      </c>
      <c r="M226">
        <v>20313970</v>
      </c>
      <c r="N226">
        <v>52198650</v>
      </c>
      <c r="O226">
        <v>37473189</v>
      </c>
      <c r="P226">
        <v>514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112045792</v>
      </c>
      <c r="G227">
        <v>169068994</v>
      </c>
      <c r="H227">
        <v>252119276</v>
      </c>
      <c r="I227">
        <v>139920670</v>
      </c>
      <c r="J227">
        <v>390970938</v>
      </c>
      <c r="K227">
        <v>49347895</v>
      </c>
      <c r="L227">
        <v>82333010</v>
      </c>
      <c r="M227">
        <v>360007999</v>
      </c>
      <c r="N227">
        <v>111594404</v>
      </c>
      <c r="O227">
        <v>119467690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134912571</v>
      </c>
      <c r="G228">
        <v>268944012</v>
      </c>
      <c r="H228">
        <v>666235600</v>
      </c>
      <c r="I228">
        <v>666667847</v>
      </c>
      <c r="J228">
        <v>773266469</v>
      </c>
      <c r="K228">
        <v>848013939</v>
      </c>
      <c r="L228">
        <v>626435549</v>
      </c>
      <c r="M228">
        <v>454516064</v>
      </c>
      <c r="N228">
        <v>348260154</v>
      </c>
      <c r="O228">
        <v>481277274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976383846</v>
      </c>
      <c r="G229">
        <v>972292595</v>
      </c>
      <c r="H229">
        <v>1264303634</v>
      </c>
      <c r="I229">
        <v>1416432135</v>
      </c>
      <c r="J229">
        <v>1379611665</v>
      </c>
      <c r="K229">
        <v>1174601862</v>
      </c>
      <c r="L229">
        <v>1290778567</v>
      </c>
      <c r="M229">
        <v>783671104</v>
      </c>
      <c r="N229">
        <v>851714529</v>
      </c>
      <c r="O229">
        <v>690403111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531981210</v>
      </c>
      <c r="G230">
        <v>443364769</v>
      </c>
      <c r="H230">
        <v>337530321</v>
      </c>
      <c r="I230">
        <v>328425670</v>
      </c>
      <c r="J230">
        <v>410846039</v>
      </c>
      <c r="K230">
        <v>392384308</v>
      </c>
      <c r="L230">
        <v>335319816</v>
      </c>
      <c r="M230">
        <v>651200092</v>
      </c>
      <c r="N230">
        <v>602281152</v>
      </c>
      <c r="O230">
        <v>564098884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47528135</v>
      </c>
      <c r="G231">
        <v>12526697</v>
      </c>
      <c r="H231">
        <v>18352288</v>
      </c>
      <c r="I231">
        <v>22595626</v>
      </c>
      <c r="J231">
        <v>2896977</v>
      </c>
      <c r="K231">
        <v>5660</v>
      </c>
      <c r="L231">
        <v>1591800</v>
      </c>
      <c r="M231">
        <v>20804298</v>
      </c>
      <c r="N231">
        <v>83938586</v>
      </c>
      <c r="O231">
        <v>7379985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58064941</v>
      </c>
      <c r="G232">
        <v>131039573</v>
      </c>
      <c r="H232">
        <v>143959584</v>
      </c>
      <c r="I232">
        <v>76290940</v>
      </c>
      <c r="J232">
        <v>55083446</v>
      </c>
      <c r="K232">
        <v>72005268</v>
      </c>
      <c r="L232">
        <v>88145292</v>
      </c>
      <c r="M232">
        <v>71839276</v>
      </c>
      <c r="N232">
        <v>64716428</v>
      </c>
      <c r="O232">
        <v>42327067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2092921220</v>
      </c>
      <c r="G233">
        <v>1632182931</v>
      </c>
      <c r="H233">
        <v>1689982686</v>
      </c>
      <c r="I233">
        <v>1472801932</v>
      </c>
      <c r="J233">
        <v>1292671215</v>
      </c>
      <c r="K233">
        <v>1277700701</v>
      </c>
      <c r="L233">
        <v>1075146632</v>
      </c>
      <c r="M233">
        <v>1461507203</v>
      </c>
      <c r="N233">
        <v>1126089533</v>
      </c>
      <c r="O233">
        <v>789184217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3396298101</v>
      </c>
      <c r="G234">
        <v>3378332499</v>
      </c>
      <c r="H234">
        <v>3709298296</v>
      </c>
      <c r="I234">
        <v>4013107920</v>
      </c>
      <c r="J234">
        <v>4264468887</v>
      </c>
      <c r="K234">
        <v>4685917116</v>
      </c>
      <c r="L234">
        <v>4705655863</v>
      </c>
      <c r="M234">
        <v>4214223199</v>
      </c>
      <c r="N234">
        <v>4186890651</v>
      </c>
      <c r="O234">
        <v>3609514657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614461896</v>
      </c>
      <c r="G235">
        <v>605395992</v>
      </c>
      <c r="H235">
        <v>702202084</v>
      </c>
      <c r="I235">
        <v>548913305</v>
      </c>
      <c r="J235">
        <v>430141880</v>
      </c>
      <c r="K235">
        <v>410719694</v>
      </c>
      <c r="L235">
        <v>182687223</v>
      </c>
      <c r="M235">
        <v>485374597</v>
      </c>
      <c r="N235">
        <v>416880178</v>
      </c>
      <c r="O235">
        <v>280314160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J236">
        <v>868175267</v>
      </c>
      <c r="K236">
        <v>864814123</v>
      </c>
      <c r="L236">
        <v>810931642.25</v>
      </c>
      <c r="M236">
        <v>797187748.74000001</v>
      </c>
      <c r="N236">
        <v>724675693.40999997</v>
      </c>
      <c r="O236">
        <v>692956313.69000006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3152874581</v>
      </c>
      <c r="G237">
        <v>2556274293</v>
      </c>
      <c r="H237">
        <v>2232407516</v>
      </c>
      <c r="I237">
        <v>1687354201</v>
      </c>
      <c r="J237">
        <v>1380461731</v>
      </c>
      <c r="K237">
        <v>1367200216</v>
      </c>
      <c r="L237">
        <v>1197981851</v>
      </c>
      <c r="M237">
        <v>975055072</v>
      </c>
      <c r="N237">
        <v>683384167</v>
      </c>
      <c r="O237">
        <v>688516352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97686948</v>
      </c>
      <c r="G238">
        <v>112132681</v>
      </c>
      <c r="H238">
        <v>129485934</v>
      </c>
      <c r="I238">
        <v>105799566</v>
      </c>
      <c r="J238">
        <v>113786847</v>
      </c>
      <c r="K238">
        <v>127685110</v>
      </c>
      <c r="L238">
        <v>114342049</v>
      </c>
      <c r="M238">
        <v>123772473</v>
      </c>
      <c r="N238">
        <v>131395450</v>
      </c>
      <c r="O238">
        <v>106499396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713321949</v>
      </c>
      <c r="G239">
        <v>487754073</v>
      </c>
      <c r="H239">
        <v>462117157</v>
      </c>
      <c r="I239">
        <v>442788040</v>
      </c>
      <c r="J239">
        <v>470887280</v>
      </c>
      <c r="K239">
        <v>385435709</v>
      </c>
      <c r="L239">
        <v>510677160</v>
      </c>
      <c r="M239">
        <v>248931539</v>
      </c>
      <c r="N239">
        <v>31906263</v>
      </c>
      <c r="O239">
        <v>17318985</v>
      </c>
      <c r="P239">
        <v>3517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9254625</v>
      </c>
      <c r="G240">
        <v>6832394</v>
      </c>
      <c r="H240">
        <v>8830241</v>
      </c>
      <c r="I240">
        <v>4683756</v>
      </c>
      <c r="J240">
        <v>0</v>
      </c>
      <c r="K240">
        <v>175223</v>
      </c>
      <c r="L240">
        <v>196682</v>
      </c>
      <c r="M240">
        <v>300798</v>
      </c>
      <c r="N240">
        <v>1284065</v>
      </c>
      <c r="O240">
        <v>601716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4632515378</v>
      </c>
      <c r="G241">
        <v>5073694217</v>
      </c>
      <c r="H241">
        <v>4906245354</v>
      </c>
      <c r="I241">
        <v>3772692760</v>
      </c>
      <c r="J241">
        <v>3188576007</v>
      </c>
      <c r="K241">
        <v>2324589748</v>
      </c>
      <c r="L241">
        <v>2092275455</v>
      </c>
      <c r="M241">
        <v>1795737089</v>
      </c>
      <c r="N241">
        <v>1559832039</v>
      </c>
      <c r="O241">
        <v>1443420597</v>
      </c>
      <c r="P241">
        <v>70860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896909314</v>
      </c>
      <c r="G242">
        <v>1497548557</v>
      </c>
      <c r="H242">
        <v>878253846</v>
      </c>
      <c r="I242">
        <v>746461435</v>
      </c>
      <c r="J242">
        <v>817527934</v>
      </c>
      <c r="K242">
        <v>861202791</v>
      </c>
      <c r="L242">
        <v>862198505</v>
      </c>
      <c r="M242">
        <v>675360664</v>
      </c>
      <c r="N242">
        <v>1683610322</v>
      </c>
      <c r="O242">
        <v>1731275617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2315066759</v>
      </c>
      <c r="G243">
        <v>1949630196</v>
      </c>
      <c r="H243">
        <v>785953403</v>
      </c>
      <c r="I243">
        <v>815459464</v>
      </c>
      <c r="J243">
        <v>669126574</v>
      </c>
      <c r="K243">
        <v>815630424</v>
      </c>
      <c r="L243">
        <v>667961976</v>
      </c>
      <c r="M243">
        <v>671344841</v>
      </c>
      <c r="N243">
        <v>659439616</v>
      </c>
      <c r="O243">
        <v>733441936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200897682</v>
      </c>
      <c r="G244">
        <v>228908631</v>
      </c>
      <c r="H244">
        <v>197891919</v>
      </c>
      <c r="I244">
        <v>152466367</v>
      </c>
      <c r="J244">
        <v>208813667</v>
      </c>
      <c r="K244">
        <v>168471860</v>
      </c>
      <c r="L244">
        <v>173717733</v>
      </c>
      <c r="M244">
        <v>166326028</v>
      </c>
      <c r="N244">
        <v>151790785</v>
      </c>
      <c r="O244">
        <v>145416199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53354987</v>
      </c>
      <c r="G245">
        <v>44937143</v>
      </c>
      <c r="H245">
        <v>32804548</v>
      </c>
      <c r="I245">
        <v>7871934</v>
      </c>
      <c r="J245">
        <v>12994673</v>
      </c>
      <c r="K245">
        <v>14557878</v>
      </c>
      <c r="L245">
        <v>16290358</v>
      </c>
      <c r="M245">
        <v>12807877</v>
      </c>
      <c r="N245">
        <v>11532867</v>
      </c>
      <c r="O245">
        <v>2335563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53971535</v>
      </c>
      <c r="G246">
        <v>34240249</v>
      </c>
      <c r="H246">
        <v>21827436</v>
      </c>
      <c r="I246">
        <v>37640476</v>
      </c>
      <c r="J246">
        <v>201184339</v>
      </c>
      <c r="K246">
        <v>230003910</v>
      </c>
      <c r="L246">
        <v>176773188</v>
      </c>
      <c r="M246">
        <v>304148554</v>
      </c>
      <c r="N246">
        <v>349894744</v>
      </c>
      <c r="O246">
        <v>576482331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1213571680</v>
      </c>
      <c r="G247">
        <v>828585057</v>
      </c>
      <c r="H247">
        <v>970120612</v>
      </c>
      <c r="I247">
        <v>732520600</v>
      </c>
      <c r="J247">
        <v>637915086</v>
      </c>
      <c r="K247">
        <v>438732634</v>
      </c>
      <c r="L247">
        <v>545047594</v>
      </c>
      <c r="M247">
        <v>694062243</v>
      </c>
      <c r="N247">
        <v>546092408</v>
      </c>
      <c r="O247">
        <v>576156154</v>
      </c>
      <c r="P247">
        <v>1311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173188942</v>
      </c>
      <c r="G248">
        <v>115556221</v>
      </c>
      <c r="H248">
        <v>75376833</v>
      </c>
      <c r="I248">
        <v>53332440</v>
      </c>
      <c r="J248">
        <v>46910665</v>
      </c>
      <c r="K248">
        <v>80237036</v>
      </c>
      <c r="L248">
        <v>33555379</v>
      </c>
      <c r="M248">
        <v>29951124</v>
      </c>
      <c r="N248">
        <v>20897030</v>
      </c>
      <c r="O248">
        <v>26119546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1958832237</v>
      </c>
      <c r="G249">
        <v>1262464643</v>
      </c>
      <c r="H249">
        <v>794374581</v>
      </c>
      <c r="I249">
        <v>761301675</v>
      </c>
      <c r="J249">
        <v>596311576</v>
      </c>
      <c r="K249">
        <v>435942768</v>
      </c>
      <c r="L249">
        <v>488746614</v>
      </c>
      <c r="M249">
        <v>560350610</v>
      </c>
      <c r="N249">
        <v>336717896</v>
      </c>
      <c r="O249">
        <v>402115722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172905828</v>
      </c>
      <c r="G250">
        <v>145719963</v>
      </c>
      <c r="H250">
        <v>172511442</v>
      </c>
      <c r="I250">
        <v>186688807</v>
      </c>
      <c r="J250">
        <v>217557471</v>
      </c>
      <c r="K250">
        <v>29652129</v>
      </c>
      <c r="L250">
        <v>20302456</v>
      </c>
      <c r="M250">
        <v>8510760</v>
      </c>
      <c r="N250">
        <v>9935618</v>
      </c>
      <c r="O250">
        <v>12504468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K251">
        <v>60815468.280000001</v>
      </c>
      <c r="L251">
        <v>58116747.640000001</v>
      </c>
      <c r="M251">
        <v>5868864.8799999999</v>
      </c>
      <c r="N251">
        <v>5791207.6699999999</v>
      </c>
      <c r="O251">
        <v>6198786.9500000002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313469247</v>
      </c>
      <c r="G252">
        <v>246109198</v>
      </c>
      <c r="H252">
        <v>217767539</v>
      </c>
      <c r="I252">
        <v>391634057</v>
      </c>
      <c r="J252">
        <v>375554760</v>
      </c>
      <c r="K252">
        <v>294169338</v>
      </c>
      <c r="L252">
        <v>319610357</v>
      </c>
      <c r="M252">
        <v>321641597</v>
      </c>
      <c r="N252">
        <v>319077383</v>
      </c>
      <c r="O252">
        <v>413254318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607336454</v>
      </c>
      <c r="G253">
        <v>699316651</v>
      </c>
      <c r="H253">
        <v>739569987</v>
      </c>
      <c r="I253">
        <v>634195087</v>
      </c>
      <c r="J253">
        <v>576536666</v>
      </c>
      <c r="K253">
        <v>561992785</v>
      </c>
      <c r="L253">
        <v>563506178</v>
      </c>
      <c r="M253">
        <v>493727406</v>
      </c>
      <c r="N253">
        <v>450009462</v>
      </c>
      <c r="O253">
        <v>339299828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265559388</v>
      </c>
      <c r="G254">
        <v>204389283</v>
      </c>
      <c r="H254">
        <v>404973057</v>
      </c>
      <c r="I254">
        <v>500563473</v>
      </c>
      <c r="J254">
        <v>512256817</v>
      </c>
      <c r="K254">
        <v>547741007</v>
      </c>
      <c r="L254">
        <v>450383175</v>
      </c>
      <c r="M254">
        <v>428562195</v>
      </c>
      <c r="N254">
        <v>478382668</v>
      </c>
      <c r="O254">
        <v>453340615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824792354</v>
      </c>
      <c r="G255">
        <v>1132568683</v>
      </c>
      <c r="H255">
        <v>1903987444</v>
      </c>
      <c r="I255">
        <v>2502764731</v>
      </c>
      <c r="J255">
        <v>2460634176</v>
      </c>
      <c r="K255">
        <v>2135250529</v>
      </c>
      <c r="L255">
        <v>2199534740</v>
      </c>
      <c r="M255">
        <v>2037010775</v>
      </c>
      <c r="N255">
        <v>1647621146</v>
      </c>
      <c r="O255">
        <v>1490514693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F256">
        <v>32112057</v>
      </c>
      <c r="G256">
        <v>160966992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5638482.1399999997</v>
      </c>
      <c r="O256">
        <v>23331602.699999999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1608479430</v>
      </c>
      <c r="G257">
        <v>1581950835</v>
      </c>
      <c r="H257">
        <v>1949974876</v>
      </c>
      <c r="I257">
        <v>1992513876</v>
      </c>
      <c r="J257">
        <v>1712709987</v>
      </c>
      <c r="K257">
        <v>1707014244</v>
      </c>
      <c r="L257">
        <v>1513117698</v>
      </c>
      <c r="M257">
        <v>1615903515</v>
      </c>
      <c r="N257">
        <v>1042589570</v>
      </c>
      <c r="O257">
        <v>914621198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108374457</v>
      </c>
      <c r="G258">
        <v>691801771</v>
      </c>
      <c r="H258">
        <v>1333091725</v>
      </c>
      <c r="I258">
        <v>1412804798</v>
      </c>
      <c r="J258">
        <v>1090658702</v>
      </c>
      <c r="K258">
        <v>536533928</v>
      </c>
      <c r="L258">
        <v>69961728</v>
      </c>
      <c r="M258">
        <v>89249494</v>
      </c>
      <c r="N258">
        <v>51754107</v>
      </c>
      <c r="O258">
        <v>49547901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1640830445</v>
      </c>
      <c r="G259">
        <v>1138277016</v>
      </c>
      <c r="H259">
        <v>1205536541</v>
      </c>
      <c r="I259">
        <v>1774127088</v>
      </c>
      <c r="J259">
        <v>2188449879</v>
      </c>
      <c r="K259">
        <v>1781750009</v>
      </c>
      <c r="L259">
        <v>2157416260</v>
      </c>
      <c r="M259">
        <v>1498649196</v>
      </c>
      <c r="N259">
        <v>1246887856</v>
      </c>
      <c r="O259">
        <v>1298048118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1696059221</v>
      </c>
      <c r="G260">
        <v>1946961869</v>
      </c>
      <c r="H260">
        <v>3057459031</v>
      </c>
      <c r="I260">
        <v>2816346618</v>
      </c>
      <c r="J260">
        <v>3018597103</v>
      </c>
      <c r="K260">
        <v>3106579945</v>
      </c>
      <c r="L260">
        <v>1654437153</v>
      </c>
      <c r="M260">
        <v>135124669</v>
      </c>
      <c r="N260">
        <v>72440593</v>
      </c>
      <c r="O260">
        <v>41767713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1123486481</v>
      </c>
      <c r="G261">
        <v>799014094</v>
      </c>
      <c r="H261">
        <v>813606733</v>
      </c>
      <c r="I261">
        <v>767279353</v>
      </c>
      <c r="J261">
        <v>610967093</v>
      </c>
      <c r="K261">
        <v>462869075</v>
      </c>
      <c r="L261">
        <v>451852348</v>
      </c>
      <c r="M261">
        <v>364900838</v>
      </c>
      <c r="N261">
        <v>412538244</v>
      </c>
      <c r="O261">
        <v>507915977</v>
      </c>
      <c r="P261">
        <v>4513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1880965489</v>
      </c>
      <c r="G262">
        <v>1549836508</v>
      </c>
      <c r="H262">
        <v>1537943360</v>
      </c>
      <c r="I262">
        <v>1655198111</v>
      </c>
      <c r="J262">
        <v>1400215744</v>
      </c>
      <c r="K262">
        <v>1577362013</v>
      </c>
      <c r="L262">
        <v>1776051652</v>
      </c>
      <c r="M262">
        <v>452926648</v>
      </c>
      <c r="N262">
        <v>1154971902</v>
      </c>
      <c r="O262">
        <v>1108581895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67455241</v>
      </c>
      <c r="G263">
        <v>101922929</v>
      </c>
      <c r="H263">
        <v>160060936</v>
      </c>
      <c r="I263">
        <v>157395783</v>
      </c>
      <c r="J263">
        <v>180016018</v>
      </c>
      <c r="K263">
        <v>168911730</v>
      </c>
      <c r="L263">
        <v>122264643</v>
      </c>
      <c r="M263">
        <v>158866424</v>
      </c>
      <c r="N263">
        <v>157134182</v>
      </c>
      <c r="O263">
        <v>204432165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22591136</v>
      </c>
      <c r="G264">
        <v>1428562</v>
      </c>
      <c r="H264">
        <v>22622199</v>
      </c>
      <c r="I264">
        <v>26177255</v>
      </c>
      <c r="J264">
        <v>22894388</v>
      </c>
      <c r="K264">
        <v>36974104</v>
      </c>
      <c r="L264">
        <v>35396160</v>
      </c>
      <c r="M264">
        <v>49816092</v>
      </c>
      <c r="N264">
        <v>47265842</v>
      </c>
      <c r="O264">
        <v>36991920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628454597</v>
      </c>
      <c r="G265">
        <v>641283030</v>
      </c>
      <c r="H265">
        <v>265219403</v>
      </c>
      <c r="I265">
        <v>303038717</v>
      </c>
      <c r="J265">
        <v>300056890</v>
      </c>
      <c r="K265">
        <v>267803940</v>
      </c>
      <c r="L265">
        <v>255137883</v>
      </c>
      <c r="M265">
        <v>248098793</v>
      </c>
      <c r="N265">
        <v>252523597</v>
      </c>
      <c r="O265">
        <v>194984955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348512209</v>
      </c>
      <c r="G266">
        <v>509559611</v>
      </c>
      <c r="H266">
        <v>876449083</v>
      </c>
      <c r="I266">
        <v>823434306</v>
      </c>
      <c r="J266">
        <v>1003235585</v>
      </c>
      <c r="K266">
        <v>1403150487</v>
      </c>
      <c r="L266">
        <v>1766923842</v>
      </c>
      <c r="M266">
        <v>930732705</v>
      </c>
      <c r="N266">
        <v>856238726</v>
      </c>
      <c r="O266">
        <v>836248718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78595879</v>
      </c>
      <c r="G267">
        <v>93728123</v>
      </c>
      <c r="H267">
        <v>89750514</v>
      </c>
      <c r="I267">
        <v>138470250</v>
      </c>
      <c r="J267">
        <v>132623742</v>
      </c>
      <c r="K267">
        <v>101721019</v>
      </c>
      <c r="L267">
        <v>96176528</v>
      </c>
      <c r="M267">
        <v>96721526</v>
      </c>
      <c r="N267">
        <v>85812283</v>
      </c>
      <c r="O267">
        <v>63495332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2200784</v>
      </c>
      <c r="G268">
        <v>1077969</v>
      </c>
      <c r="H268">
        <v>371694</v>
      </c>
      <c r="I268">
        <v>0</v>
      </c>
      <c r="J268">
        <v>2033921</v>
      </c>
      <c r="K268">
        <v>7558580</v>
      </c>
      <c r="L268">
        <v>7075041</v>
      </c>
      <c r="M268">
        <v>992042</v>
      </c>
      <c r="N268">
        <v>6125622</v>
      </c>
      <c r="O268">
        <v>19409574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242324552</v>
      </c>
      <c r="G269">
        <v>164164793</v>
      </c>
      <c r="H269">
        <v>172728593</v>
      </c>
      <c r="I269">
        <v>198010909</v>
      </c>
      <c r="J269">
        <v>198770137</v>
      </c>
      <c r="K269">
        <v>342658518</v>
      </c>
      <c r="L269">
        <v>965578275</v>
      </c>
      <c r="M269">
        <v>478705825</v>
      </c>
      <c r="N269">
        <v>226990639</v>
      </c>
      <c r="O269">
        <v>287103305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730579630</v>
      </c>
      <c r="G270">
        <v>688450102</v>
      </c>
      <c r="H270">
        <v>960075713</v>
      </c>
      <c r="I270">
        <v>871256724</v>
      </c>
      <c r="J270">
        <v>933121233</v>
      </c>
      <c r="K270">
        <v>1382768406</v>
      </c>
      <c r="L270">
        <v>1400066335</v>
      </c>
      <c r="M270">
        <v>1528602820</v>
      </c>
      <c r="N270">
        <v>1226358982</v>
      </c>
      <c r="O270">
        <v>1140054545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8646177732</v>
      </c>
      <c r="G271">
        <v>6309034174</v>
      </c>
      <c r="H271">
        <v>4433077610</v>
      </c>
      <c r="I271">
        <v>2542568582</v>
      </c>
      <c r="J271">
        <v>2832792897</v>
      </c>
      <c r="K271">
        <v>1714873634</v>
      </c>
      <c r="L271">
        <v>1213878016</v>
      </c>
      <c r="M271">
        <v>1341579522</v>
      </c>
      <c r="N271">
        <v>1062550312</v>
      </c>
      <c r="O271">
        <v>948362672</v>
      </c>
      <c r="P271">
        <v>7475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656161626</v>
      </c>
      <c r="G272">
        <v>587036612</v>
      </c>
      <c r="H272">
        <v>278415710</v>
      </c>
      <c r="I272">
        <v>268899865</v>
      </c>
      <c r="J272">
        <v>169708685</v>
      </c>
      <c r="K272">
        <v>213259492</v>
      </c>
      <c r="L272">
        <v>199833992</v>
      </c>
      <c r="M272">
        <v>411764123</v>
      </c>
      <c r="N272">
        <v>255225354</v>
      </c>
      <c r="O272">
        <v>559164607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8358169</v>
      </c>
      <c r="G273">
        <v>4095555</v>
      </c>
      <c r="H273">
        <v>0</v>
      </c>
      <c r="I273">
        <v>5046</v>
      </c>
      <c r="J273">
        <v>2331416</v>
      </c>
      <c r="K273">
        <v>16738</v>
      </c>
      <c r="L273">
        <v>2008</v>
      </c>
      <c r="M273">
        <v>7906</v>
      </c>
      <c r="N273">
        <v>7462</v>
      </c>
      <c r="O273">
        <v>5321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6268456335</v>
      </c>
      <c r="G274">
        <v>8345996713</v>
      </c>
      <c r="H274">
        <v>11125449072</v>
      </c>
      <c r="I274">
        <v>11369050808</v>
      </c>
      <c r="J274">
        <v>8045490360</v>
      </c>
      <c r="K274">
        <v>6657511511</v>
      </c>
      <c r="L274">
        <v>5362309720</v>
      </c>
      <c r="M274">
        <v>4230263943</v>
      </c>
      <c r="N274">
        <v>2792073216</v>
      </c>
      <c r="O274">
        <v>1886909567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245796737</v>
      </c>
      <c r="G275">
        <v>264426459</v>
      </c>
      <c r="H275">
        <v>225577712</v>
      </c>
      <c r="I275">
        <v>152230984</v>
      </c>
      <c r="J275">
        <v>148386907</v>
      </c>
      <c r="K275">
        <v>495007718</v>
      </c>
      <c r="L275">
        <v>410152427</v>
      </c>
      <c r="M275">
        <v>233380683</v>
      </c>
      <c r="N275">
        <v>198165649</v>
      </c>
      <c r="O275">
        <v>100982328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1108951084</v>
      </c>
      <c r="G276">
        <v>1089565503</v>
      </c>
      <c r="H276">
        <v>1228905733</v>
      </c>
      <c r="I276">
        <v>1030305264</v>
      </c>
      <c r="J276">
        <v>926859206</v>
      </c>
      <c r="K276">
        <v>625465968</v>
      </c>
      <c r="L276">
        <v>762326711</v>
      </c>
      <c r="M276">
        <v>530098698</v>
      </c>
      <c r="N276">
        <v>429072458</v>
      </c>
      <c r="O276">
        <v>428395165</v>
      </c>
      <c r="P276">
        <v>1243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2869889037</v>
      </c>
      <c r="G277">
        <v>755580819</v>
      </c>
      <c r="H277">
        <v>2142239790</v>
      </c>
      <c r="I277">
        <v>830514346</v>
      </c>
      <c r="J277">
        <v>996165132</v>
      </c>
      <c r="K277">
        <v>1003496336</v>
      </c>
      <c r="L277">
        <v>946579027</v>
      </c>
      <c r="M277">
        <v>1602926065</v>
      </c>
      <c r="N277">
        <v>1210579025</v>
      </c>
      <c r="O277">
        <v>747992385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H278">
        <v>149860119</v>
      </c>
      <c r="I278">
        <v>307798502</v>
      </c>
      <c r="J278">
        <v>357064770</v>
      </c>
      <c r="K278">
        <v>629301034</v>
      </c>
      <c r="L278">
        <v>314940229.60000002</v>
      </c>
      <c r="M278">
        <v>278962864.06999999</v>
      </c>
      <c r="N278">
        <v>335955025.85000002</v>
      </c>
      <c r="O278">
        <v>410796545.60000002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15131227</v>
      </c>
      <c r="G279">
        <v>21853362</v>
      </c>
      <c r="H279">
        <v>26177381</v>
      </c>
      <c r="I279">
        <v>3777651</v>
      </c>
      <c r="J279">
        <v>3791125</v>
      </c>
      <c r="K279">
        <v>5202501</v>
      </c>
      <c r="L279">
        <v>11323179</v>
      </c>
      <c r="M279">
        <v>4623436</v>
      </c>
      <c r="N279">
        <v>3824335</v>
      </c>
      <c r="O279">
        <v>4786502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11458364</v>
      </c>
      <c r="G280">
        <v>8380620</v>
      </c>
      <c r="H280">
        <v>54325024</v>
      </c>
      <c r="I280">
        <v>84259027</v>
      </c>
      <c r="J280">
        <v>79578090</v>
      </c>
      <c r="K280">
        <v>42813069</v>
      </c>
      <c r="L280">
        <v>53741938</v>
      </c>
      <c r="M280">
        <v>44483347</v>
      </c>
      <c r="N280">
        <v>54352492</v>
      </c>
      <c r="O280">
        <v>82189247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6448850756</v>
      </c>
      <c r="G281">
        <v>7227065255</v>
      </c>
      <c r="H281">
        <v>4966175528</v>
      </c>
      <c r="I281">
        <v>5032548741</v>
      </c>
      <c r="J281">
        <v>3980017611</v>
      </c>
      <c r="K281">
        <v>4230746458</v>
      </c>
      <c r="L281">
        <v>3894762468</v>
      </c>
      <c r="M281">
        <v>3617250552</v>
      </c>
      <c r="N281">
        <v>3548903103</v>
      </c>
      <c r="O281">
        <v>3710721111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361692446</v>
      </c>
      <c r="G282">
        <v>242630251</v>
      </c>
      <c r="H282">
        <v>361717102</v>
      </c>
      <c r="I282">
        <v>266553819</v>
      </c>
      <c r="J282">
        <v>156773932</v>
      </c>
      <c r="K282">
        <v>122790510</v>
      </c>
      <c r="L282">
        <v>142863614</v>
      </c>
      <c r="M282">
        <v>122739753</v>
      </c>
      <c r="N282">
        <v>35213105</v>
      </c>
      <c r="O282">
        <v>72594133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103130</v>
      </c>
      <c r="G283">
        <v>90945</v>
      </c>
      <c r="H283">
        <v>335249</v>
      </c>
      <c r="I283">
        <v>3510754</v>
      </c>
      <c r="J283">
        <v>4179210</v>
      </c>
      <c r="K283">
        <v>3629063</v>
      </c>
      <c r="L283">
        <v>3763556</v>
      </c>
      <c r="M283">
        <v>3858938</v>
      </c>
      <c r="N283">
        <v>3883288</v>
      </c>
      <c r="O283">
        <v>3750587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1730666290</v>
      </c>
      <c r="G284">
        <v>1027667303</v>
      </c>
      <c r="H284">
        <v>906731630</v>
      </c>
      <c r="I284">
        <v>414593151</v>
      </c>
      <c r="J284">
        <v>339740444</v>
      </c>
      <c r="K284">
        <v>261908732</v>
      </c>
      <c r="L284">
        <v>242026255</v>
      </c>
      <c r="M284">
        <v>213235549</v>
      </c>
      <c r="N284">
        <v>79666935</v>
      </c>
      <c r="O284">
        <v>49194594</v>
      </c>
      <c r="P284">
        <v>1149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328415682</v>
      </c>
      <c r="G285">
        <v>95220633</v>
      </c>
      <c r="H285">
        <v>35129257</v>
      </c>
      <c r="I285">
        <v>13397732</v>
      </c>
      <c r="J285">
        <v>12057062</v>
      </c>
      <c r="K285">
        <v>5683191</v>
      </c>
      <c r="L285">
        <v>1883426</v>
      </c>
      <c r="M285">
        <v>1778632</v>
      </c>
      <c r="N285">
        <v>5856104</v>
      </c>
      <c r="O285">
        <v>5090641</v>
      </c>
      <c r="P285">
        <v>1184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1952807666</v>
      </c>
      <c r="G286">
        <v>1275661633</v>
      </c>
      <c r="H286">
        <v>1603671559</v>
      </c>
      <c r="I286">
        <v>675671278</v>
      </c>
      <c r="J286">
        <v>540865117</v>
      </c>
      <c r="K286">
        <v>432372084</v>
      </c>
      <c r="L286">
        <v>535945860</v>
      </c>
      <c r="M286">
        <v>533164919</v>
      </c>
      <c r="N286">
        <v>435852951</v>
      </c>
      <c r="O286">
        <v>343308749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89925907</v>
      </c>
      <c r="G287">
        <v>163774014</v>
      </c>
      <c r="H287">
        <v>168596694</v>
      </c>
      <c r="I287">
        <v>144580313</v>
      </c>
      <c r="J287">
        <v>147215896</v>
      </c>
      <c r="K287">
        <v>115328396</v>
      </c>
      <c r="L287">
        <v>105479758</v>
      </c>
      <c r="M287">
        <v>97840041</v>
      </c>
      <c r="N287">
        <v>107979209</v>
      </c>
      <c r="O287">
        <v>75844877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199646108</v>
      </c>
      <c r="G288">
        <v>131875155</v>
      </c>
      <c r="H288">
        <v>176071443</v>
      </c>
      <c r="I288">
        <v>0</v>
      </c>
      <c r="J288">
        <v>139616695</v>
      </c>
      <c r="K288">
        <v>196150369</v>
      </c>
      <c r="L288">
        <v>247637096</v>
      </c>
      <c r="M288">
        <v>213748685</v>
      </c>
      <c r="N288">
        <v>176096377</v>
      </c>
      <c r="O288">
        <v>176166556</v>
      </c>
      <c r="P288">
        <v>263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1536992973</v>
      </c>
      <c r="G289">
        <v>1512811727</v>
      </c>
      <c r="H289">
        <v>1373019433</v>
      </c>
      <c r="I289">
        <v>1319870618</v>
      </c>
      <c r="J289">
        <v>1249443190</v>
      </c>
      <c r="K289">
        <v>1173615683</v>
      </c>
      <c r="L289">
        <v>1279035082</v>
      </c>
      <c r="M289">
        <v>1325983555</v>
      </c>
      <c r="N289">
        <v>1004654672</v>
      </c>
      <c r="O289">
        <v>824418519</v>
      </c>
      <c r="P289">
        <v>553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1614375736</v>
      </c>
      <c r="G290">
        <v>1362400626</v>
      </c>
      <c r="H290">
        <v>1130070467</v>
      </c>
      <c r="I290">
        <v>860650822</v>
      </c>
      <c r="J290">
        <v>580925342</v>
      </c>
      <c r="K290">
        <v>537969948</v>
      </c>
      <c r="L290">
        <v>339658135</v>
      </c>
      <c r="M290">
        <v>310573253</v>
      </c>
      <c r="N290">
        <v>303376710</v>
      </c>
      <c r="O290">
        <v>240732776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29705364</v>
      </c>
      <c r="G291">
        <v>35699484</v>
      </c>
      <c r="H291">
        <v>1079284</v>
      </c>
      <c r="I291">
        <v>1966313</v>
      </c>
      <c r="J291">
        <v>46231260</v>
      </c>
      <c r="K291">
        <v>19012240</v>
      </c>
      <c r="L291">
        <v>27452455</v>
      </c>
      <c r="M291">
        <v>43910983</v>
      </c>
      <c r="N291">
        <v>30201355</v>
      </c>
      <c r="O291">
        <v>12328820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12816537107</v>
      </c>
      <c r="G292">
        <v>12389655577</v>
      </c>
      <c r="H292">
        <v>12555024520</v>
      </c>
      <c r="I292">
        <v>10872458472</v>
      </c>
      <c r="J292">
        <v>1113769007</v>
      </c>
      <c r="K292">
        <v>1108363607</v>
      </c>
      <c r="L292">
        <v>1051642996</v>
      </c>
      <c r="M292">
        <v>1005958251</v>
      </c>
      <c r="N292">
        <v>973184749</v>
      </c>
      <c r="O292">
        <v>550052455</v>
      </c>
      <c r="P292">
        <v>2231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125502787</v>
      </c>
      <c r="G293">
        <v>88389276</v>
      </c>
      <c r="H293">
        <v>104602818</v>
      </c>
      <c r="I293">
        <v>93454530</v>
      </c>
      <c r="J293">
        <v>53047269</v>
      </c>
      <c r="K293">
        <v>49488168</v>
      </c>
      <c r="L293">
        <v>22925777</v>
      </c>
      <c r="M293">
        <v>96991790</v>
      </c>
      <c r="N293">
        <v>90256715</v>
      </c>
      <c r="O293">
        <v>113248782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5589578616</v>
      </c>
      <c r="G294">
        <v>4451854281</v>
      </c>
      <c r="H294">
        <v>4857331299</v>
      </c>
      <c r="I294">
        <v>2356764693</v>
      </c>
      <c r="J294">
        <v>1994336372</v>
      </c>
      <c r="K294">
        <v>963574513</v>
      </c>
      <c r="L294">
        <v>674809229</v>
      </c>
      <c r="M294">
        <v>707222316</v>
      </c>
      <c r="N294">
        <v>366157920</v>
      </c>
      <c r="O294">
        <v>96234033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1081108320</v>
      </c>
      <c r="G295">
        <v>1320896958</v>
      </c>
      <c r="H295">
        <v>1020971013</v>
      </c>
      <c r="I295">
        <v>606932551</v>
      </c>
      <c r="J295">
        <v>417213101</v>
      </c>
      <c r="K295">
        <v>294523899</v>
      </c>
      <c r="L295">
        <v>228895977</v>
      </c>
      <c r="M295">
        <v>216740298</v>
      </c>
      <c r="N295">
        <v>166456406</v>
      </c>
      <c r="O295">
        <v>147293883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302412878</v>
      </c>
      <c r="G296">
        <v>282927083</v>
      </c>
      <c r="H296">
        <v>267531847</v>
      </c>
      <c r="I296">
        <v>339417921</v>
      </c>
      <c r="J296">
        <v>224642713</v>
      </c>
      <c r="K296">
        <v>129149722</v>
      </c>
      <c r="L296">
        <v>105832487</v>
      </c>
      <c r="M296">
        <v>145493343</v>
      </c>
      <c r="N296">
        <v>157201679</v>
      </c>
      <c r="O296">
        <v>195245155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54976852</v>
      </c>
      <c r="G297">
        <v>64216794</v>
      </c>
      <c r="H297">
        <v>101555013</v>
      </c>
      <c r="I297">
        <v>251265716</v>
      </c>
      <c r="J297">
        <v>135903452</v>
      </c>
      <c r="K297">
        <v>125075406</v>
      </c>
      <c r="L297">
        <v>170772978</v>
      </c>
      <c r="M297">
        <v>6984456</v>
      </c>
      <c r="N297">
        <v>6270527</v>
      </c>
      <c r="O297">
        <v>10369010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9197064387</v>
      </c>
      <c r="G298">
        <v>10697990614</v>
      </c>
      <c r="H298">
        <v>12710321348</v>
      </c>
      <c r="I298">
        <v>15149363829</v>
      </c>
      <c r="J298">
        <v>19283873641</v>
      </c>
      <c r="K298">
        <v>18577218305</v>
      </c>
      <c r="L298">
        <v>19424989</v>
      </c>
      <c r="M298">
        <v>24776951</v>
      </c>
      <c r="N298">
        <v>20760821</v>
      </c>
      <c r="O298">
        <v>29245247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56492551622</v>
      </c>
      <c r="G299">
        <v>63142026157</v>
      </c>
      <c r="H299">
        <v>46871039462</v>
      </c>
      <c r="I299">
        <v>34437662055</v>
      </c>
      <c r="J299">
        <v>18910317711</v>
      </c>
      <c r="K299">
        <v>9500775322</v>
      </c>
      <c r="L299">
        <v>7177477339</v>
      </c>
      <c r="M299">
        <v>5137478783</v>
      </c>
      <c r="N299">
        <v>1744285742</v>
      </c>
      <c r="O299">
        <v>1411017304</v>
      </c>
      <c r="P299">
        <v>22451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675842857</v>
      </c>
      <c r="G300">
        <v>868327424</v>
      </c>
      <c r="H300">
        <v>709785228</v>
      </c>
      <c r="I300">
        <v>805270065</v>
      </c>
      <c r="J300">
        <v>814061326</v>
      </c>
      <c r="K300">
        <v>644876940</v>
      </c>
      <c r="L300">
        <v>602091900</v>
      </c>
      <c r="M300">
        <v>551559511</v>
      </c>
      <c r="N300">
        <v>568937974</v>
      </c>
      <c r="O300">
        <v>567376169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125159850</v>
      </c>
      <c r="G301">
        <v>120959078</v>
      </c>
      <c r="H301">
        <v>104168900</v>
      </c>
      <c r="I301">
        <v>70791804</v>
      </c>
      <c r="J301">
        <v>94875109</v>
      </c>
      <c r="K301">
        <v>149498127</v>
      </c>
      <c r="L301">
        <v>226676505</v>
      </c>
      <c r="M301">
        <v>247466156</v>
      </c>
      <c r="N301">
        <v>424603683</v>
      </c>
      <c r="O301">
        <v>317677098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2643843372</v>
      </c>
      <c r="G302">
        <v>1363602415</v>
      </c>
      <c r="H302">
        <v>675399515</v>
      </c>
      <c r="I302">
        <v>483777272</v>
      </c>
      <c r="J302">
        <v>44048031</v>
      </c>
      <c r="K302">
        <v>65595432</v>
      </c>
      <c r="L302">
        <v>301719848</v>
      </c>
      <c r="M302">
        <v>298726219</v>
      </c>
      <c r="N302">
        <v>360629657</v>
      </c>
      <c r="O302">
        <v>469948351</v>
      </c>
      <c r="P302">
        <v>1652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2345827708</v>
      </c>
      <c r="G303">
        <v>3068615479</v>
      </c>
      <c r="H303">
        <v>3368580153</v>
      </c>
      <c r="I303">
        <v>2684622221</v>
      </c>
      <c r="J303">
        <v>2900518892</v>
      </c>
      <c r="K303">
        <v>3663178844</v>
      </c>
      <c r="L303">
        <v>3691546251</v>
      </c>
      <c r="M303">
        <v>2717501027</v>
      </c>
      <c r="N303">
        <v>1700863954</v>
      </c>
      <c r="O303">
        <v>2260397583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1494867864</v>
      </c>
      <c r="G304">
        <v>519497847</v>
      </c>
      <c r="H304">
        <v>6532792</v>
      </c>
      <c r="I304">
        <v>7020946</v>
      </c>
      <c r="J304">
        <v>18502993</v>
      </c>
      <c r="K304">
        <v>7368994</v>
      </c>
      <c r="L304">
        <v>1608955</v>
      </c>
      <c r="M304">
        <v>6126323</v>
      </c>
      <c r="N304">
        <v>7264307</v>
      </c>
      <c r="O304">
        <v>2093918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424052949</v>
      </c>
      <c r="G305">
        <v>468930398</v>
      </c>
      <c r="H305">
        <v>563146830</v>
      </c>
      <c r="I305">
        <v>596179157</v>
      </c>
      <c r="J305">
        <v>509738795</v>
      </c>
      <c r="K305">
        <v>356699810</v>
      </c>
      <c r="L305">
        <v>227392194</v>
      </c>
      <c r="M305">
        <v>215839599</v>
      </c>
      <c r="N305">
        <v>182167362</v>
      </c>
      <c r="O305">
        <v>106484889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2416889628</v>
      </c>
      <c r="G306">
        <v>2252894241</v>
      </c>
      <c r="H306">
        <v>2659103375</v>
      </c>
      <c r="I306">
        <v>2983962216</v>
      </c>
      <c r="J306">
        <v>2588680561</v>
      </c>
      <c r="K306">
        <v>2176923883</v>
      </c>
      <c r="L306">
        <v>2175164790</v>
      </c>
      <c r="M306">
        <v>2655788484</v>
      </c>
      <c r="N306">
        <v>1960662767</v>
      </c>
      <c r="O306">
        <v>1865343627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475625935</v>
      </c>
      <c r="G307">
        <v>407046789</v>
      </c>
      <c r="H307">
        <v>412349414</v>
      </c>
      <c r="I307">
        <v>403913514</v>
      </c>
      <c r="J307">
        <v>320328685</v>
      </c>
      <c r="K307">
        <v>306287222</v>
      </c>
      <c r="L307">
        <v>330546409</v>
      </c>
      <c r="M307">
        <v>219955596</v>
      </c>
      <c r="N307">
        <v>136726975</v>
      </c>
      <c r="O307">
        <v>130352060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102113627</v>
      </c>
      <c r="G308">
        <v>92678565</v>
      </c>
      <c r="H308">
        <v>195796075</v>
      </c>
      <c r="I308">
        <v>190706386</v>
      </c>
      <c r="J308">
        <v>191052506</v>
      </c>
      <c r="K308">
        <v>205223793</v>
      </c>
      <c r="L308">
        <v>289071523</v>
      </c>
      <c r="M308">
        <v>289101057</v>
      </c>
      <c r="N308">
        <v>453240575</v>
      </c>
      <c r="O308">
        <v>287092234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18416400</v>
      </c>
      <c r="G309">
        <v>42788313</v>
      </c>
      <c r="H309">
        <v>60144288</v>
      </c>
      <c r="I309">
        <v>73205199</v>
      </c>
      <c r="J309">
        <v>78495099</v>
      </c>
      <c r="K309">
        <v>72475293</v>
      </c>
      <c r="L309">
        <v>101764601</v>
      </c>
      <c r="M309">
        <v>138756455</v>
      </c>
      <c r="N309">
        <v>112331527</v>
      </c>
      <c r="O309">
        <v>97452268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368660095</v>
      </c>
      <c r="G310">
        <v>324259871</v>
      </c>
      <c r="H310">
        <v>364012582</v>
      </c>
      <c r="I310">
        <v>346451460</v>
      </c>
      <c r="J310">
        <v>289567771</v>
      </c>
      <c r="K310">
        <v>321664958</v>
      </c>
      <c r="L310">
        <v>388622219</v>
      </c>
      <c r="M310">
        <v>375114163</v>
      </c>
      <c r="N310">
        <v>410773713</v>
      </c>
      <c r="O310">
        <v>256490285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223190954</v>
      </c>
      <c r="G311">
        <v>192926680</v>
      </c>
      <c r="H311">
        <v>200596818</v>
      </c>
      <c r="I311">
        <v>93511060</v>
      </c>
      <c r="J311">
        <v>118362216</v>
      </c>
      <c r="K311">
        <v>20907795</v>
      </c>
      <c r="L311">
        <v>9154652</v>
      </c>
      <c r="M311">
        <v>5091556</v>
      </c>
      <c r="N311">
        <v>5925597</v>
      </c>
      <c r="O311">
        <v>7611845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12955456</v>
      </c>
      <c r="G312">
        <v>22842502</v>
      </c>
      <c r="H312">
        <v>33318138</v>
      </c>
      <c r="I312">
        <v>45637311</v>
      </c>
      <c r="J312">
        <v>59428014</v>
      </c>
      <c r="K312">
        <v>59199378</v>
      </c>
      <c r="L312">
        <v>89911593</v>
      </c>
      <c r="M312">
        <v>55646950</v>
      </c>
      <c r="N312">
        <v>95836441</v>
      </c>
      <c r="O312">
        <v>25999824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399802397</v>
      </c>
      <c r="G313">
        <v>391750038</v>
      </c>
      <c r="H313">
        <v>453111941</v>
      </c>
      <c r="I313">
        <v>434729189</v>
      </c>
      <c r="J313">
        <v>421518019</v>
      </c>
      <c r="K313">
        <v>345311093</v>
      </c>
      <c r="L313">
        <v>365732832</v>
      </c>
      <c r="M313">
        <v>315679456</v>
      </c>
      <c r="N313">
        <v>333109454</v>
      </c>
      <c r="O313">
        <v>250007024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47290770</v>
      </c>
      <c r="G314">
        <v>56833883</v>
      </c>
      <c r="H314">
        <v>56275047</v>
      </c>
      <c r="I314">
        <v>78321247</v>
      </c>
      <c r="J314">
        <v>17777858</v>
      </c>
      <c r="K314">
        <v>17258274</v>
      </c>
      <c r="L314">
        <v>36332877</v>
      </c>
      <c r="M314">
        <v>21699758</v>
      </c>
      <c r="N314">
        <v>37259548</v>
      </c>
      <c r="O314">
        <v>29860699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4958727680</v>
      </c>
      <c r="G315">
        <v>4372904933</v>
      </c>
      <c r="H315">
        <v>4930446539</v>
      </c>
      <c r="I315">
        <v>10900292351</v>
      </c>
      <c r="J315">
        <v>11831963111</v>
      </c>
      <c r="K315">
        <v>13542788474</v>
      </c>
      <c r="L315">
        <v>11032925096</v>
      </c>
      <c r="M315">
        <v>9520750628</v>
      </c>
      <c r="N315">
        <v>8253842633</v>
      </c>
      <c r="O315">
        <v>4076986366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832112892</v>
      </c>
      <c r="G316">
        <v>873451489</v>
      </c>
      <c r="H316">
        <v>1090012812</v>
      </c>
      <c r="I316">
        <v>1070592720</v>
      </c>
      <c r="J316">
        <v>819988352</v>
      </c>
      <c r="K316">
        <v>767448115</v>
      </c>
      <c r="L316">
        <v>758769316</v>
      </c>
      <c r="M316">
        <v>595136066</v>
      </c>
      <c r="N316">
        <v>476047302</v>
      </c>
      <c r="O316">
        <v>392924736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127679729</v>
      </c>
      <c r="G317">
        <v>60786300</v>
      </c>
      <c r="H317">
        <v>84043346</v>
      </c>
      <c r="I317">
        <v>186154235</v>
      </c>
      <c r="J317">
        <v>72119624</v>
      </c>
      <c r="K317">
        <v>65768937</v>
      </c>
      <c r="L317">
        <v>61208455</v>
      </c>
      <c r="M317">
        <v>57106290</v>
      </c>
      <c r="N317">
        <v>55721367</v>
      </c>
      <c r="O317">
        <v>50968235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1004215564</v>
      </c>
      <c r="G318">
        <v>634519419</v>
      </c>
      <c r="H318">
        <v>566368624</v>
      </c>
      <c r="I318">
        <v>498037510</v>
      </c>
      <c r="J318">
        <v>535396207</v>
      </c>
      <c r="K318">
        <v>384430214</v>
      </c>
      <c r="L318">
        <v>329597845</v>
      </c>
      <c r="M318">
        <v>267004101</v>
      </c>
      <c r="N318">
        <v>253863694</v>
      </c>
      <c r="O318">
        <v>321219425</v>
      </c>
      <c r="P318">
        <v>236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270700161</v>
      </c>
      <c r="G319">
        <v>196981963</v>
      </c>
      <c r="H319">
        <v>183078446</v>
      </c>
      <c r="I319">
        <v>190105993</v>
      </c>
      <c r="J319">
        <v>157643790</v>
      </c>
      <c r="K319">
        <v>184865180</v>
      </c>
      <c r="L319">
        <v>164128599</v>
      </c>
      <c r="M319">
        <v>157207880</v>
      </c>
      <c r="N319">
        <v>140444725</v>
      </c>
      <c r="O319">
        <v>118461805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95257079</v>
      </c>
      <c r="G320">
        <v>135213843</v>
      </c>
      <c r="H320">
        <v>176471290</v>
      </c>
      <c r="I320">
        <v>164047080</v>
      </c>
      <c r="J320">
        <v>152577558</v>
      </c>
      <c r="K320">
        <v>131123643</v>
      </c>
      <c r="L320">
        <v>169486881</v>
      </c>
      <c r="M320">
        <v>379412172</v>
      </c>
      <c r="N320">
        <v>473482475</v>
      </c>
      <c r="O320">
        <v>182223702</v>
      </c>
      <c r="P320">
        <v>302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F321">
        <v>289299826</v>
      </c>
      <c r="G321">
        <v>118444884</v>
      </c>
      <c r="H321">
        <v>0</v>
      </c>
      <c r="I321">
        <v>52226037</v>
      </c>
      <c r="J321">
        <v>50247697</v>
      </c>
      <c r="K321">
        <v>197767003</v>
      </c>
      <c r="L321">
        <v>0</v>
      </c>
      <c r="M321">
        <v>0</v>
      </c>
      <c r="N321">
        <v>0</v>
      </c>
      <c r="O321">
        <v>0</v>
      </c>
      <c r="P321">
        <v>930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1939150306</v>
      </c>
      <c r="G322">
        <v>1275053676</v>
      </c>
      <c r="H322">
        <v>108604625</v>
      </c>
      <c r="I322">
        <v>179698262</v>
      </c>
      <c r="J322">
        <v>126928020</v>
      </c>
      <c r="K322">
        <v>110444414</v>
      </c>
      <c r="L322">
        <v>105306221</v>
      </c>
      <c r="M322">
        <v>120892220</v>
      </c>
      <c r="N322">
        <v>158806843</v>
      </c>
      <c r="O322">
        <v>168952160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974131</v>
      </c>
      <c r="M323">
        <v>536142</v>
      </c>
      <c r="N323">
        <v>3303385</v>
      </c>
      <c r="O323">
        <v>5511074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6488292687</v>
      </c>
      <c r="G324">
        <v>7504301282</v>
      </c>
      <c r="H324">
        <v>6854616412</v>
      </c>
      <c r="I324">
        <v>6545903072</v>
      </c>
      <c r="J324">
        <v>5805776747</v>
      </c>
      <c r="K324">
        <v>5194448069</v>
      </c>
      <c r="L324">
        <v>4546674042</v>
      </c>
      <c r="M324">
        <v>3947421546</v>
      </c>
      <c r="N324">
        <v>3268498094</v>
      </c>
      <c r="O324">
        <v>2146029917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757403278</v>
      </c>
      <c r="G325">
        <v>707873215</v>
      </c>
      <c r="H325">
        <v>814557245</v>
      </c>
      <c r="I325">
        <v>929380192</v>
      </c>
      <c r="J325">
        <v>1435458469</v>
      </c>
      <c r="K325">
        <v>1259260223</v>
      </c>
      <c r="L325">
        <v>1907601712</v>
      </c>
      <c r="M325">
        <v>997795522</v>
      </c>
      <c r="N325">
        <v>903225827</v>
      </c>
      <c r="O325">
        <v>846471694</v>
      </c>
      <c r="P325">
        <v>776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2246188437</v>
      </c>
      <c r="G326">
        <v>2266382228</v>
      </c>
      <c r="H326">
        <v>1985446762</v>
      </c>
      <c r="I326">
        <v>2385784156</v>
      </c>
      <c r="J326">
        <v>1916227394</v>
      </c>
      <c r="K326">
        <v>1477248959</v>
      </c>
      <c r="L326">
        <v>1265686417</v>
      </c>
      <c r="M326">
        <v>1135085307</v>
      </c>
      <c r="N326">
        <v>938501596</v>
      </c>
      <c r="O326">
        <v>533895922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448911323</v>
      </c>
      <c r="G327">
        <v>561003955</v>
      </c>
      <c r="H327">
        <v>247414951</v>
      </c>
      <c r="I327">
        <v>156905269</v>
      </c>
      <c r="J327">
        <v>408839388</v>
      </c>
      <c r="K327">
        <v>223704731</v>
      </c>
      <c r="L327">
        <v>295865620</v>
      </c>
      <c r="M327">
        <v>282870784</v>
      </c>
      <c r="N327">
        <v>631517090</v>
      </c>
      <c r="O327">
        <v>67363205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442074891</v>
      </c>
      <c r="G328">
        <v>309072554</v>
      </c>
      <c r="H328">
        <v>224285158</v>
      </c>
      <c r="I328">
        <v>321158727</v>
      </c>
      <c r="J328">
        <v>306367630</v>
      </c>
      <c r="K328">
        <v>148153297</v>
      </c>
      <c r="L328">
        <v>123353524</v>
      </c>
      <c r="M328">
        <v>96125706</v>
      </c>
      <c r="N328">
        <v>51443626</v>
      </c>
      <c r="O328">
        <v>83407096</v>
      </c>
      <c r="P328">
        <v>1722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1228528631</v>
      </c>
      <c r="G329">
        <v>1262491328</v>
      </c>
      <c r="H329">
        <v>1013456482</v>
      </c>
      <c r="I329">
        <v>887344246</v>
      </c>
      <c r="J329">
        <v>144161207</v>
      </c>
      <c r="K329">
        <v>104605805</v>
      </c>
      <c r="L329">
        <v>99004732</v>
      </c>
      <c r="M329">
        <v>97712005</v>
      </c>
      <c r="N329">
        <v>97424776</v>
      </c>
      <c r="O329">
        <v>82149842</v>
      </c>
      <c r="P329">
        <v>229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190134815</v>
      </c>
      <c r="G330">
        <v>196449129</v>
      </c>
      <c r="H330">
        <v>191941858</v>
      </c>
      <c r="I330">
        <v>175725682</v>
      </c>
      <c r="J330">
        <v>141845100</v>
      </c>
      <c r="K330">
        <v>142109673</v>
      </c>
      <c r="L330">
        <v>140266477</v>
      </c>
      <c r="M330">
        <v>111480861</v>
      </c>
      <c r="N330">
        <v>78035242</v>
      </c>
      <c r="O330">
        <v>99362371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2853655552</v>
      </c>
      <c r="G331">
        <v>2447406223</v>
      </c>
      <c r="H331">
        <v>1997153799</v>
      </c>
      <c r="I331">
        <v>1880739805</v>
      </c>
      <c r="J331">
        <v>1866949197</v>
      </c>
      <c r="K331">
        <v>1990863750</v>
      </c>
      <c r="L331">
        <v>1721880071</v>
      </c>
      <c r="M331">
        <v>1559755327</v>
      </c>
      <c r="N331">
        <v>1516543884</v>
      </c>
      <c r="O331">
        <v>1092600843</v>
      </c>
      <c r="P331">
        <v>966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108129504</v>
      </c>
      <c r="G332">
        <v>162647737</v>
      </c>
      <c r="H332">
        <v>201329763</v>
      </c>
      <c r="I332">
        <v>150441844</v>
      </c>
      <c r="J332">
        <v>105932965</v>
      </c>
      <c r="K332">
        <v>96821281</v>
      </c>
      <c r="L332">
        <v>54416301</v>
      </c>
      <c r="M332">
        <v>17389220</v>
      </c>
      <c r="N332">
        <v>769889</v>
      </c>
      <c r="O332">
        <v>88984239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38232053</v>
      </c>
      <c r="G333">
        <v>14200515</v>
      </c>
      <c r="H333">
        <v>38232127</v>
      </c>
      <c r="I333">
        <v>68464760</v>
      </c>
      <c r="J333">
        <v>37783260</v>
      </c>
      <c r="K333">
        <v>30494578</v>
      </c>
      <c r="L333">
        <v>61194540</v>
      </c>
      <c r="M333">
        <v>22068723</v>
      </c>
      <c r="N333">
        <v>1466458</v>
      </c>
      <c r="O333">
        <v>1661243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761090810</v>
      </c>
      <c r="G334">
        <v>433786326</v>
      </c>
      <c r="H334">
        <v>285705661</v>
      </c>
      <c r="I334">
        <v>103269927</v>
      </c>
      <c r="J334">
        <v>62107125</v>
      </c>
      <c r="K334">
        <v>61154987</v>
      </c>
      <c r="L334">
        <v>74942920</v>
      </c>
      <c r="M334">
        <v>20944015</v>
      </c>
      <c r="N334">
        <v>9863274</v>
      </c>
      <c r="O334">
        <v>4246751</v>
      </c>
      <c r="P334">
        <v>2482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0</v>
      </c>
      <c r="G335">
        <v>203006</v>
      </c>
      <c r="H335">
        <v>0</v>
      </c>
      <c r="I335">
        <v>0</v>
      </c>
      <c r="J335">
        <v>0</v>
      </c>
      <c r="K335">
        <v>2400151</v>
      </c>
      <c r="L335">
        <v>55239179</v>
      </c>
      <c r="M335">
        <v>42849419</v>
      </c>
      <c r="N335">
        <v>701306</v>
      </c>
      <c r="O335">
        <v>278563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F336">
        <v>238774740</v>
      </c>
      <c r="G336">
        <v>255446256</v>
      </c>
      <c r="H336">
        <v>264367173</v>
      </c>
      <c r="I336">
        <v>213618692</v>
      </c>
      <c r="J336">
        <v>219845568</v>
      </c>
      <c r="K336">
        <v>182210880</v>
      </c>
      <c r="L336">
        <v>200207059</v>
      </c>
      <c r="M336">
        <v>193156658</v>
      </c>
      <c r="N336">
        <v>203231176</v>
      </c>
      <c r="O336">
        <v>197162850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119989643</v>
      </c>
      <c r="G337">
        <v>102778888</v>
      </c>
      <c r="H337">
        <v>133250107</v>
      </c>
      <c r="I337">
        <v>620641287</v>
      </c>
      <c r="J337">
        <v>493856205</v>
      </c>
      <c r="K337">
        <v>36071325</v>
      </c>
      <c r="L337">
        <v>9352025</v>
      </c>
      <c r="M337">
        <v>19255172</v>
      </c>
      <c r="N337">
        <v>10166979</v>
      </c>
      <c r="O337">
        <v>5439141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2814544530</v>
      </c>
      <c r="G338">
        <v>2665709171</v>
      </c>
      <c r="H338">
        <v>3259974107</v>
      </c>
      <c r="I338">
        <v>2968593993</v>
      </c>
      <c r="J338">
        <v>2179911355</v>
      </c>
      <c r="K338">
        <v>2147127619</v>
      </c>
      <c r="L338">
        <v>1958824278</v>
      </c>
      <c r="M338">
        <v>1593452295</v>
      </c>
      <c r="N338">
        <v>1318653342</v>
      </c>
      <c r="O338">
        <v>1134331637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757900247</v>
      </c>
      <c r="G339">
        <v>752736029</v>
      </c>
      <c r="H339">
        <v>490516392</v>
      </c>
      <c r="I339">
        <v>551733486</v>
      </c>
      <c r="J339">
        <v>416034044</v>
      </c>
      <c r="K339">
        <v>439686841</v>
      </c>
      <c r="L339">
        <v>106821234</v>
      </c>
      <c r="M339">
        <v>182019067</v>
      </c>
      <c r="N339">
        <v>124015787</v>
      </c>
      <c r="O339">
        <v>133770452</v>
      </c>
      <c r="P339">
        <v>426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18090160</v>
      </c>
      <c r="G340">
        <v>13214251</v>
      </c>
      <c r="H340">
        <v>9678386</v>
      </c>
      <c r="I340">
        <v>13503170</v>
      </c>
      <c r="J340">
        <v>45994765</v>
      </c>
      <c r="K340">
        <v>501584764</v>
      </c>
      <c r="L340">
        <v>457539129</v>
      </c>
      <c r="M340">
        <v>381924458</v>
      </c>
      <c r="N340">
        <v>284409755</v>
      </c>
      <c r="O340">
        <v>156951120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625391383</v>
      </c>
      <c r="G341">
        <v>506694765</v>
      </c>
      <c r="H341">
        <v>877498158</v>
      </c>
      <c r="I341">
        <v>702553757</v>
      </c>
      <c r="J341">
        <v>757025659</v>
      </c>
      <c r="K341">
        <v>801606724</v>
      </c>
      <c r="L341">
        <v>679479319</v>
      </c>
      <c r="M341">
        <v>573419035</v>
      </c>
      <c r="N341">
        <v>554094946</v>
      </c>
      <c r="O341">
        <v>347602889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1529347377</v>
      </c>
      <c r="G342">
        <v>1862845213</v>
      </c>
      <c r="H342">
        <v>739871903</v>
      </c>
      <c r="I342">
        <v>692825113</v>
      </c>
      <c r="J342">
        <v>965404324</v>
      </c>
      <c r="K342">
        <v>165960538</v>
      </c>
      <c r="L342">
        <v>119550572</v>
      </c>
      <c r="M342">
        <v>176219745</v>
      </c>
      <c r="N342">
        <v>102025873</v>
      </c>
      <c r="O342">
        <v>72840141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139570404</v>
      </c>
      <c r="G343">
        <v>110371404</v>
      </c>
      <c r="H343">
        <v>427052416</v>
      </c>
      <c r="I343">
        <v>979067593</v>
      </c>
      <c r="J343">
        <v>640933599</v>
      </c>
      <c r="K343">
        <v>262091410</v>
      </c>
      <c r="L343">
        <v>119964955</v>
      </c>
      <c r="M343">
        <v>61560282</v>
      </c>
      <c r="N343">
        <v>65889037</v>
      </c>
      <c r="O343">
        <v>34272523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340600262</v>
      </c>
      <c r="G344">
        <v>623938966</v>
      </c>
      <c r="H344">
        <v>471535183</v>
      </c>
      <c r="I344">
        <v>500001001</v>
      </c>
      <c r="J344">
        <v>601935800</v>
      </c>
      <c r="K344">
        <v>669975600</v>
      </c>
      <c r="L344">
        <v>1171055200</v>
      </c>
      <c r="M344">
        <v>984711176</v>
      </c>
      <c r="N344">
        <v>753486764</v>
      </c>
      <c r="O344">
        <v>650876757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1291908310</v>
      </c>
      <c r="G345">
        <v>1109525383</v>
      </c>
      <c r="H345">
        <v>920383904</v>
      </c>
      <c r="I345">
        <v>735488667</v>
      </c>
      <c r="J345">
        <v>759603011</v>
      </c>
      <c r="K345">
        <v>602850436</v>
      </c>
      <c r="L345">
        <v>492263627</v>
      </c>
      <c r="M345">
        <v>397125570</v>
      </c>
      <c r="N345">
        <v>473873793</v>
      </c>
      <c r="O345">
        <v>484167460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545726718</v>
      </c>
      <c r="G346">
        <v>485763967</v>
      </c>
      <c r="H346">
        <v>589217891</v>
      </c>
      <c r="I346">
        <v>581574404</v>
      </c>
      <c r="J346">
        <v>521426925</v>
      </c>
      <c r="K346">
        <v>618688603</v>
      </c>
      <c r="L346">
        <v>1268896574</v>
      </c>
      <c r="M346">
        <v>1111550863</v>
      </c>
      <c r="N346">
        <v>1104857187</v>
      </c>
      <c r="O346">
        <v>1239081479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1022677331</v>
      </c>
      <c r="G347">
        <v>972434153</v>
      </c>
      <c r="H347">
        <v>773366692</v>
      </c>
      <c r="I347">
        <v>685107791</v>
      </c>
      <c r="J347">
        <v>594868459</v>
      </c>
      <c r="K347">
        <v>645933622</v>
      </c>
      <c r="L347">
        <v>609211358</v>
      </c>
      <c r="M347">
        <v>493208180</v>
      </c>
      <c r="N347">
        <v>78497992</v>
      </c>
      <c r="O347">
        <v>94864644</v>
      </c>
      <c r="P347">
        <v>2674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345460586</v>
      </c>
      <c r="G348">
        <v>450342988</v>
      </c>
      <c r="H348">
        <v>607246121</v>
      </c>
      <c r="I348">
        <v>688473695</v>
      </c>
      <c r="J348">
        <v>732917479</v>
      </c>
      <c r="K348">
        <v>1113792531</v>
      </c>
      <c r="L348">
        <v>1124099291</v>
      </c>
      <c r="M348">
        <v>848432498</v>
      </c>
      <c r="N348">
        <v>864022429</v>
      </c>
      <c r="O348">
        <v>679805343</v>
      </c>
      <c r="P348">
        <v>256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543573061</v>
      </c>
      <c r="G349">
        <v>367782086</v>
      </c>
      <c r="H349">
        <v>355735296</v>
      </c>
      <c r="I349">
        <v>333621470</v>
      </c>
      <c r="J349">
        <v>151681907</v>
      </c>
      <c r="K349">
        <v>137844940</v>
      </c>
      <c r="L349">
        <v>175808119</v>
      </c>
      <c r="M349">
        <v>211862922</v>
      </c>
      <c r="N349">
        <v>439634974</v>
      </c>
      <c r="O349">
        <v>394789144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I350">
        <v>758782192</v>
      </c>
      <c r="J350">
        <v>3083128122</v>
      </c>
      <c r="K350">
        <v>3425775014</v>
      </c>
      <c r="L350">
        <v>3255449586.6500001</v>
      </c>
      <c r="M350">
        <v>2582793011.0999999</v>
      </c>
      <c r="N350">
        <v>2034731347.6800001</v>
      </c>
      <c r="O350">
        <v>2140909453.1199999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817728686</v>
      </c>
      <c r="G351">
        <v>844985362</v>
      </c>
      <c r="H351">
        <v>1074019262</v>
      </c>
      <c r="I351">
        <v>1083851682</v>
      </c>
      <c r="J351">
        <v>1226861276</v>
      </c>
      <c r="K351">
        <v>1042456806</v>
      </c>
      <c r="L351">
        <v>1294328862</v>
      </c>
      <c r="M351">
        <v>1650265608</v>
      </c>
      <c r="N351">
        <v>956265408</v>
      </c>
      <c r="O351">
        <v>986469942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731012559</v>
      </c>
      <c r="G352">
        <v>862168674</v>
      </c>
      <c r="H352">
        <v>861713812</v>
      </c>
      <c r="I352">
        <v>761632342</v>
      </c>
      <c r="J352">
        <v>870815057</v>
      </c>
      <c r="K352">
        <v>1012371007</v>
      </c>
      <c r="L352">
        <v>872425657</v>
      </c>
      <c r="M352">
        <v>649209139</v>
      </c>
      <c r="N352">
        <v>611742786</v>
      </c>
      <c r="O352">
        <v>578046872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20099060883</v>
      </c>
      <c r="G353">
        <v>19007367900</v>
      </c>
      <c r="H353">
        <v>19146818132</v>
      </c>
      <c r="I353">
        <v>17433006701</v>
      </c>
      <c r="J353">
        <v>14994252832</v>
      </c>
      <c r="K353">
        <v>6703195136</v>
      </c>
      <c r="L353">
        <v>6896660721</v>
      </c>
      <c r="M353">
        <v>6520269624</v>
      </c>
      <c r="N353">
        <v>5713329558</v>
      </c>
      <c r="O353">
        <v>3115421194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32640043</v>
      </c>
      <c r="G354">
        <v>788325261</v>
      </c>
      <c r="H354">
        <v>1183396913</v>
      </c>
      <c r="I354">
        <v>997109634</v>
      </c>
      <c r="J354">
        <v>1289480977</v>
      </c>
      <c r="K354">
        <v>1921172907</v>
      </c>
      <c r="L354">
        <v>1851337213</v>
      </c>
      <c r="M354">
        <v>2002342478</v>
      </c>
      <c r="N354">
        <v>1218017478</v>
      </c>
      <c r="O354">
        <v>978565719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399981753</v>
      </c>
      <c r="G355">
        <v>405141175</v>
      </c>
      <c r="H355">
        <v>488099641</v>
      </c>
      <c r="I355">
        <v>579605872</v>
      </c>
      <c r="J355">
        <v>578338416</v>
      </c>
      <c r="K355">
        <v>591803422</v>
      </c>
      <c r="L355">
        <v>541702186</v>
      </c>
      <c r="M355">
        <v>457525306</v>
      </c>
      <c r="N355">
        <v>355141556</v>
      </c>
      <c r="O355">
        <v>299495721</v>
      </c>
      <c r="P355">
        <v>733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995040533</v>
      </c>
      <c r="G356">
        <v>957829435</v>
      </c>
      <c r="H356">
        <v>1837648080</v>
      </c>
      <c r="I356">
        <v>2015743600</v>
      </c>
      <c r="J356">
        <v>2930065398</v>
      </c>
      <c r="K356">
        <v>2273520787</v>
      </c>
      <c r="L356">
        <v>1878579270</v>
      </c>
      <c r="M356">
        <v>1649312261</v>
      </c>
      <c r="N356">
        <v>1746614625</v>
      </c>
      <c r="O356">
        <v>1910593073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185237531</v>
      </c>
      <c r="G357">
        <v>153573477</v>
      </c>
      <c r="H357">
        <v>16031078</v>
      </c>
      <c r="I357">
        <v>12989692</v>
      </c>
      <c r="J357">
        <v>29044407</v>
      </c>
      <c r="K357">
        <v>91864609</v>
      </c>
      <c r="L357">
        <v>79449531</v>
      </c>
      <c r="M357">
        <v>95681571</v>
      </c>
      <c r="N357">
        <v>71029325</v>
      </c>
      <c r="O357">
        <v>67614106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3809837732</v>
      </c>
      <c r="G358">
        <v>3435449973</v>
      </c>
      <c r="H358">
        <v>4547078298</v>
      </c>
      <c r="I358">
        <v>5924792756</v>
      </c>
      <c r="J358">
        <v>7453658916</v>
      </c>
      <c r="K358">
        <v>6827154031</v>
      </c>
      <c r="L358">
        <v>6586437887</v>
      </c>
      <c r="M358">
        <v>6111693127</v>
      </c>
      <c r="N358">
        <v>6135246045</v>
      </c>
      <c r="O358">
        <v>5082572925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2182106279</v>
      </c>
      <c r="G359">
        <v>2552890018</v>
      </c>
      <c r="H359">
        <v>3183553698</v>
      </c>
      <c r="I359">
        <v>4148554636</v>
      </c>
      <c r="J359">
        <v>3110140135</v>
      </c>
      <c r="K359">
        <v>3366371401</v>
      </c>
      <c r="L359">
        <v>1956180247</v>
      </c>
      <c r="M359">
        <v>527731957</v>
      </c>
      <c r="N359">
        <v>446145734</v>
      </c>
      <c r="O359">
        <v>311576370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67084293</v>
      </c>
      <c r="G360">
        <v>77516188</v>
      </c>
      <c r="H360">
        <v>47726458</v>
      </c>
      <c r="I360">
        <v>44144573</v>
      </c>
      <c r="J360">
        <v>34200788</v>
      </c>
      <c r="K360">
        <v>28244035</v>
      </c>
      <c r="L360">
        <v>31056316</v>
      </c>
      <c r="M360">
        <v>14002009</v>
      </c>
      <c r="N360">
        <v>28095435</v>
      </c>
      <c r="O360">
        <v>11475826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2295471909</v>
      </c>
      <c r="G361">
        <v>1671429493</v>
      </c>
      <c r="H361">
        <v>1075633849</v>
      </c>
      <c r="I361">
        <v>0</v>
      </c>
      <c r="J361">
        <v>1114976698</v>
      </c>
      <c r="K361">
        <v>1190760117</v>
      </c>
      <c r="L361">
        <v>281356514</v>
      </c>
      <c r="M361">
        <v>268439573</v>
      </c>
      <c r="N361">
        <v>206045068</v>
      </c>
      <c r="O361">
        <v>218087672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55562261</v>
      </c>
      <c r="G362">
        <v>46869619</v>
      </c>
      <c r="H362">
        <v>32100449</v>
      </c>
      <c r="I362">
        <v>589549</v>
      </c>
      <c r="J362">
        <v>5490769</v>
      </c>
      <c r="K362">
        <v>7222107</v>
      </c>
      <c r="L362">
        <v>5733908</v>
      </c>
      <c r="M362">
        <v>7048345</v>
      </c>
      <c r="N362">
        <v>8757141</v>
      </c>
      <c r="O362">
        <v>853489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1865688639</v>
      </c>
      <c r="G363">
        <v>1391005496</v>
      </c>
      <c r="H363">
        <v>1394811543</v>
      </c>
      <c r="I363">
        <v>1203778511</v>
      </c>
      <c r="J363">
        <v>1037556108</v>
      </c>
      <c r="K363">
        <v>713679400</v>
      </c>
      <c r="L363">
        <v>551909733</v>
      </c>
      <c r="M363">
        <v>416543330</v>
      </c>
      <c r="N363">
        <v>362618240</v>
      </c>
      <c r="O363">
        <v>305702879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283655</v>
      </c>
      <c r="G364">
        <v>5333105</v>
      </c>
      <c r="H364">
        <v>409654</v>
      </c>
      <c r="I364">
        <v>76506463</v>
      </c>
      <c r="J364">
        <v>67185609</v>
      </c>
      <c r="K364">
        <v>99402359</v>
      </c>
      <c r="L364">
        <v>250244821</v>
      </c>
      <c r="M364">
        <v>196732473</v>
      </c>
      <c r="N364">
        <v>165042624</v>
      </c>
      <c r="O364">
        <v>165625887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122487223</v>
      </c>
      <c r="G365">
        <v>124777838</v>
      </c>
      <c r="H365">
        <v>143901601</v>
      </c>
      <c r="I365">
        <v>184161762</v>
      </c>
      <c r="J365">
        <v>242306802</v>
      </c>
      <c r="K365">
        <v>325538555</v>
      </c>
      <c r="L365">
        <v>470990015</v>
      </c>
      <c r="M365">
        <v>532544198</v>
      </c>
      <c r="N365">
        <v>501829566</v>
      </c>
      <c r="O365">
        <v>164487898</v>
      </c>
      <c r="P365">
        <v>167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76324473</v>
      </c>
      <c r="G366">
        <v>23011125</v>
      </c>
      <c r="H366">
        <v>34433815</v>
      </c>
      <c r="I366">
        <v>23378398</v>
      </c>
      <c r="J366">
        <v>41373000</v>
      </c>
      <c r="K366">
        <v>17271126</v>
      </c>
      <c r="L366">
        <v>29720426</v>
      </c>
      <c r="M366">
        <v>31993398</v>
      </c>
      <c r="N366">
        <v>24736027</v>
      </c>
      <c r="O366">
        <v>31164955</v>
      </c>
      <c r="P366">
        <v>1013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516089795</v>
      </c>
      <c r="G367">
        <v>311543828</v>
      </c>
      <c r="H367">
        <v>967691260</v>
      </c>
      <c r="I367">
        <v>715795754</v>
      </c>
      <c r="J367">
        <v>452355856</v>
      </c>
      <c r="K367">
        <v>578413862</v>
      </c>
      <c r="L367">
        <v>351646837</v>
      </c>
      <c r="M367">
        <v>466260211</v>
      </c>
      <c r="N367">
        <v>400655451</v>
      </c>
      <c r="O367">
        <v>263473409</v>
      </c>
      <c r="P367">
        <v>199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761258697</v>
      </c>
      <c r="G368">
        <v>833882223</v>
      </c>
      <c r="H368">
        <v>911577460</v>
      </c>
      <c r="I368">
        <v>1029243278</v>
      </c>
      <c r="J368">
        <v>640752569</v>
      </c>
      <c r="K368">
        <v>542388285</v>
      </c>
      <c r="L368">
        <v>270259239</v>
      </c>
      <c r="M368">
        <v>250792784</v>
      </c>
      <c r="N368">
        <v>218755699</v>
      </c>
      <c r="O368">
        <v>212339643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361670102</v>
      </c>
      <c r="K369">
        <v>266632590</v>
      </c>
      <c r="L369">
        <v>243268167.74000001</v>
      </c>
      <c r="M369">
        <v>368857831.45999998</v>
      </c>
      <c r="N369">
        <v>82596119.540000007</v>
      </c>
      <c r="O369">
        <v>84678026.769999996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768802226</v>
      </c>
      <c r="G370">
        <v>398271796</v>
      </c>
      <c r="H370">
        <v>314945491</v>
      </c>
      <c r="I370">
        <v>379089693</v>
      </c>
      <c r="J370">
        <v>378717831</v>
      </c>
      <c r="K370">
        <v>284378858</v>
      </c>
      <c r="L370">
        <v>314153959</v>
      </c>
      <c r="M370">
        <v>209745467</v>
      </c>
      <c r="N370">
        <v>173013539</v>
      </c>
      <c r="O370">
        <v>140933174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2039106771</v>
      </c>
      <c r="G371">
        <v>1041333260</v>
      </c>
      <c r="H371">
        <v>858080994</v>
      </c>
      <c r="I371">
        <v>672438697</v>
      </c>
      <c r="J371">
        <v>1032424748</v>
      </c>
      <c r="K371">
        <v>775524070</v>
      </c>
      <c r="L371">
        <v>584030413</v>
      </c>
      <c r="M371">
        <v>628612146</v>
      </c>
      <c r="N371">
        <v>426880340</v>
      </c>
      <c r="O371">
        <v>465902807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612262572</v>
      </c>
      <c r="G372">
        <v>509476864</v>
      </c>
      <c r="H372">
        <v>469873994</v>
      </c>
      <c r="I372">
        <v>443670790</v>
      </c>
      <c r="J372">
        <v>429252474</v>
      </c>
      <c r="K372">
        <v>378686255</v>
      </c>
      <c r="L372">
        <v>301724075</v>
      </c>
      <c r="M372">
        <v>151052363</v>
      </c>
      <c r="N372">
        <v>154680047</v>
      </c>
      <c r="O372">
        <v>127559130</v>
      </c>
      <c r="P372">
        <v>64361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2915527149</v>
      </c>
      <c r="G373">
        <v>1069352776</v>
      </c>
      <c r="H373">
        <v>1672241937</v>
      </c>
      <c r="I373">
        <v>1165524888</v>
      </c>
      <c r="J373">
        <v>790837313</v>
      </c>
      <c r="K373">
        <v>576193404</v>
      </c>
      <c r="L373">
        <v>413619445</v>
      </c>
      <c r="M373">
        <v>384135667</v>
      </c>
      <c r="N373">
        <v>340373180</v>
      </c>
      <c r="O373">
        <v>356819825</v>
      </c>
      <c r="P373">
        <v>2549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229512446</v>
      </c>
      <c r="G374">
        <v>234471839</v>
      </c>
      <c r="H374">
        <v>245354853</v>
      </c>
      <c r="I374">
        <v>161582639</v>
      </c>
      <c r="J374">
        <v>234928114</v>
      </c>
      <c r="K374">
        <v>216936601</v>
      </c>
      <c r="L374">
        <v>290578079</v>
      </c>
      <c r="M374">
        <v>288655723</v>
      </c>
      <c r="N374">
        <v>259381720</v>
      </c>
      <c r="O374">
        <v>315883601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179460440</v>
      </c>
      <c r="G375">
        <v>175286215</v>
      </c>
      <c r="H375">
        <v>259803356</v>
      </c>
      <c r="I375">
        <v>207074463</v>
      </c>
      <c r="J375">
        <v>229881190</v>
      </c>
      <c r="K375">
        <v>283641570</v>
      </c>
      <c r="L375">
        <v>307428304</v>
      </c>
      <c r="M375">
        <v>151301101</v>
      </c>
      <c r="N375">
        <v>139444787</v>
      </c>
      <c r="O375">
        <v>77016649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839820085</v>
      </c>
      <c r="G376">
        <v>535721279</v>
      </c>
      <c r="H376">
        <v>864664051</v>
      </c>
      <c r="I376">
        <v>735679498</v>
      </c>
      <c r="J376">
        <v>569738220</v>
      </c>
      <c r="K376">
        <v>430844864</v>
      </c>
      <c r="L376">
        <v>337571743</v>
      </c>
      <c r="M376">
        <v>203811617</v>
      </c>
      <c r="N376">
        <v>219299313</v>
      </c>
      <c r="O376">
        <v>209519882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383657579</v>
      </c>
      <c r="G377">
        <v>316502542</v>
      </c>
      <c r="H377">
        <v>220384325</v>
      </c>
      <c r="I377">
        <v>300723010</v>
      </c>
      <c r="J377">
        <v>218104040</v>
      </c>
      <c r="K377">
        <v>202439057</v>
      </c>
      <c r="L377">
        <v>154186217</v>
      </c>
      <c r="M377">
        <v>156760847</v>
      </c>
      <c r="N377">
        <v>99482666</v>
      </c>
      <c r="O377">
        <v>97264234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758631813</v>
      </c>
      <c r="G378">
        <v>509991473</v>
      </c>
      <c r="H378">
        <v>468779135</v>
      </c>
      <c r="I378">
        <v>516293125</v>
      </c>
      <c r="J378">
        <v>604088928</v>
      </c>
      <c r="K378">
        <v>788745700</v>
      </c>
      <c r="L378">
        <v>863514873</v>
      </c>
      <c r="M378">
        <v>884299248</v>
      </c>
      <c r="N378">
        <v>966395603</v>
      </c>
      <c r="O378">
        <v>656806083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571770758</v>
      </c>
      <c r="G379">
        <v>290193710</v>
      </c>
      <c r="H379">
        <v>50274751</v>
      </c>
      <c r="I379">
        <v>13402472</v>
      </c>
      <c r="J379">
        <v>591591</v>
      </c>
      <c r="K379">
        <v>5015378</v>
      </c>
      <c r="L379">
        <v>996236</v>
      </c>
      <c r="M379">
        <v>6138473</v>
      </c>
      <c r="N379">
        <v>1555145</v>
      </c>
      <c r="O379">
        <v>6900771</v>
      </c>
      <c r="P379">
        <v>4515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2848370</v>
      </c>
      <c r="G380">
        <v>3371843</v>
      </c>
      <c r="H380">
        <v>6517402</v>
      </c>
      <c r="I380">
        <v>9956767</v>
      </c>
      <c r="J380">
        <v>6728645</v>
      </c>
      <c r="K380">
        <v>11699714</v>
      </c>
      <c r="L380">
        <v>14285810</v>
      </c>
      <c r="M380">
        <v>25013256</v>
      </c>
      <c r="N380">
        <v>29317112</v>
      </c>
      <c r="O380">
        <v>32772521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1487742862</v>
      </c>
      <c r="G381">
        <v>1281936728</v>
      </c>
      <c r="H381">
        <v>1195959237</v>
      </c>
      <c r="I381">
        <v>1009307731</v>
      </c>
      <c r="J381">
        <v>752500070</v>
      </c>
      <c r="K381">
        <v>691405975</v>
      </c>
      <c r="L381">
        <v>502528465</v>
      </c>
      <c r="M381">
        <v>396426167</v>
      </c>
      <c r="N381">
        <v>422650835</v>
      </c>
      <c r="O381">
        <v>444519245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2257504052</v>
      </c>
      <c r="G382">
        <v>2323610032</v>
      </c>
      <c r="H382">
        <v>1872640490</v>
      </c>
      <c r="I382">
        <v>2504857090</v>
      </c>
      <c r="J382">
        <v>3143520644</v>
      </c>
      <c r="K382">
        <v>2585900524</v>
      </c>
      <c r="L382">
        <v>2218973971</v>
      </c>
      <c r="M382">
        <v>1898348789</v>
      </c>
      <c r="N382">
        <v>936349084</v>
      </c>
      <c r="O382">
        <v>714938904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1681304240</v>
      </c>
      <c r="G383">
        <v>1275471558</v>
      </c>
      <c r="H383">
        <v>1051597455</v>
      </c>
      <c r="I383">
        <v>696743082</v>
      </c>
      <c r="J383">
        <v>603627713</v>
      </c>
      <c r="K383">
        <v>427405982</v>
      </c>
      <c r="L383">
        <v>468947919</v>
      </c>
      <c r="M383">
        <v>196487343</v>
      </c>
      <c r="N383">
        <v>168303520</v>
      </c>
      <c r="O383">
        <v>155587853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1733808750</v>
      </c>
      <c r="G384">
        <v>1188376410</v>
      </c>
      <c r="H384">
        <v>829069943</v>
      </c>
      <c r="I384">
        <v>812196591</v>
      </c>
      <c r="J384">
        <v>720889123</v>
      </c>
      <c r="K384">
        <v>614310949</v>
      </c>
      <c r="L384">
        <v>540117964</v>
      </c>
      <c r="M384">
        <v>508522277</v>
      </c>
      <c r="N384">
        <v>465574056</v>
      </c>
      <c r="O384">
        <v>372687343</v>
      </c>
      <c r="P384">
        <v>1167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743876378</v>
      </c>
      <c r="G385">
        <v>494464731</v>
      </c>
      <c r="H385">
        <v>646092932</v>
      </c>
      <c r="I385">
        <v>630776921</v>
      </c>
      <c r="J385">
        <v>506139898</v>
      </c>
      <c r="K385">
        <v>591383994</v>
      </c>
      <c r="L385">
        <v>354630172</v>
      </c>
      <c r="M385">
        <v>244285726</v>
      </c>
      <c r="N385">
        <v>205967660</v>
      </c>
      <c r="O385">
        <v>163648481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56413247</v>
      </c>
      <c r="G386">
        <v>45774733</v>
      </c>
      <c r="H386">
        <v>77021751</v>
      </c>
      <c r="I386">
        <v>82057901</v>
      </c>
      <c r="J386">
        <v>639557353</v>
      </c>
      <c r="K386">
        <v>200181848</v>
      </c>
      <c r="L386">
        <v>37478414</v>
      </c>
      <c r="M386">
        <v>12904540</v>
      </c>
      <c r="N386">
        <v>13794139</v>
      </c>
      <c r="O386">
        <v>20771248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99371202</v>
      </c>
      <c r="G387">
        <v>113210553</v>
      </c>
      <c r="H387">
        <v>136406265</v>
      </c>
      <c r="I387">
        <v>70806741</v>
      </c>
      <c r="J387">
        <v>66492239</v>
      </c>
      <c r="K387">
        <v>168069236</v>
      </c>
      <c r="L387">
        <v>145689118</v>
      </c>
      <c r="M387">
        <v>98461925</v>
      </c>
      <c r="N387">
        <v>125110300</v>
      </c>
      <c r="O387">
        <v>176921530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1954679776</v>
      </c>
      <c r="G388">
        <v>2703764982</v>
      </c>
      <c r="H388">
        <v>2022482954</v>
      </c>
      <c r="I388">
        <v>1486990967</v>
      </c>
      <c r="J388">
        <v>808824477</v>
      </c>
      <c r="K388">
        <v>519262654</v>
      </c>
      <c r="L388">
        <v>375882835</v>
      </c>
      <c r="M388">
        <v>60713029</v>
      </c>
      <c r="N388">
        <v>55202651</v>
      </c>
      <c r="O388">
        <v>60002120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15650075</v>
      </c>
      <c r="G389">
        <v>34928960</v>
      </c>
      <c r="H389">
        <v>37959841</v>
      </c>
      <c r="I389">
        <v>34416234</v>
      </c>
      <c r="J389">
        <v>56843069</v>
      </c>
      <c r="K389">
        <v>31154244</v>
      </c>
      <c r="L389">
        <v>70849137</v>
      </c>
      <c r="M389">
        <v>34567561</v>
      </c>
      <c r="N389">
        <v>54426416</v>
      </c>
      <c r="O389">
        <v>42514942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831709802</v>
      </c>
      <c r="G390">
        <v>827204117</v>
      </c>
      <c r="H390">
        <v>721586053</v>
      </c>
      <c r="I390">
        <v>506880261</v>
      </c>
      <c r="J390">
        <v>466326770</v>
      </c>
      <c r="K390">
        <v>453986954</v>
      </c>
      <c r="L390">
        <v>246369821</v>
      </c>
      <c r="M390">
        <v>249316425</v>
      </c>
      <c r="N390">
        <v>228380375</v>
      </c>
      <c r="O390">
        <v>181331024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517849836</v>
      </c>
      <c r="G391">
        <v>574728883</v>
      </c>
      <c r="H391">
        <v>710000498</v>
      </c>
      <c r="I391">
        <v>856782646</v>
      </c>
      <c r="J391">
        <v>787039144</v>
      </c>
      <c r="K391">
        <v>792805748</v>
      </c>
      <c r="L391">
        <v>714415010</v>
      </c>
      <c r="M391">
        <v>916295833</v>
      </c>
      <c r="N391">
        <v>839169684</v>
      </c>
      <c r="O391">
        <v>817295517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54697881</v>
      </c>
      <c r="G392">
        <v>38950187</v>
      </c>
      <c r="H392">
        <v>35866828</v>
      </c>
      <c r="I392">
        <v>74225249</v>
      </c>
      <c r="J392">
        <v>84651822</v>
      </c>
      <c r="K392">
        <v>65226138</v>
      </c>
      <c r="L392">
        <v>182798034</v>
      </c>
      <c r="M392">
        <v>83246956</v>
      </c>
      <c r="N392">
        <v>105940695</v>
      </c>
      <c r="O392">
        <v>57454137</v>
      </c>
      <c r="P392">
        <v>91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1819718916</v>
      </c>
      <c r="G393">
        <v>1410162712</v>
      </c>
      <c r="H393">
        <v>2651007236</v>
      </c>
      <c r="I393">
        <v>2835494998</v>
      </c>
      <c r="J393">
        <v>2228561339</v>
      </c>
      <c r="K393">
        <v>1441389479</v>
      </c>
      <c r="L393">
        <v>1253542600</v>
      </c>
      <c r="M393">
        <v>1103736506</v>
      </c>
      <c r="N393">
        <v>1061034510</v>
      </c>
      <c r="O393">
        <v>787609229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192551561</v>
      </c>
      <c r="G394">
        <v>92728980</v>
      </c>
      <c r="H394">
        <v>115266790</v>
      </c>
      <c r="I394">
        <v>180506495</v>
      </c>
      <c r="J394">
        <v>154703436</v>
      </c>
      <c r="K394">
        <v>77210939</v>
      </c>
      <c r="L394">
        <v>66227119</v>
      </c>
      <c r="M394">
        <v>66364248</v>
      </c>
      <c r="N394">
        <v>78381481</v>
      </c>
      <c r="O394">
        <v>108537254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1451210179</v>
      </c>
      <c r="G395">
        <v>1057176960</v>
      </c>
      <c r="H395">
        <v>1537340499</v>
      </c>
      <c r="I395">
        <v>1270046377</v>
      </c>
      <c r="J395">
        <v>1185458457</v>
      </c>
      <c r="K395">
        <v>1063624241</v>
      </c>
      <c r="L395">
        <v>985411246</v>
      </c>
      <c r="M395">
        <v>801176531</v>
      </c>
      <c r="N395">
        <v>584838429</v>
      </c>
      <c r="O395">
        <v>430427679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459374762</v>
      </c>
      <c r="G396">
        <v>310144398</v>
      </c>
      <c r="H396">
        <v>488029394</v>
      </c>
      <c r="I396">
        <v>553166399</v>
      </c>
      <c r="J396">
        <v>367639516</v>
      </c>
      <c r="K396">
        <v>205862951</v>
      </c>
      <c r="L396">
        <v>150425809</v>
      </c>
      <c r="M396">
        <v>156558442</v>
      </c>
      <c r="N396">
        <v>160459201</v>
      </c>
      <c r="O396">
        <v>200363011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223724518</v>
      </c>
      <c r="G397">
        <v>242238337</v>
      </c>
      <c r="H397">
        <v>223244591</v>
      </c>
      <c r="I397">
        <v>191981470</v>
      </c>
      <c r="J397">
        <v>155314967</v>
      </c>
      <c r="K397">
        <v>143043837</v>
      </c>
      <c r="L397">
        <v>124515660</v>
      </c>
      <c r="M397">
        <v>96763351</v>
      </c>
      <c r="N397">
        <v>81416984</v>
      </c>
      <c r="O397">
        <v>55324978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3169144962</v>
      </c>
      <c r="G398">
        <v>2661737580</v>
      </c>
      <c r="H398">
        <v>2216102738</v>
      </c>
      <c r="I398">
        <v>2056660624</v>
      </c>
      <c r="J398">
        <v>1552233956</v>
      </c>
      <c r="K398">
        <v>1460238376</v>
      </c>
      <c r="L398">
        <v>1285675257</v>
      </c>
      <c r="M398">
        <v>1079637628</v>
      </c>
      <c r="N398">
        <v>1294970903</v>
      </c>
      <c r="O398">
        <v>1184091270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1075433007</v>
      </c>
      <c r="G399">
        <v>743761530</v>
      </c>
      <c r="H399">
        <v>1150504981</v>
      </c>
      <c r="I399">
        <v>891586102</v>
      </c>
      <c r="J399">
        <v>605140504</v>
      </c>
      <c r="K399">
        <v>1051562931</v>
      </c>
      <c r="L399">
        <v>997832742</v>
      </c>
      <c r="M399">
        <v>714814374</v>
      </c>
      <c r="N399">
        <v>583170899</v>
      </c>
      <c r="O399">
        <v>546056699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9300483444</v>
      </c>
      <c r="G400">
        <v>11655843736</v>
      </c>
      <c r="H400">
        <v>13538097771</v>
      </c>
      <c r="I400">
        <v>14153214673</v>
      </c>
      <c r="J400">
        <v>7425711412</v>
      </c>
      <c r="K400">
        <v>4879800005</v>
      </c>
      <c r="L400">
        <v>416664517</v>
      </c>
      <c r="M400">
        <v>512964910</v>
      </c>
      <c r="N400">
        <v>472314982</v>
      </c>
      <c r="O400">
        <v>430127157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3001142131</v>
      </c>
      <c r="G401">
        <v>2747268214</v>
      </c>
      <c r="H401">
        <v>1696262860</v>
      </c>
      <c r="I401">
        <v>1613845155</v>
      </c>
      <c r="J401">
        <v>1214529308</v>
      </c>
      <c r="K401">
        <v>952104639</v>
      </c>
      <c r="L401">
        <v>739427082</v>
      </c>
      <c r="M401">
        <v>761309617</v>
      </c>
      <c r="N401">
        <v>78940719</v>
      </c>
      <c r="O401">
        <v>50507854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45380407</v>
      </c>
      <c r="H402">
        <v>84265649</v>
      </c>
      <c r="I402">
        <v>2247504050</v>
      </c>
      <c r="J402">
        <v>4199713824</v>
      </c>
      <c r="K402">
        <v>5035153525</v>
      </c>
      <c r="L402">
        <v>4147440123</v>
      </c>
      <c r="M402">
        <v>2134029976</v>
      </c>
      <c r="N402">
        <v>114555472</v>
      </c>
      <c r="O402">
        <v>123459933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2041263713</v>
      </c>
      <c r="G403">
        <v>1333285867</v>
      </c>
      <c r="H403">
        <v>1334501746</v>
      </c>
      <c r="I403">
        <v>818552419</v>
      </c>
      <c r="J403">
        <v>824058114</v>
      </c>
      <c r="K403">
        <v>667634504</v>
      </c>
      <c r="L403">
        <v>546376979</v>
      </c>
      <c r="M403">
        <v>338449886</v>
      </c>
      <c r="N403">
        <v>317662635</v>
      </c>
      <c r="O403">
        <v>238093755</v>
      </c>
      <c r="P403">
        <v>1251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13889073716</v>
      </c>
      <c r="G404">
        <v>10287523503</v>
      </c>
      <c r="H404">
        <v>10225752148</v>
      </c>
      <c r="I404">
        <v>8185372016</v>
      </c>
      <c r="J404">
        <v>5382186598</v>
      </c>
      <c r="K404">
        <v>4191664077</v>
      </c>
      <c r="L404">
        <v>3250035383</v>
      </c>
      <c r="M404">
        <v>2633331008</v>
      </c>
      <c r="N404">
        <v>2170668219</v>
      </c>
      <c r="O404">
        <v>2037810263</v>
      </c>
      <c r="P404">
        <v>2802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501074055</v>
      </c>
      <c r="G405">
        <v>378629082</v>
      </c>
      <c r="H405">
        <v>253756497</v>
      </c>
      <c r="I405">
        <v>195688896</v>
      </c>
      <c r="J405">
        <v>235316241</v>
      </c>
      <c r="K405">
        <v>176803898</v>
      </c>
      <c r="L405">
        <v>141761536</v>
      </c>
      <c r="M405">
        <v>190029052</v>
      </c>
      <c r="N405">
        <v>191610468</v>
      </c>
      <c r="O405">
        <v>136842213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104384128</v>
      </c>
      <c r="G406">
        <v>428487769</v>
      </c>
      <c r="H406">
        <v>137819840</v>
      </c>
      <c r="I406">
        <v>77819263</v>
      </c>
      <c r="J406">
        <v>268865255</v>
      </c>
      <c r="K406">
        <v>222827245</v>
      </c>
      <c r="L406">
        <v>90879780</v>
      </c>
      <c r="M406">
        <v>157450328</v>
      </c>
      <c r="N406">
        <v>157537349</v>
      </c>
      <c r="O406">
        <v>302720658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56787775</v>
      </c>
      <c r="G407">
        <v>12027882</v>
      </c>
      <c r="H407">
        <v>49365759</v>
      </c>
      <c r="I407">
        <v>42668430</v>
      </c>
      <c r="J407">
        <v>10878623</v>
      </c>
      <c r="K407">
        <v>23981620</v>
      </c>
      <c r="L407">
        <v>99896458</v>
      </c>
      <c r="M407">
        <v>84476373</v>
      </c>
      <c r="N407">
        <v>135938013</v>
      </c>
      <c r="O407">
        <v>481807279</v>
      </c>
      <c r="P407">
        <v>144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4512824341</v>
      </c>
      <c r="G408">
        <v>3651066201</v>
      </c>
      <c r="H408">
        <v>10194942303</v>
      </c>
      <c r="I408">
        <v>10152356725</v>
      </c>
      <c r="J408">
        <v>10354004412</v>
      </c>
      <c r="K408">
        <v>7577906819</v>
      </c>
      <c r="L408">
        <v>6894909052</v>
      </c>
      <c r="M408">
        <v>5177781576</v>
      </c>
      <c r="N408">
        <v>4148902331</v>
      </c>
      <c r="O408">
        <v>3956049319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196061081</v>
      </c>
      <c r="G409">
        <v>188352852</v>
      </c>
      <c r="H409">
        <v>94340276</v>
      </c>
      <c r="I409">
        <v>95204549</v>
      </c>
      <c r="J409">
        <v>67891318</v>
      </c>
      <c r="K409">
        <v>63245526</v>
      </c>
      <c r="L409">
        <v>88977940</v>
      </c>
      <c r="M409">
        <v>112307317</v>
      </c>
      <c r="N409">
        <v>117761109</v>
      </c>
      <c r="O409">
        <v>132312403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282376648</v>
      </c>
      <c r="G410">
        <v>225564857</v>
      </c>
      <c r="H410">
        <v>289777394</v>
      </c>
      <c r="I410">
        <v>289914580</v>
      </c>
      <c r="J410">
        <v>324568184</v>
      </c>
      <c r="K410">
        <v>379287903</v>
      </c>
      <c r="L410">
        <v>393870432</v>
      </c>
      <c r="M410">
        <v>381113337</v>
      </c>
      <c r="N410">
        <v>392119060</v>
      </c>
      <c r="O410">
        <v>372646621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2301025267</v>
      </c>
      <c r="G411">
        <v>2057454427</v>
      </c>
      <c r="H411">
        <v>1918209928</v>
      </c>
      <c r="I411">
        <v>1634993669</v>
      </c>
      <c r="J411">
        <v>1819436620</v>
      </c>
      <c r="K411">
        <v>1581298301</v>
      </c>
      <c r="L411">
        <v>1903347988</v>
      </c>
      <c r="M411">
        <v>1759993596</v>
      </c>
      <c r="N411">
        <v>1620958241</v>
      </c>
      <c r="O411">
        <v>1454692399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18605970</v>
      </c>
      <c r="G412">
        <v>18193899</v>
      </c>
      <c r="H412">
        <v>24058824</v>
      </c>
      <c r="I412">
        <v>93917048</v>
      </c>
      <c r="J412">
        <v>34372375</v>
      </c>
      <c r="K412">
        <v>95192810</v>
      </c>
      <c r="L412">
        <v>143221288</v>
      </c>
      <c r="M412">
        <v>79026077</v>
      </c>
      <c r="N412">
        <v>96845057</v>
      </c>
      <c r="O412">
        <v>119682205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4219346217</v>
      </c>
      <c r="G413">
        <v>5759438494</v>
      </c>
      <c r="H413">
        <v>7493628540</v>
      </c>
      <c r="I413">
        <v>7731518510</v>
      </c>
      <c r="J413">
        <v>5802698351</v>
      </c>
      <c r="K413">
        <v>4525314830</v>
      </c>
      <c r="L413">
        <v>3291422478</v>
      </c>
      <c r="M413">
        <v>3339559112</v>
      </c>
      <c r="N413">
        <v>3363216000</v>
      </c>
      <c r="O413">
        <v>2524976399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1441531780</v>
      </c>
      <c r="G414">
        <v>1150439349</v>
      </c>
      <c r="H414">
        <v>1643478234</v>
      </c>
      <c r="I414">
        <v>1646831871</v>
      </c>
      <c r="J414">
        <v>1514704167</v>
      </c>
      <c r="K414">
        <v>1289383538</v>
      </c>
      <c r="L414">
        <v>1104823387</v>
      </c>
      <c r="M414">
        <v>754034108</v>
      </c>
      <c r="N414">
        <v>444370412</v>
      </c>
      <c r="O414">
        <v>343895641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3679760457</v>
      </c>
      <c r="G415">
        <v>4075353729</v>
      </c>
      <c r="H415">
        <v>4339190606</v>
      </c>
      <c r="I415">
        <v>4289803018</v>
      </c>
      <c r="J415">
        <v>5071010102</v>
      </c>
      <c r="K415">
        <v>4491429639</v>
      </c>
      <c r="L415">
        <v>3037900340</v>
      </c>
      <c r="M415">
        <v>2485935558</v>
      </c>
      <c r="N415">
        <v>2618027015</v>
      </c>
      <c r="O415">
        <v>3039543902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1140284820</v>
      </c>
      <c r="G416">
        <v>1120650734</v>
      </c>
      <c r="H416">
        <v>1279998053</v>
      </c>
      <c r="I416">
        <v>1111694374</v>
      </c>
      <c r="J416">
        <v>1086101710</v>
      </c>
      <c r="K416">
        <v>1606900235</v>
      </c>
      <c r="L416">
        <v>1255760345</v>
      </c>
      <c r="M416">
        <v>1259641012</v>
      </c>
      <c r="N416">
        <v>1240821063</v>
      </c>
      <c r="O416">
        <v>1266072312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27737940937</v>
      </c>
      <c r="G417">
        <v>20415066433</v>
      </c>
      <c r="H417">
        <v>20067407726</v>
      </c>
      <c r="I417">
        <v>17556582285</v>
      </c>
      <c r="J417">
        <v>16117341197</v>
      </c>
      <c r="K417">
        <v>5081028364</v>
      </c>
      <c r="L417">
        <v>4038304790</v>
      </c>
      <c r="M417">
        <v>3150544978</v>
      </c>
      <c r="N417">
        <v>3029980987</v>
      </c>
      <c r="O417">
        <v>2425809173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4182608</v>
      </c>
      <c r="G418">
        <v>5870615</v>
      </c>
      <c r="H418">
        <v>7436040</v>
      </c>
      <c r="I418">
        <v>16125068</v>
      </c>
      <c r="J418">
        <v>6949870</v>
      </c>
      <c r="K418">
        <v>4476129</v>
      </c>
      <c r="L418">
        <v>8042273</v>
      </c>
      <c r="M418">
        <v>12124254</v>
      </c>
      <c r="N418">
        <v>6032882</v>
      </c>
      <c r="O418">
        <v>26974372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106888428</v>
      </c>
      <c r="G419">
        <v>90681576</v>
      </c>
      <c r="H419">
        <v>75965496</v>
      </c>
      <c r="I419">
        <v>71824096</v>
      </c>
      <c r="J419">
        <v>91133858</v>
      </c>
      <c r="K419">
        <v>62275067</v>
      </c>
      <c r="L419">
        <v>32103964</v>
      </c>
      <c r="M419">
        <v>30853996</v>
      </c>
      <c r="N419">
        <v>37935099</v>
      </c>
      <c r="O419">
        <v>27784048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190830294</v>
      </c>
      <c r="G420">
        <v>7123340</v>
      </c>
      <c r="H420">
        <v>2850002</v>
      </c>
      <c r="I420">
        <v>0</v>
      </c>
      <c r="J420">
        <v>21012543</v>
      </c>
      <c r="K420">
        <v>0</v>
      </c>
      <c r="L420">
        <v>33079</v>
      </c>
      <c r="M420">
        <v>484816</v>
      </c>
      <c r="N420">
        <v>3507489</v>
      </c>
      <c r="O420">
        <v>19671123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280822470</v>
      </c>
      <c r="G421">
        <v>290483294</v>
      </c>
      <c r="H421">
        <v>266231583</v>
      </c>
      <c r="I421">
        <v>269627767</v>
      </c>
      <c r="J421">
        <v>254497437</v>
      </c>
      <c r="K421">
        <v>246180770</v>
      </c>
      <c r="L421">
        <v>253518549</v>
      </c>
      <c r="M421">
        <v>298084331</v>
      </c>
      <c r="N421">
        <v>251215026</v>
      </c>
      <c r="O421">
        <v>247832279</v>
      </c>
      <c r="P421">
        <v>1893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294174318</v>
      </c>
      <c r="G422">
        <v>469200331</v>
      </c>
      <c r="H422">
        <v>320824493</v>
      </c>
      <c r="I422">
        <v>124616784</v>
      </c>
      <c r="J422">
        <v>189761339</v>
      </c>
      <c r="K422">
        <v>255146630</v>
      </c>
      <c r="L422">
        <v>915991493</v>
      </c>
      <c r="M422">
        <v>460758960</v>
      </c>
      <c r="N422">
        <v>296248783</v>
      </c>
      <c r="O422">
        <v>300846909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702533600</v>
      </c>
      <c r="G423">
        <v>513635269</v>
      </c>
      <c r="H423">
        <v>475298607</v>
      </c>
      <c r="I423">
        <v>340498068</v>
      </c>
      <c r="J423">
        <v>225964502</v>
      </c>
      <c r="K423">
        <v>238099663</v>
      </c>
      <c r="L423">
        <v>207960689</v>
      </c>
      <c r="M423">
        <v>253973065</v>
      </c>
      <c r="N423">
        <v>474178860</v>
      </c>
      <c r="O423">
        <v>409271032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4645623387</v>
      </c>
      <c r="G424">
        <v>5382601191</v>
      </c>
      <c r="H424">
        <v>5202013703</v>
      </c>
      <c r="I424">
        <v>5246661772</v>
      </c>
      <c r="J424">
        <v>5257170797</v>
      </c>
      <c r="K424">
        <v>4213041980</v>
      </c>
      <c r="L424">
        <v>3803318664</v>
      </c>
      <c r="M424">
        <v>2569575471</v>
      </c>
      <c r="N424">
        <v>1459318847</v>
      </c>
      <c r="O424">
        <v>773108311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5711764028</v>
      </c>
      <c r="G425">
        <v>5447310152</v>
      </c>
      <c r="H425">
        <v>10924144259</v>
      </c>
      <c r="I425">
        <v>9835553602</v>
      </c>
      <c r="J425">
        <v>9087070376</v>
      </c>
      <c r="K425">
        <v>2595396020</v>
      </c>
      <c r="L425">
        <v>2226156462</v>
      </c>
      <c r="M425">
        <v>2296472983</v>
      </c>
      <c r="N425">
        <v>1978722441</v>
      </c>
      <c r="O425">
        <v>1603233749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344788766</v>
      </c>
      <c r="G426">
        <v>314596650</v>
      </c>
      <c r="H426">
        <v>1005319722</v>
      </c>
      <c r="I426">
        <v>1241724208</v>
      </c>
      <c r="J426">
        <v>1044999586</v>
      </c>
      <c r="K426">
        <v>499686768</v>
      </c>
      <c r="L426">
        <v>351277325</v>
      </c>
      <c r="M426">
        <v>443639534</v>
      </c>
      <c r="N426">
        <v>435247303</v>
      </c>
      <c r="O426">
        <v>401819093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385519620</v>
      </c>
      <c r="G427">
        <v>380821763</v>
      </c>
      <c r="H427">
        <v>325723433</v>
      </c>
      <c r="I427">
        <v>240704463</v>
      </c>
      <c r="J427">
        <v>199423850</v>
      </c>
      <c r="K427">
        <v>162202860</v>
      </c>
      <c r="L427">
        <v>168167670</v>
      </c>
      <c r="M427">
        <v>150801476</v>
      </c>
      <c r="N427">
        <v>136207861</v>
      </c>
      <c r="O427">
        <v>92697275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1194391874</v>
      </c>
      <c r="G428">
        <v>2309835489</v>
      </c>
      <c r="H428">
        <v>3168048609</v>
      </c>
      <c r="I428">
        <v>3771566630</v>
      </c>
      <c r="J428">
        <v>2628968544</v>
      </c>
      <c r="K428">
        <v>2081722182</v>
      </c>
      <c r="L428">
        <v>55859183</v>
      </c>
      <c r="M428">
        <v>46221619</v>
      </c>
      <c r="N428">
        <v>78800823</v>
      </c>
      <c r="O428">
        <v>46004865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554431564</v>
      </c>
      <c r="G429">
        <v>392876374</v>
      </c>
      <c r="H429">
        <v>369696448</v>
      </c>
      <c r="I429">
        <v>742603188</v>
      </c>
      <c r="J429">
        <v>791899415</v>
      </c>
      <c r="K429">
        <v>978240455</v>
      </c>
      <c r="L429">
        <v>1037245428</v>
      </c>
      <c r="M429">
        <v>934375174</v>
      </c>
      <c r="N429">
        <v>823223075</v>
      </c>
      <c r="O429">
        <v>851454484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4325711227</v>
      </c>
      <c r="G430">
        <v>4539520618</v>
      </c>
      <c r="H430">
        <v>4113220028</v>
      </c>
      <c r="I430">
        <v>3954455686</v>
      </c>
      <c r="J430">
        <v>3049716932</v>
      </c>
      <c r="K430">
        <v>2957987471</v>
      </c>
      <c r="L430">
        <v>3462544572</v>
      </c>
      <c r="M430">
        <v>1914308313</v>
      </c>
      <c r="N430">
        <v>1692763413</v>
      </c>
      <c r="O430">
        <v>746314552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1356695793</v>
      </c>
      <c r="G431">
        <v>2405291885</v>
      </c>
      <c r="H431">
        <v>3670152137</v>
      </c>
      <c r="I431">
        <v>6072081919</v>
      </c>
      <c r="J431">
        <v>4992084546</v>
      </c>
      <c r="K431">
        <v>3095183749</v>
      </c>
      <c r="L431">
        <v>2550400593</v>
      </c>
      <c r="M431">
        <v>2230048157</v>
      </c>
      <c r="N431">
        <v>1705348741</v>
      </c>
      <c r="O431">
        <v>1330747169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230769</v>
      </c>
      <c r="M432">
        <v>4306161</v>
      </c>
      <c r="N432">
        <v>927223</v>
      </c>
      <c r="O432">
        <v>17818147</v>
      </c>
      <c r="P432">
        <v>71978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105138454</v>
      </c>
      <c r="G433">
        <v>86869990</v>
      </c>
      <c r="H433">
        <v>69628958</v>
      </c>
      <c r="I433">
        <v>0</v>
      </c>
      <c r="J433">
        <v>85979130</v>
      </c>
      <c r="K433">
        <v>73852682</v>
      </c>
      <c r="L433">
        <v>92166496</v>
      </c>
      <c r="M433">
        <v>127005643</v>
      </c>
      <c r="N433">
        <v>119804352</v>
      </c>
      <c r="O433">
        <v>119485219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1849743325</v>
      </c>
      <c r="G434">
        <v>1669756915</v>
      </c>
      <c r="H434">
        <v>1289114378</v>
      </c>
      <c r="I434">
        <v>0</v>
      </c>
      <c r="J434">
        <v>1604228994</v>
      </c>
      <c r="K434">
        <v>1280916526</v>
      </c>
      <c r="L434">
        <v>1037164183</v>
      </c>
      <c r="M434">
        <v>789300085</v>
      </c>
      <c r="N434">
        <v>542275330</v>
      </c>
      <c r="O434">
        <v>518355737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11105869260</v>
      </c>
      <c r="G435">
        <v>9405137661</v>
      </c>
      <c r="H435">
        <v>6465008719</v>
      </c>
      <c r="I435">
        <v>6265791352</v>
      </c>
      <c r="J435">
        <v>5881683860</v>
      </c>
      <c r="K435">
        <v>5323361668</v>
      </c>
      <c r="L435">
        <v>3896302214</v>
      </c>
      <c r="M435">
        <v>3293340644</v>
      </c>
      <c r="N435">
        <v>2684667877</v>
      </c>
      <c r="O435">
        <v>2064754936</v>
      </c>
      <c r="P435">
        <v>1218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566728353</v>
      </c>
      <c r="G436">
        <v>563454124</v>
      </c>
      <c r="H436">
        <v>617449728</v>
      </c>
      <c r="I436">
        <v>772893472</v>
      </c>
      <c r="J436">
        <v>982412569</v>
      </c>
      <c r="K436">
        <v>950861443</v>
      </c>
      <c r="L436">
        <v>1021107153</v>
      </c>
      <c r="M436">
        <v>914020765</v>
      </c>
      <c r="N436">
        <v>709748982</v>
      </c>
      <c r="O436">
        <v>517795824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2658564868</v>
      </c>
      <c r="G437">
        <v>3004361193</v>
      </c>
      <c r="H437">
        <v>2792837578</v>
      </c>
      <c r="I437">
        <v>3643056057</v>
      </c>
      <c r="J437">
        <v>3797071992</v>
      </c>
      <c r="K437">
        <v>3178608459</v>
      </c>
      <c r="L437">
        <v>2367456069</v>
      </c>
      <c r="M437">
        <v>1915637733</v>
      </c>
      <c r="N437">
        <v>1517733753</v>
      </c>
      <c r="O437">
        <v>1431214648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588110227</v>
      </c>
      <c r="G438">
        <v>466027172</v>
      </c>
      <c r="H438">
        <v>958320657</v>
      </c>
      <c r="I438">
        <v>1165027134</v>
      </c>
      <c r="J438">
        <v>1346360307</v>
      </c>
      <c r="K438">
        <v>1340198828</v>
      </c>
      <c r="L438">
        <v>1200052596</v>
      </c>
      <c r="M438">
        <v>794198228</v>
      </c>
      <c r="N438">
        <v>657413043</v>
      </c>
      <c r="O438">
        <v>326537715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12392207</v>
      </c>
      <c r="G439">
        <v>8175859</v>
      </c>
      <c r="H439">
        <v>13746309</v>
      </c>
      <c r="I439">
        <v>17981309</v>
      </c>
      <c r="J439">
        <v>16718731</v>
      </c>
      <c r="K439">
        <v>21904479</v>
      </c>
      <c r="L439">
        <v>17869909</v>
      </c>
      <c r="M439">
        <v>25860789</v>
      </c>
      <c r="N439">
        <v>19991379</v>
      </c>
      <c r="O439">
        <v>30654565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9952497450</v>
      </c>
      <c r="G440">
        <v>7836183100</v>
      </c>
      <c r="H440">
        <v>6085540896</v>
      </c>
      <c r="I440">
        <v>6297950872</v>
      </c>
      <c r="J440">
        <v>6770694211</v>
      </c>
      <c r="K440">
        <v>15372891499</v>
      </c>
      <c r="L440">
        <v>15703344099</v>
      </c>
      <c r="M440">
        <v>18188880964</v>
      </c>
      <c r="N440">
        <v>14789777063</v>
      </c>
      <c r="O440">
        <v>11225169009</v>
      </c>
      <c r="P440">
        <v>252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764358650</v>
      </c>
      <c r="G441">
        <v>640756336</v>
      </c>
      <c r="H441">
        <v>405159134</v>
      </c>
      <c r="I441">
        <v>383487230</v>
      </c>
      <c r="J441">
        <v>388486240</v>
      </c>
      <c r="K441">
        <v>436168965</v>
      </c>
      <c r="L441">
        <v>390738800</v>
      </c>
      <c r="M441">
        <v>424066386</v>
      </c>
      <c r="N441">
        <v>407322278</v>
      </c>
      <c r="O441">
        <v>374226133</v>
      </c>
      <c r="P441">
        <v>1046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83059404</v>
      </c>
      <c r="G442">
        <v>81319615</v>
      </c>
      <c r="H442">
        <v>79955700</v>
      </c>
      <c r="I442">
        <v>37550425</v>
      </c>
      <c r="J442">
        <v>60176250</v>
      </c>
      <c r="K442">
        <v>56477907</v>
      </c>
      <c r="L442">
        <v>62759527</v>
      </c>
      <c r="M442">
        <v>78668428</v>
      </c>
      <c r="N442">
        <v>59352736</v>
      </c>
      <c r="O442">
        <v>55692413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202803449</v>
      </c>
      <c r="G443">
        <v>266651537</v>
      </c>
      <c r="H443">
        <v>63840780</v>
      </c>
      <c r="I443">
        <v>52341799</v>
      </c>
      <c r="J443">
        <v>87330644</v>
      </c>
      <c r="K443">
        <v>65971579</v>
      </c>
      <c r="L443">
        <v>24557732</v>
      </c>
      <c r="M443">
        <v>88694948</v>
      </c>
      <c r="N443">
        <v>29899650</v>
      </c>
      <c r="O443">
        <v>9763499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G444">
        <v>81532466</v>
      </c>
      <c r="H444">
        <v>516936459</v>
      </c>
      <c r="I444">
        <v>544100661</v>
      </c>
      <c r="J444">
        <v>4874251</v>
      </c>
      <c r="K444">
        <v>7167364</v>
      </c>
      <c r="L444">
        <v>103393230</v>
      </c>
      <c r="M444">
        <v>5783563</v>
      </c>
      <c r="N444">
        <v>3361219</v>
      </c>
      <c r="O444">
        <v>1860270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6980861</v>
      </c>
      <c r="G445">
        <v>30209445</v>
      </c>
      <c r="H445">
        <v>10259642</v>
      </c>
      <c r="I445">
        <v>18737303</v>
      </c>
      <c r="J445">
        <v>11265430</v>
      </c>
      <c r="K445">
        <v>5573294</v>
      </c>
      <c r="L445">
        <v>7638569</v>
      </c>
      <c r="M445">
        <v>7925287</v>
      </c>
      <c r="N445">
        <v>7191720</v>
      </c>
      <c r="O445">
        <v>21460829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1294634481</v>
      </c>
      <c r="G446">
        <v>1872207005</v>
      </c>
      <c r="H446">
        <v>8430970514</v>
      </c>
      <c r="I446">
        <v>8271538311</v>
      </c>
      <c r="J446">
        <v>6747705835</v>
      </c>
      <c r="K446">
        <v>4876400640</v>
      </c>
      <c r="L446">
        <v>4643277247</v>
      </c>
      <c r="M446">
        <v>3558680817</v>
      </c>
      <c r="N446">
        <v>2051677627</v>
      </c>
      <c r="O446">
        <v>1305095395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2094388231</v>
      </c>
      <c r="G447">
        <v>2093657853</v>
      </c>
      <c r="H447">
        <v>1343252731</v>
      </c>
      <c r="I447">
        <v>1470281031</v>
      </c>
      <c r="J447">
        <v>1122008764</v>
      </c>
      <c r="K447">
        <v>1188219340</v>
      </c>
      <c r="L447">
        <v>1112957028</v>
      </c>
      <c r="M447">
        <v>998754786</v>
      </c>
      <c r="N447">
        <v>1029371390</v>
      </c>
      <c r="O447">
        <v>655680687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732386769</v>
      </c>
      <c r="G448">
        <v>721083195</v>
      </c>
      <c r="H448">
        <v>864180851</v>
      </c>
      <c r="I448">
        <v>601867809</v>
      </c>
      <c r="J448">
        <v>689874266</v>
      </c>
      <c r="K448">
        <v>1080509882</v>
      </c>
      <c r="L448">
        <v>955139258</v>
      </c>
      <c r="M448">
        <v>898676468</v>
      </c>
      <c r="N448">
        <v>410648025</v>
      </c>
      <c r="O448">
        <v>698624160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194704332</v>
      </c>
      <c r="G449">
        <v>178068339</v>
      </c>
      <c r="H449">
        <v>165021462</v>
      </c>
      <c r="I449">
        <v>161023265</v>
      </c>
      <c r="J449">
        <v>162125228</v>
      </c>
      <c r="K449">
        <v>203988031</v>
      </c>
      <c r="L449">
        <v>159100636</v>
      </c>
      <c r="M449">
        <v>118085553</v>
      </c>
      <c r="N449">
        <v>113217440</v>
      </c>
      <c r="O449">
        <v>80987718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51962076</v>
      </c>
      <c r="G450">
        <v>27363513</v>
      </c>
      <c r="H450">
        <v>18570899</v>
      </c>
      <c r="I450">
        <v>27274370</v>
      </c>
      <c r="J450">
        <v>10469723</v>
      </c>
      <c r="K450">
        <v>10897219</v>
      </c>
      <c r="L450">
        <v>35295686</v>
      </c>
      <c r="M450">
        <v>33951304</v>
      </c>
      <c r="N450">
        <v>39620704</v>
      </c>
      <c r="O450">
        <v>59451169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21597945</v>
      </c>
      <c r="G451">
        <v>20935825</v>
      </c>
      <c r="H451">
        <v>43665202</v>
      </c>
      <c r="I451">
        <v>69307972</v>
      </c>
      <c r="J451">
        <v>231593364</v>
      </c>
      <c r="K451">
        <v>239842423</v>
      </c>
      <c r="L451">
        <v>126018125</v>
      </c>
      <c r="M451">
        <v>129623086</v>
      </c>
      <c r="N451">
        <v>190074489</v>
      </c>
      <c r="O451">
        <v>203541638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41022760</v>
      </c>
      <c r="G452">
        <v>63660586</v>
      </c>
      <c r="H452">
        <v>78449789</v>
      </c>
      <c r="I452">
        <v>60878018</v>
      </c>
      <c r="J452">
        <v>23803218</v>
      </c>
      <c r="K452">
        <v>11090517</v>
      </c>
      <c r="L452">
        <v>21513550</v>
      </c>
      <c r="M452">
        <v>42594244</v>
      </c>
      <c r="N452">
        <v>67964912</v>
      </c>
      <c r="O452">
        <v>61233945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3536461000</v>
      </c>
      <c r="G453">
        <v>4291528000</v>
      </c>
      <c r="H453">
        <v>4163086000</v>
      </c>
      <c r="I453">
        <v>3234982000</v>
      </c>
      <c r="J453">
        <v>2042921000</v>
      </c>
      <c r="K453">
        <v>2846791578</v>
      </c>
      <c r="L453">
        <v>3458911049</v>
      </c>
      <c r="M453">
        <v>3555151514</v>
      </c>
      <c r="N453">
        <v>2435493546</v>
      </c>
      <c r="O453">
        <v>907468030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826855836</v>
      </c>
      <c r="G454">
        <v>1986005371</v>
      </c>
      <c r="H454">
        <v>2624192404</v>
      </c>
      <c r="I454">
        <v>2964821626</v>
      </c>
      <c r="J454">
        <v>3276934035</v>
      </c>
      <c r="K454">
        <v>5341069600</v>
      </c>
      <c r="L454">
        <v>6605815808</v>
      </c>
      <c r="M454">
        <v>6152670953</v>
      </c>
      <c r="N454">
        <v>7464405510</v>
      </c>
      <c r="O454">
        <v>9621485332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118238364</v>
      </c>
      <c r="G455">
        <v>169904247</v>
      </c>
      <c r="H455">
        <v>290143269</v>
      </c>
      <c r="I455">
        <v>571089460</v>
      </c>
      <c r="J455">
        <v>126662812</v>
      </c>
      <c r="K455">
        <v>27705396</v>
      </c>
      <c r="L455">
        <v>31178689</v>
      </c>
      <c r="M455">
        <v>75804307</v>
      </c>
      <c r="N455">
        <v>29672803</v>
      </c>
      <c r="O455">
        <v>17945240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993613902</v>
      </c>
      <c r="G456">
        <v>798070362</v>
      </c>
      <c r="H456">
        <v>722266921</v>
      </c>
      <c r="I456">
        <v>174639116</v>
      </c>
      <c r="J456">
        <v>215538498</v>
      </c>
      <c r="K456">
        <v>545051289</v>
      </c>
      <c r="L456">
        <v>659832795</v>
      </c>
      <c r="M456">
        <v>721306987</v>
      </c>
      <c r="N456">
        <v>495330808</v>
      </c>
      <c r="O456">
        <v>385812939</v>
      </c>
      <c r="P456">
        <v>794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5100930321</v>
      </c>
      <c r="G457">
        <v>2821992657</v>
      </c>
      <c r="H457">
        <v>2069959988</v>
      </c>
      <c r="I457">
        <v>2580341560</v>
      </c>
      <c r="J457">
        <v>1937803582</v>
      </c>
      <c r="K457">
        <v>1163837010</v>
      </c>
      <c r="L457">
        <v>1043807867</v>
      </c>
      <c r="M457">
        <v>1120382733</v>
      </c>
      <c r="N457">
        <v>1089386181</v>
      </c>
      <c r="O457">
        <v>819797535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1399222979</v>
      </c>
      <c r="G458">
        <v>1016889083</v>
      </c>
      <c r="H458">
        <v>1884083453</v>
      </c>
      <c r="I458">
        <v>1825028096</v>
      </c>
      <c r="J458">
        <v>2434425583</v>
      </c>
      <c r="K458">
        <v>2890088216</v>
      </c>
      <c r="L458">
        <v>2052864776</v>
      </c>
      <c r="M458">
        <v>1649187349</v>
      </c>
      <c r="N458">
        <v>2036733753</v>
      </c>
      <c r="O458">
        <v>2246586940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590765791</v>
      </c>
      <c r="G459">
        <v>670363155</v>
      </c>
      <c r="H459">
        <v>682976677</v>
      </c>
      <c r="I459">
        <v>703844171</v>
      </c>
      <c r="J459">
        <v>777073505</v>
      </c>
      <c r="K459">
        <v>1055118857</v>
      </c>
      <c r="L459">
        <v>1108032342</v>
      </c>
      <c r="M459">
        <v>1065300961</v>
      </c>
      <c r="N459">
        <v>835427787</v>
      </c>
      <c r="O459">
        <v>402495441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1163012694</v>
      </c>
      <c r="G460">
        <v>1316480300</v>
      </c>
      <c r="H460">
        <v>1394198302</v>
      </c>
      <c r="I460">
        <v>1059497966</v>
      </c>
      <c r="J460">
        <v>1018506455</v>
      </c>
      <c r="K460">
        <v>1010959127</v>
      </c>
      <c r="L460">
        <v>772526938</v>
      </c>
      <c r="M460">
        <v>391500824</v>
      </c>
      <c r="N460">
        <v>299952328</v>
      </c>
      <c r="O460">
        <v>295713773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74057</v>
      </c>
      <c r="G461">
        <v>161301</v>
      </c>
      <c r="H461">
        <v>307581</v>
      </c>
      <c r="I461">
        <v>633090</v>
      </c>
      <c r="J461">
        <v>5485609</v>
      </c>
      <c r="K461">
        <v>1820572</v>
      </c>
      <c r="L461">
        <v>312106</v>
      </c>
      <c r="M461">
        <v>1471500</v>
      </c>
      <c r="N461">
        <v>13967</v>
      </c>
      <c r="O461">
        <v>591881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2409893930</v>
      </c>
      <c r="G462">
        <v>1498943603</v>
      </c>
      <c r="H462">
        <v>682055119</v>
      </c>
      <c r="I462">
        <v>28207439</v>
      </c>
      <c r="J462">
        <v>10286939</v>
      </c>
      <c r="K462">
        <v>14577957</v>
      </c>
      <c r="L462">
        <v>22951524</v>
      </c>
      <c r="M462">
        <v>5493087</v>
      </c>
      <c r="N462">
        <v>3675540</v>
      </c>
      <c r="O462">
        <v>2854276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732061054</v>
      </c>
      <c r="G463">
        <v>955296244</v>
      </c>
      <c r="H463">
        <v>1057636485</v>
      </c>
      <c r="I463">
        <v>1195648440</v>
      </c>
      <c r="J463">
        <v>1107138713</v>
      </c>
      <c r="K463">
        <v>975742050</v>
      </c>
      <c r="L463">
        <v>956309810</v>
      </c>
      <c r="M463">
        <v>942260118</v>
      </c>
      <c r="N463">
        <v>827633824</v>
      </c>
      <c r="O463">
        <v>761924033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164817267</v>
      </c>
      <c r="G464">
        <v>123481897</v>
      </c>
      <c r="H464">
        <v>129210046</v>
      </c>
      <c r="I464">
        <v>122546022</v>
      </c>
      <c r="J464">
        <v>142404331</v>
      </c>
      <c r="K464">
        <v>127606439</v>
      </c>
      <c r="L464">
        <v>135514994</v>
      </c>
      <c r="M464">
        <v>155919428</v>
      </c>
      <c r="N464">
        <v>156429483</v>
      </c>
      <c r="O464">
        <v>153365772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22308041</v>
      </c>
      <c r="G465">
        <v>49610005</v>
      </c>
      <c r="H465">
        <v>41584151</v>
      </c>
      <c r="I465">
        <v>25178124</v>
      </c>
      <c r="J465">
        <v>367979</v>
      </c>
      <c r="K465">
        <v>367979</v>
      </c>
      <c r="L465">
        <v>418674</v>
      </c>
      <c r="M465">
        <v>58225397</v>
      </c>
      <c r="N465">
        <v>891836</v>
      </c>
      <c r="O465">
        <v>3692594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252239418</v>
      </c>
      <c r="G466">
        <v>318360430</v>
      </c>
      <c r="H466">
        <v>281843476</v>
      </c>
      <c r="I466">
        <v>245982898</v>
      </c>
      <c r="J466">
        <v>257543868</v>
      </c>
      <c r="K466">
        <v>277553924</v>
      </c>
      <c r="L466">
        <v>298171546</v>
      </c>
      <c r="M466">
        <v>311464874</v>
      </c>
      <c r="N466">
        <v>297942385</v>
      </c>
      <c r="O466">
        <v>289451407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119551073</v>
      </c>
      <c r="G467">
        <v>144542671</v>
      </c>
      <c r="H467">
        <v>228634756</v>
      </c>
      <c r="I467">
        <v>335106163</v>
      </c>
      <c r="J467">
        <v>321274438</v>
      </c>
      <c r="K467">
        <v>295100709</v>
      </c>
      <c r="L467">
        <v>134289767</v>
      </c>
      <c r="M467">
        <v>72215191</v>
      </c>
      <c r="N467">
        <v>69402202</v>
      </c>
      <c r="O467">
        <v>57002807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2007766931</v>
      </c>
      <c r="G468">
        <v>2800918143</v>
      </c>
      <c r="H468">
        <v>594969741</v>
      </c>
      <c r="I468">
        <v>511046640</v>
      </c>
      <c r="J468">
        <v>503000539</v>
      </c>
      <c r="K468">
        <v>505376823</v>
      </c>
      <c r="L468">
        <v>498465408</v>
      </c>
      <c r="M468">
        <v>278920412</v>
      </c>
      <c r="N468">
        <v>183943149</v>
      </c>
      <c r="O468">
        <v>60595555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875537329</v>
      </c>
      <c r="G469">
        <v>667884791</v>
      </c>
      <c r="H469">
        <v>543710893</v>
      </c>
      <c r="I469">
        <v>495806493</v>
      </c>
      <c r="J469">
        <v>499998758</v>
      </c>
      <c r="K469">
        <v>437207460</v>
      </c>
      <c r="L469">
        <v>367996069</v>
      </c>
      <c r="M469">
        <v>313358602</v>
      </c>
      <c r="N469">
        <v>342187978</v>
      </c>
      <c r="O469">
        <v>276093372</v>
      </c>
      <c r="P469">
        <v>21656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980742666</v>
      </c>
      <c r="G470">
        <v>870820121</v>
      </c>
      <c r="H470">
        <v>661109342</v>
      </c>
      <c r="I470">
        <v>425098828</v>
      </c>
      <c r="J470">
        <v>443718948</v>
      </c>
      <c r="K470">
        <v>1371251471</v>
      </c>
      <c r="L470">
        <v>357129925</v>
      </c>
      <c r="M470">
        <v>301907061</v>
      </c>
      <c r="N470">
        <v>337385069</v>
      </c>
      <c r="O470">
        <v>349301899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2111480868</v>
      </c>
      <c r="G471">
        <v>1937235079</v>
      </c>
      <c r="H471">
        <v>1847193303</v>
      </c>
      <c r="I471">
        <v>1965351882</v>
      </c>
      <c r="J471">
        <v>1686657163</v>
      </c>
      <c r="K471">
        <v>1332002387</v>
      </c>
      <c r="L471">
        <v>1099194585</v>
      </c>
      <c r="M471">
        <v>899714092</v>
      </c>
      <c r="N471">
        <v>743052253</v>
      </c>
      <c r="O471">
        <v>141944222</v>
      </c>
      <c r="P471">
        <v>13801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5091123116</v>
      </c>
      <c r="G472">
        <v>3577012853</v>
      </c>
      <c r="H472">
        <v>3053994684</v>
      </c>
      <c r="I472">
        <v>2944907452</v>
      </c>
      <c r="J472">
        <v>2207759664</v>
      </c>
      <c r="K472">
        <v>1544820770</v>
      </c>
      <c r="L472">
        <v>1446432276</v>
      </c>
      <c r="M472">
        <v>1323702281</v>
      </c>
      <c r="N472">
        <v>1165193019</v>
      </c>
      <c r="O472">
        <v>509831230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80118983</v>
      </c>
      <c r="G473">
        <v>108873901</v>
      </c>
      <c r="H473">
        <v>122333181</v>
      </c>
      <c r="I473">
        <v>274998931</v>
      </c>
      <c r="J473">
        <v>290578737</v>
      </c>
      <c r="K473">
        <v>240793476</v>
      </c>
      <c r="L473">
        <v>34076541</v>
      </c>
      <c r="M473">
        <v>84031117</v>
      </c>
      <c r="N473">
        <v>37306069</v>
      </c>
      <c r="O473">
        <v>27891769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639861116</v>
      </c>
      <c r="G474">
        <v>564247974</v>
      </c>
      <c r="H474">
        <v>543318848</v>
      </c>
      <c r="I474">
        <v>704257811</v>
      </c>
      <c r="J474">
        <v>972785001</v>
      </c>
      <c r="K474">
        <v>1080374616</v>
      </c>
      <c r="L474">
        <v>1086324628</v>
      </c>
      <c r="M474">
        <v>300851760</v>
      </c>
      <c r="N474">
        <v>215558200</v>
      </c>
      <c r="O474">
        <v>147046072</v>
      </c>
      <c r="P474">
        <v>329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762916208</v>
      </c>
      <c r="G475">
        <v>523273535</v>
      </c>
      <c r="H475">
        <v>239695024</v>
      </c>
      <c r="I475">
        <v>151694652</v>
      </c>
      <c r="J475">
        <v>209473302</v>
      </c>
      <c r="K475">
        <v>261669090</v>
      </c>
      <c r="L475">
        <v>220991366</v>
      </c>
      <c r="M475">
        <v>165118087</v>
      </c>
      <c r="N475">
        <v>152349302</v>
      </c>
      <c r="O475">
        <v>94215062</v>
      </c>
      <c r="P475">
        <v>2779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88375352</v>
      </c>
      <c r="G476">
        <v>94196882</v>
      </c>
      <c r="H476">
        <v>89468148</v>
      </c>
      <c r="I476">
        <v>159986678</v>
      </c>
      <c r="J476">
        <v>228810946</v>
      </c>
      <c r="K476">
        <v>239540653</v>
      </c>
      <c r="L476">
        <v>220416232</v>
      </c>
      <c r="M476">
        <v>171219008</v>
      </c>
      <c r="N476">
        <v>238250922</v>
      </c>
      <c r="O476">
        <v>135065886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813205716</v>
      </c>
      <c r="G477">
        <v>859992364</v>
      </c>
      <c r="H477">
        <v>1181465257</v>
      </c>
      <c r="I477">
        <v>1305830276</v>
      </c>
      <c r="J477">
        <v>911197516</v>
      </c>
      <c r="K477">
        <v>524157282</v>
      </c>
      <c r="L477">
        <v>1191043271</v>
      </c>
      <c r="M477">
        <v>524599143</v>
      </c>
      <c r="N477">
        <v>409705579</v>
      </c>
      <c r="O477">
        <v>324065948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5270980</v>
      </c>
      <c r="L478">
        <v>0</v>
      </c>
      <c r="M478">
        <v>66533</v>
      </c>
      <c r="N478">
        <v>0</v>
      </c>
      <c r="O478">
        <v>883856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1715064184</v>
      </c>
      <c r="G479">
        <v>1141656534</v>
      </c>
      <c r="H479">
        <v>854588187</v>
      </c>
      <c r="I479">
        <v>1038317302</v>
      </c>
      <c r="J479">
        <v>918055834</v>
      </c>
      <c r="K479">
        <v>617989772</v>
      </c>
      <c r="L479">
        <v>360661691</v>
      </c>
      <c r="M479">
        <v>434060176</v>
      </c>
      <c r="N479">
        <v>3209004458</v>
      </c>
      <c r="O479">
        <v>2653759112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302982642</v>
      </c>
      <c r="G480">
        <v>286953752</v>
      </c>
      <c r="H480">
        <v>343496375</v>
      </c>
      <c r="I480">
        <v>387134028</v>
      </c>
      <c r="J480">
        <v>269871888</v>
      </c>
      <c r="K480">
        <v>228151813</v>
      </c>
      <c r="L480">
        <v>245778056</v>
      </c>
      <c r="M480">
        <v>9902</v>
      </c>
      <c r="N480">
        <v>10225</v>
      </c>
      <c r="O480">
        <v>582766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2990343971</v>
      </c>
      <c r="G481">
        <v>2376410086</v>
      </c>
      <c r="H481">
        <v>1943242698</v>
      </c>
      <c r="I481">
        <v>1698864204</v>
      </c>
      <c r="J481">
        <v>2039719090</v>
      </c>
      <c r="K481">
        <v>1461136065</v>
      </c>
      <c r="L481">
        <v>1132837811</v>
      </c>
      <c r="M481">
        <v>1494454913</v>
      </c>
      <c r="N481">
        <v>1584808100</v>
      </c>
      <c r="O481">
        <v>1341729139</v>
      </c>
      <c r="P481">
        <v>247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4203125029</v>
      </c>
      <c r="G482">
        <v>3194236921</v>
      </c>
      <c r="H482">
        <v>2727773126</v>
      </c>
      <c r="I482">
        <v>1632596769</v>
      </c>
      <c r="J482">
        <v>1418923588</v>
      </c>
      <c r="K482">
        <v>966029486</v>
      </c>
      <c r="L482">
        <v>1156872669</v>
      </c>
      <c r="M482">
        <v>1342643880</v>
      </c>
      <c r="N482">
        <v>1173722240</v>
      </c>
      <c r="O482">
        <v>1224959808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1912152186</v>
      </c>
      <c r="G483">
        <v>2126001482</v>
      </c>
      <c r="H483">
        <v>2254803713</v>
      </c>
      <c r="I483">
        <v>2156803833</v>
      </c>
      <c r="J483">
        <v>509064550</v>
      </c>
      <c r="K483">
        <v>590811404</v>
      </c>
      <c r="L483">
        <v>609998688</v>
      </c>
      <c r="M483">
        <v>477571254</v>
      </c>
      <c r="N483">
        <v>438829851</v>
      </c>
      <c r="O483">
        <v>76443658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3708520044</v>
      </c>
      <c r="G484">
        <v>3390194107</v>
      </c>
      <c r="H484">
        <v>3338668301</v>
      </c>
      <c r="I484">
        <v>3199392919</v>
      </c>
      <c r="J484">
        <v>2659362917</v>
      </c>
      <c r="K484">
        <v>2990016206</v>
      </c>
      <c r="L484">
        <v>2734986616</v>
      </c>
      <c r="M484">
        <v>1823786224</v>
      </c>
      <c r="N484">
        <v>1701359960</v>
      </c>
      <c r="O484">
        <v>745387112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348691358</v>
      </c>
      <c r="G485">
        <v>61637838</v>
      </c>
      <c r="H485">
        <v>89319439</v>
      </c>
      <c r="I485">
        <v>51289215</v>
      </c>
      <c r="J485">
        <v>38256179</v>
      </c>
      <c r="K485">
        <v>4492352</v>
      </c>
      <c r="L485">
        <v>25995358</v>
      </c>
      <c r="M485">
        <v>33050254</v>
      </c>
      <c r="N485">
        <v>2056161</v>
      </c>
      <c r="O485">
        <v>18461396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8432392000</v>
      </c>
      <c r="G486">
        <v>8346975560</v>
      </c>
      <c r="H486">
        <v>9058330474</v>
      </c>
      <c r="I486">
        <v>9903632224</v>
      </c>
      <c r="J486">
        <v>11531964837</v>
      </c>
      <c r="K486">
        <v>12092949014</v>
      </c>
      <c r="L486">
        <v>12048365335</v>
      </c>
      <c r="M486">
        <v>9140890701</v>
      </c>
      <c r="N486">
        <v>4763400349</v>
      </c>
      <c r="O486">
        <v>3624819456</v>
      </c>
      <c r="P486">
        <v>396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5657219700</v>
      </c>
      <c r="G487">
        <v>7370820084</v>
      </c>
      <c r="H487">
        <v>4837527878</v>
      </c>
      <c r="I487">
        <v>4186332475</v>
      </c>
      <c r="J487">
        <v>2820783201</v>
      </c>
      <c r="K487">
        <v>1992778807</v>
      </c>
      <c r="L487">
        <v>4712806787</v>
      </c>
      <c r="M487">
        <v>5843029130</v>
      </c>
      <c r="N487">
        <v>4334437118</v>
      </c>
      <c r="O487">
        <v>2215166228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4271528225</v>
      </c>
      <c r="G488">
        <v>3846100859</v>
      </c>
      <c r="H488">
        <v>3349731893</v>
      </c>
      <c r="I488">
        <v>2779382584</v>
      </c>
      <c r="J488">
        <v>2841233347</v>
      </c>
      <c r="K488">
        <v>2721799833</v>
      </c>
      <c r="L488">
        <v>1839003139</v>
      </c>
      <c r="M488">
        <v>710744811</v>
      </c>
      <c r="N488">
        <v>570889796</v>
      </c>
      <c r="O488">
        <v>493181246</v>
      </c>
      <c r="P488">
        <v>1664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2377083287</v>
      </c>
      <c r="G489">
        <v>1204534848</v>
      </c>
      <c r="H489">
        <v>1273619922</v>
      </c>
      <c r="I489">
        <v>1232637935</v>
      </c>
      <c r="J489">
        <v>1059713200</v>
      </c>
      <c r="K489">
        <v>654679046</v>
      </c>
      <c r="L489">
        <v>422052404</v>
      </c>
      <c r="M489">
        <v>333247400</v>
      </c>
      <c r="N489">
        <v>358861379</v>
      </c>
      <c r="O489">
        <v>230370381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184543978</v>
      </c>
      <c r="G490">
        <v>382776722</v>
      </c>
      <c r="H490">
        <v>442064038</v>
      </c>
      <c r="I490">
        <v>409239837</v>
      </c>
      <c r="J490">
        <v>364129984</v>
      </c>
      <c r="K490">
        <v>299052295</v>
      </c>
      <c r="L490">
        <v>345393331</v>
      </c>
      <c r="M490">
        <v>291031908</v>
      </c>
      <c r="N490">
        <v>187569747</v>
      </c>
      <c r="O490">
        <v>181543688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1574008293</v>
      </c>
      <c r="G491">
        <v>1705619965</v>
      </c>
      <c r="H491">
        <v>1887604975</v>
      </c>
      <c r="I491">
        <v>2008114089</v>
      </c>
      <c r="J491">
        <v>1999279256</v>
      </c>
      <c r="K491">
        <v>1849442835</v>
      </c>
      <c r="L491">
        <v>1789624563</v>
      </c>
      <c r="M491">
        <v>1523372938</v>
      </c>
      <c r="N491">
        <v>952101561</v>
      </c>
      <c r="O491">
        <v>561801043</v>
      </c>
      <c r="P491">
        <v>533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1279716583</v>
      </c>
      <c r="G492">
        <v>1041705688</v>
      </c>
      <c r="H492">
        <v>1234210969</v>
      </c>
      <c r="I492">
        <v>1389930749</v>
      </c>
      <c r="J492">
        <v>1495152101</v>
      </c>
      <c r="K492">
        <v>1608862312</v>
      </c>
      <c r="L492">
        <v>1519699082</v>
      </c>
      <c r="M492">
        <v>1476189106</v>
      </c>
      <c r="N492">
        <v>1393526603</v>
      </c>
      <c r="O492">
        <v>1306428847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473118881</v>
      </c>
      <c r="G493">
        <v>495740968</v>
      </c>
      <c r="H493">
        <v>671913275</v>
      </c>
      <c r="I493">
        <v>638260308</v>
      </c>
      <c r="J493">
        <v>533048992</v>
      </c>
      <c r="K493">
        <v>528787175</v>
      </c>
      <c r="L493">
        <v>478807457</v>
      </c>
      <c r="M493">
        <v>499285739</v>
      </c>
      <c r="N493">
        <v>508377806</v>
      </c>
      <c r="O493">
        <v>447629567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3806075887</v>
      </c>
      <c r="G494">
        <v>3920700103</v>
      </c>
      <c r="H494">
        <v>3945385161</v>
      </c>
      <c r="I494">
        <v>5327802216</v>
      </c>
      <c r="J494">
        <v>3681828422</v>
      </c>
      <c r="K494">
        <v>2409710287</v>
      </c>
      <c r="L494">
        <v>1621882941</v>
      </c>
      <c r="M494">
        <v>1234603459</v>
      </c>
      <c r="N494">
        <v>1140515637</v>
      </c>
      <c r="O494">
        <v>1062546849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272795230</v>
      </c>
      <c r="G495">
        <v>254399515</v>
      </c>
      <c r="H495">
        <v>223544441</v>
      </c>
      <c r="I495">
        <v>208707836</v>
      </c>
      <c r="J495">
        <v>191773130</v>
      </c>
      <c r="K495">
        <v>183770033</v>
      </c>
      <c r="L495">
        <v>180163645</v>
      </c>
      <c r="M495">
        <v>211856660</v>
      </c>
      <c r="N495">
        <v>238633665</v>
      </c>
      <c r="O495">
        <v>208881913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4646546</v>
      </c>
      <c r="G496">
        <v>6037035</v>
      </c>
      <c r="H496">
        <v>8408444</v>
      </c>
      <c r="I496">
        <v>3050942</v>
      </c>
      <c r="J496">
        <v>2449807</v>
      </c>
      <c r="K496">
        <v>2069542</v>
      </c>
      <c r="L496">
        <v>2053451</v>
      </c>
      <c r="M496">
        <v>2475839</v>
      </c>
      <c r="N496">
        <v>2906366</v>
      </c>
      <c r="O496">
        <v>1157975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340875363</v>
      </c>
      <c r="G497">
        <v>316869794</v>
      </c>
      <c r="H497">
        <v>293936923</v>
      </c>
      <c r="I497">
        <v>324055494</v>
      </c>
      <c r="J497">
        <v>382526770</v>
      </c>
      <c r="K497">
        <v>352492565</v>
      </c>
      <c r="L497">
        <v>236274891</v>
      </c>
      <c r="M497">
        <v>245677051</v>
      </c>
      <c r="N497">
        <v>177245692</v>
      </c>
      <c r="O497">
        <v>97548635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622372775</v>
      </c>
      <c r="G498">
        <v>498780494</v>
      </c>
      <c r="H498">
        <v>403818693</v>
      </c>
      <c r="I498">
        <v>449499085</v>
      </c>
      <c r="J498">
        <v>496761699</v>
      </c>
      <c r="K498">
        <v>447780923</v>
      </c>
      <c r="L498">
        <v>238424994</v>
      </c>
      <c r="M498">
        <v>314967760</v>
      </c>
      <c r="N498">
        <v>629768284</v>
      </c>
      <c r="O498">
        <v>520682040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1420160350</v>
      </c>
      <c r="G499">
        <v>1022285083</v>
      </c>
      <c r="H499">
        <v>675042931</v>
      </c>
      <c r="I499">
        <v>721907783</v>
      </c>
      <c r="J499">
        <v>509280118</v>
      </c>
      <c r="K499">
        <v>573963800</v>
      </c>
      <c r="L499">
        <v>494524281</v>
      </c>
      <c r="M499">
        <v>437765533</v>
      </c>
      <c r="N499">
        <v>368961715</v>
      </c>
      <c r="O499">
        <v>405661824</v>
      </c>
      <c r="P499">
        <v>481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1914279778</v>
      </c>
      <c r="G500">
        <v>1815453368</v>
      </c>
      <c r="H500">
        <v>1598355143</v>
      </c>
      <c r="I500">
        <v>1644097922</v>
      </c>
      <c r="J500">
        <v>1869189499</v>
      </c>
      <c r="K500">
        <v>1646914344</v>
      </c>
      <c r="L500">
        <v>1629289987</v>
      </c>
      <c r="M500">
        <v>1695027448</v>
      </c>
      <c r="N500">
        <v>1386392941</v>
      </c>
      <c r="O500">
        <v>1310077082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0</v>
      </c>
      <c r="G501">
        <v>12913918</v>
      </c>
      <c r="H501">
        <v>12913918</v>
      </c>
      <c r="I501">
        <v>18890202</v>
      </c>
      <c r="J501">
        <v>47885668</v>
      </c>
      <c r="K501">
        <v>52501663</v>
      </c>
      <c r="L501">
        <v>93382145</v>
      </c>
      <c r="M501">
        <v>174283232</v>
      </c>
      <c r="N501">
        <v>718339956</v>
      </c>
      <c r="O501">
        <v>1131039354</v>
      </c>
      <c r="P501">
        <v>1086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36697736</v>
      </c>
      <c r="G502">
        <v>20312244</v>
      </c>
      <c r="H502">
        <v>39789279</v>
      </c>
      <c r="I502">
        <v>79339577</v>
      </c>
      <c r="J502">
        <v>35122709</v>
      </c>
      <c r="K502">
        <v>59535580</v>
      </c>
      <c r="L502">
        <v>45655826</v>
      </c>
      <c r="M502">
        <v>61810773</v>
      </c>
      <c r="N502">
        <v>54203884</v>
      </c>
      <c r="O502">
        <v>83042642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124729816</v>
      </c>
      <c r="G503">
        <v>119506428</v>
      </c>
      <c r="H503">
        <v>151069427</v>
      </c>
      <c r="I503">
        <v>110705784</v>
      </c>
      <c r="J503">
        <v>141397244</v>
      </c>
      <c r="K503">
        <v>124647040</v>
      </c>
      <c r="L503">
        <v>117990987</v>
      </c>
      <c r="M503">
        <v>125421629</v>
      </c>
      <c r="N503">
        <v>152292736</v>
      </c>
      <c r="O503">
        <v>82685056</v>
      </c>
      <c r="P503">
        <v>2021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1282267911</v>
      </c>
      <c r="G504">
        <v>1157306843</v>
      </c>
      <c r="H504">
        <v>1492043924</v>
      </c>
      <c r="I504">
        <v>1695818569</v>
      </c>
      <c r="J504">
        <v>1541984682</v>
      </c>
      <c r="K504">
        <v>1891304932</v>
      </c>
      <c r="L504">
        <v>1512086848</v>
      </c>
      <c r="M504">
        <v>1336489061</v>
      </c>
      <c r="N504">
        <v>793078984</v>
      </c>
      <c r="O504">
        <v>928461212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716006380</v>
      </c>
      <c r="G505">
        <v>847470557</v>
      </c>
      <c r="H505">
        <v>831921420</v>
      </c>
      <c r="I505">
        <v>898524544</v>
      </c>
      <c r="J505">
        <v>1141106258</v>
      </c>
      <c r="K505">
        <v>839672273</v>
      </c>
      <c r="L505">
        <v>576039764</v>
      </c>
      <c r="M505">
        <v>268606499</v>
      </c>
      <c r="N505">
        <v>174359290</v>
      </c>
      <c r="O505">
        <v>176953721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394253000</v>
      </c>
      <c r="G506">
        <v>644736870</v>
      </c>
      <c r="H506">
        <v>503939985</v>
      </c>
      <c r="I506">
        <v>926965916</v>
      </c>
      <c r="J506">
        <v>390328261</v>
      </c>
      <c r="K506">
        <v>239034692</v>
      </c>
      <c r="L506">
        <v>663032</v>
      </c>
      <c r="M506">
        <v>7637591</v>
      </c>
      <c r="N506">
        <v>26589194</v>
      </c>
      <c r="O506">
        <v>0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245939704</v>
      </c>
      <c r="G507">
        <v>83146578</v>
      </c>
      <c r="H507">
        <v>414870709</v>
      </c>
      <c r="I507">
        <v>65928650</v>
      </c>
      <c r="J507">
        <v>48736886</v>
      </c>
      <c r="K507">
        <v>53409089</v>
      </c>
      <c r="L507">
        <v>430486145</v>
      </c>
      <c r="M507">
        <v>27113950</v>
      </c>
      <c r="N507">
        <v>131447703</v>
      </c>
      <c r="O507">
        <v>104708733</v>
      </c>
      <c r="P507">
        <v>138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17629540</v>
      </c>
      <c r="G508">
        <v>6977402</v>
      </c>
      <c r="H508">
        <v>3623580</v>
      </c>
      <c r="I508">
        <v>72138341</v>
      </c>
      <c r="J508">
        <v>427328013</v>
      </c>
      <c r="K508">
        <v>375168193</v>
      </c>
      <c r="L508">
        <v>312130374</v>
      </c>
      <c r="M508">
        <v>299912965</v>
      </c>
      <c r="N508">
        <v>314853907</v>
      </c>
      <c r="O508">
        <v>263748233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117058018026</v>
      </c>
      <c r="G509">
        <v>100783547955</v>
      </c>
      <c r="H509">
        <v>89928526847</v>
      </c>
      <c r="I509">
        <v>61410465459</v>
      </c>
      <c r="J509">
        <v>39258982168</v>
      </c>
      <c r="K509">
        <v>25550748436</v>
      </c>
      <c r="L509">
        <v>13326508177</v>
      </c>
      <c r="M509">
        <v>18116285</v>
      </c>
      <c r="N509">
        <v>319417170</v>
      </c>
      <c r="O509">
        <v>61481468</v>
      </c>
      <c r="P509">
        <v>1970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11659639</v>
      </c>
      <c r="G510">
        <v>145114077</v>
      </c>
      <c r="H510">
        <v>78625029</v>
      </c>
      <c r="I510">
        <v>33747599</v>
      </c>
      <c r="J510">
        <v>1537253</v>
      </c>
      <c r="K510">
        <v>53939106</v>
      </c>
      <c r="L510">
        <v>72213107</v>
      </c>
      <c r="M510">
        <v>69964609</v>
      </c>
      <c r="N510">
        <v>75504396</v>
      </c>
      <c r="O510">
        <v>72719943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881188133</v>
      </c>
      <c r="G511">
        <v>1161211064</v>
      </c>
      <c r="H511">
        <v>1163124393</v>
      </c>
      <c r="I511">
        <v>1361505795</v>
      </c>
      <c r="J511">
        <v>1325403854</v>
      </c>
      <c r="K511">
        <v>1842920338</v>
      </c>
      <c r="L511">
        <v>955749635</v>
      </c>
      <c r="M511">
        <v>877701472</v>
      </c>
      <c r="N511">
        <v>906533354</v>
      </c>
      <c r="O511">
        <v>955280579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23451115</v>
      </c>
      <c r="G512">
        <v>26370667</v>
      </c>
      <c r="H512">
        <v>24118923</v>
      </c>
      <c r="I512">
        <v>0</v>
      </c>
      <c r="J512">
        <v>18297917</v>
      </c>
      <c r="K512">
        <v>79075072</v>
      </c>
      <c r="L512">
        <v>11423553</v>
      </c>
      <c r="M512">
        <v>8488953</v>
      </c>
      <c r="N512">
        <v>3904287</v>
      </c>
      <c r="O512">
        <v>10626791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163551943</v>
      </c>
      <c r="G513">
        <v>123713446</v>
      </c>
      <c r="H513">
        <v>161703503</v>
      </c>
      <c r="I513">
        <v>134508140</v>
      </c>
      <c r="J513">
        <v>115731016</v>
      </c>
      <c r="K513">
        <v>128343280</v>
      </c>
      <c r="L513">
        <v>127157403</v>
      </c>
      <c r="M513">
        <v>133034671</v>
      </c>
      <c r="N513">
        <v>128145732</v>
      </c>
      <c r="O513">
        <v>126811305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177291027</v>
      </c>
      <c r="G514">
        <v>150104254</v>
      </c>
      <c r="H514">
        <v>371612350</v>
      </c>
      <c r="I514">
        <v>443467902</v>
      </c>
      <c r="J514">
        <v>682824433</v>
      </c>
      <c r="K514">
        <v>462644114</v>
      </c>
      <c r="L514">
        <v>456271722</v>
      </c>
      <c r="M514">
        <v>266608960</v>
      </c>
      <c r="N514">
        <v>170468801</v>
      </c>
      <c r="O514">
        <v>260376185</v>
      </c>
      <c r="P514">
        <v>45897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455172387</v>
      </c>
      <c r="G515">
        <v>487322510</v>
      </c>
      <c r="H515">
        <v>776255163</v>
      </c>
      <c r="I515">
        <v>869874043</v>
      </c>
      <c r="J515">
        <v>913277798</v>
      </c>
      <c r="K515">
        <v>852338230</v>
      </c>
      <c r="L515">
        <v>644207928</v>
      </c>
      <c r="M515">
        <v>503044555</v>
      </c>
      <c r="N515">
        <v>337883175</v>
      </c>
      <c r="O515">
        <v>59893964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338977580</v>
      </c>
      <c r="H516">
        <v>375831238</v>
      </c>
      <c r="I516">
        <v>577154493</v>
      </c>
      <c r="J516">
        <v>243611235</v>
      </c>
      <c r="K516">
        <v>150842605</v>
      </c>
      <c r="L516">
        <v>100176856</v>
      </c>
      <c r="M516">
        <v>123236318</v>
      </c>
      <c r="N516">
        <v>189270923</v>
      </c>
      <c r="O516">
        <v>194134100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68782272</v>
      </c>
      <c r="G517">
        <v>20828087</v>
      </c>
      <c r="H517">
        <v>22497595</v>
      </c>
      <c r="I517">
        <v>21460252</v>
      </c>
      <c r="J517">
        <v>24958444</v>
      </c>
      <c r="K517">
        <v>31507549</v>
      </c>
      <c r="L517">
        <v>27060834</v>
      </c>
      <c r="M517">
        <v>21967355</v>
      </c>
      <c r="N517">
        <v>17732429</v>
      </c>
      <c r="O517">
        <v>187090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91532284</v>
      </c>
      <c r="G518">
        <v>109743550</v>
      </c>
      <c r="H518">
        <v>145083805</v>
      </c>
      <c r="I518">
        <v>123039988</v>
      </c>
      <c r="J518">
        <v>108661240</v>
      </c>
      <c r="K518">
        <v>100364530</v>
      </c>
      <c r="L518">
        <v>94570501</v>
      </c>
      <c r="M518">
        <v>77758881</v>
      </c>
      <c r="N518">
        <v>82174060</v>
      </c>
      <c r="O518">
        <v>80382809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891046794</v>
      </c>
      <c r="G519">
        <v>1174239170</v>
      </c>
      <c r="H519">
        <v>1363614270</v>
      </c>
      <c r="I519">
        <v>1098871249</v>
      </c>
      <c r="J519">
        <v>539901307</v>
      </c>
      <c r="K519">
        <v>590519412</v>
      </c>
      <c r="L519">
        <v>350759630</v>
      </c>
      <c r="M519">
        <v>347858733</v>
      </c>
      <c r="N519">
        <v>172626889</v>
      </c>
      <c r="O519">
        <v>0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180228009</v>
      </c>
      <c r="G520">
        <v>194169051</v>
      </c>
      <c r="H520">
        <v>192897081</v>
      </c>
      <c r="I520">
        <v>191805959</v>
      </c>
      <c r="J520">
        <v>201982980</v>
      </c>
      <c r="K520">
        <v>202272348</v>
      </c>
      <c r="L520">
        <v>259044580</v>
      </c>
      <c r="M520">
        <v>321902440</v>
      </c>
      <c r="N520">
        <v>219585380</v>
      </c>
      <c r="O520">
        <v>281073306</v>
      </c>
      <c r="P520">
        <v>252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3998437365</v>
      </c>
      <c r="G521">
        <v>3080454539</v>
      </c>
      <c r="H521">
        <v>2895642896</v>
      </c>
      <c r="I521">
        <v>2182430714</v>
      </c>
      <c r="J521">
        <v>1944294989</v>
      </c>
      <c r="K521">
        <v>1909157010</v>
      </c>
      <c r="L521">
        <v>1647455415</v>
      </c>
      <c r="M521">
        <v>1466968391</v>
      </c>
      <c r="N521">
        <v>1466144779</v>
      </c>
      <c r="O521">
        <v>1498491042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3225858</v>
      </c>
      <c r="G522">
        <v>2365881</v>
      </c>
      <c r="H522">
        <v>2294343</v>
      </c>
      <c r="I522">
        <v>365517</v>
      </c>
      <c r="J522">
        <v>407171</v>
      </c>
      <c r="K522">
        <v>455380</v>
      </c>
      <c r="L522">
        <v>570644</v>
      </c>
      <c r="M522">
        <v>717253</v>
      </c>
      <c r="N522">
        <v>906205</v>
      </c>
      <c r="O522">
        <v>2916240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65055887</v>
      </c>
      <c r="G523">
        <v>20487432</v>
      </c>
      <c r="H523">
        <v>82260565</v>
      </c>
      <c r="I523">
        <v>66493282</v>
      </c>
      <c r="J523">
        <v>114315846</v>
      </c>
      <c r="K523">
        <v>7470058</v>
      </c>
      <c r="L523">
        <v>743202</v>
      </c>
      <c r="M523">
        <v>47332702</v>
      </c>
      <c r="N523">
        <v>340442474</v>
      </c>
      <c r="O523">
        <v>225540678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421447871</v>
      </c>
      <c r="G524">
        <v>291989354</v>
      </c>
      <c r="H524">
        <v>226824060</v>
      </c>
      <c r="I524">
        <v>108633017</v>
      </c>
      <c r="J524">
        <v>103977250</v>
      </c>
      <c r="K524">
        <v>34399024</v>
      </c>
      <c r="L524">
        <v>714347</v>
      </c>
      <c r="M524">
        <v>168206</v>
      </c>
      <c r="N524">
        <v>16280079</v>
      </c>
      <c r="O524">
        <v>33889743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1554948234</v>
      </c>
      <c r="G525">
        <v>1839761125</v>
      </c>
      <c r="H525">
        <v>1939755349</v>
      </c>
      <c r="I525">
        <v>1967391678</v>
      </c>
      <c r="J525">
        <v>1722963310</v>
      </c>
      <c r="K525">
        <v>2073278394</v>
      </c>
      <c r="L525">
        <v>1845954650</v>
      </c>
      <c r="M525">
        <v>1437832495</v>
      </c>
      <c r="N525">
        <v>1228489364</v>
      </c>
      <c r="O525">
        <v>1076588116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94182390</v>
      </c>
      <c r="G526">
        <v>93104073</v>
      </c>
      <c r="H526">
        <v>102163321</v>
      </c>
      <c r="I526">
        <v>106681490</v>
      </c>
      <c r="J526">
        <v>95413095</v>
      </c>
      <c r="K526">
        <v>85857485</v>
      </c>
      <c r="L526">
        <v>70145098</v>
      </c>
      <c r="M526">
        <v>57890372</v>
      </c>
      <c r="N526">
        <v>59800639</v>
      </c>
      <c r="O526">
        <v>85192601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K527">
        <v>3981655.28</v>
      </c>
      <c r="L527">
        <v>3123832.27</v>
      </c>
      <c r="M527">
        <v>2648406.1</v>
      </c>
      <c r="N527">
        <v>2676104.7200000002</v>
      </c>
      <c r="O527">
        <v>1248349.24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1292481600</v>
      </c>
      <c r="G528">
        <v>1343663590</v>
      </c>
      <c r="H528">
        <v>1608191800</v>
      </c>
      <c r="I528">
        <v>1864979217</v>
      </c>
      <c r="J528">
        <v>1850213589</v>
      </c>
      <c r="K528">
        <v>870269405</v>
      </c>
      <c r="L528">
        <v>707502833</v>
      </c>
      <c r="M528">
        <v>388618607</v>
      </c>
      <c r="N528">
        <v>320042433</v>
      </c>
      <c r="O528">
        <v>236007598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112082799</v>
      </c>
      <c r="G529">
        <v>122919003</v>
      </c>
      <c r="H529">
        <v>146381178</v>
      </c>
      <c r="I529">
        <v>162567522</v>
      </c>
      <c r="J529">
        <v>179945018</v>
      </c>
      <c r="K529">
        <v>187759002</v>
      </c>
      <c r="L529">
        <v>177745501</v>
      </c>
      <c r="M529">
        <v>186955501</v>
      </c>
      <c r="N529">
        <v>172244645</v>
      </c>
      <c r="O529">
        <v>171337136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2596811044</v>
      </c>
      <c r="G530">
        <v>2533053871</v>
      </c>
      <c r="H530">
        <v>2075392021</v>
      </c>
      <c r="I530">
        <v>1928039654</v>
      </c>
      <c r="J530">
        <v>1412142260</v>
      </c>
      <c r="K530">
        <v>1209950975</v>
      </c>
      <c r="L530">
        <v>1064093608</v>
      </c>
      <c r="M530">
        <v>178323550</v>
      </c>
      <c r="N530">
        <v>213539039</v>
      </c>
      <c r="O530">
        <v>310406073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279688160</v>
      </c>
      <c r="G531">
        <v>424651512</v>
      </c>
      <c r="H531">
        <v>379059050</v>
      </c>
      <c r="I531">
        <v>355794033</v>
      </c>
      <c r="J531">
        <v>414746531</v>
      </c>
      <c r="K531">
        <v>368628304</v>
      </c>
      <c r="L531">
        <v>315541236</v>
      </c>
      <c r="M531">
        <v>275719291</v>
      </c>
      <c r="N531">
        <v>294855667</v>
      </c>
      <c r="O531">
        <v>285022055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N532">
        <v>241601474.62</v>
      </c>
      <c r="O532">
        <v>234356428.33000001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230867487</v>
      </c>
      <c r="G533">
        <v>209976343</v>
      </c>
      <c r="H533">
        <v>187295422</v>
      </c>
      <c r="I533">
        <v>202148393</v>
      </c>
      <c r="J533">
        <v>152295517</v>
      </c>
      <c r="K533">
        <v>297265283</v>
      </c>
      <c r="L533">
        <v>313110742</v>
      </c>
      <c r="M533">
        <v>308494460</v>
      </c>
      <c r="N533">
        <v>292871074</v>
      </c>
      <c r="O533">
        <v>184985398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2751279</v>
      </c>
      <c r="H534">
        <v>904760</v>
      </c>
      <c r="I534">
        <v>120674993</v>
      </c>
      <c r="J534">
        <v>0</v>
      </c>
      <c r="K534">
        <v>72655952</v>
      </c>
      <c r="L534">
        <v>445223443</v>
      </c>
      <c r="M534">
        <v>551475852</v>
      </c>
      <c r="N534">
        <v>761791617</v>
      </c>
      <c r="O534">
        <v>8294073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1226652600</v>
      </c>
      <c r="G535">
        <v>504600393</v>
      </c>
      <c r="H535">
        <v>351096338</v>
      </c>
      <c r="I535">
        <v>426039485</v>
      </c>
      <c r="J535">
        <v>306649164</v>
      </c>
      <c r="K535">
        <v>300159999</v>
      </c>
      <c r="L535">
        <v>312392753</v>
      </c>
      <c r="M535">
        <v>284396235</v>
      </c>
      <c r="N535">
        <v>329305001</v>
      </c>
      <c r="O535">
        <v>283993171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68830034</v>
      </c>
      <c r="G536">
        <v>51867485</v>
      </c>
      <c r="H536">
        <v>99692711</v>
      </c>
      <c r="I536">
        <v>180089206</v>
      </c>
      <c r="J536">
        <v>94860031</v>
      </c>
      <c r="K536">
        <v>568335669</v>
      </c>
      <c r="L536">
        <v>685641160</v>
      </c>
      <c r="M536">
        <v>311095558</v>
      </c>
      <c r="N536">
        <v>317901979</v>
      </c>
      <c r="O536">
        <v>655623212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1906571921</v>
      </c>
      <c r="G537">
        <v>1954454997</v>
      </c>
      <c r="H537">
        <v>2062634394</v>
      </c>
      <c r="I537">
        <v>2249463722</v>
      </c>
      <c r="J537">
        <v>2141040638</v>
      </c>
      <c r="K537">
        <v>3022172482</v>
      </c>
      <c r="L537">
        <v>2409933232</v>
      </c>
      <c r="M537">
        <v>797053510</v>
      </c>
      <c r="N537">
        <v>658020629</v>
      </c>
      <c r="O537">
        <v>229911013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43923842</v>
      </c>
      <c r="G538">
        <v>70967450</v>
      </c>
      <c r="H538">
        <v>7423952</v>
      </c>
      <c r="I538">
        <v>13411829</v>
      </c>
      <c r="J538">
        <v>2536973</v>
      </c>
      <c r="K538">
        <v>3292848</v>
      </c>
      <c r="L538">
        <v>18226455</v>
      </c>
      <c r="M538">
        <v>11827214</v>
      </c>
      <c r="N538">
        <v>8507748</v>
      </c>
      <c r="O538">
        <v>55382030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148750023</v>
      </c>
      <c r="G539">
        <v>150551406</v>
      </c>
      <c r="H539">
        <v>181276080</v>
      </c>
      <c r="I539">
        <v>203492980</v>
      </c>
      <c r="J539">
        <v>208015786</v>
      </c>
      <c r="K539">
        <v>149657065</v>
      </c>
      <c r="L539">
        <v>83179962</v>
      </c>
      <c r="M539">
        <v>143448897</v>
      </c>
      <c r="N539">
        <v>94089338</v>
      </c>
      <c r="O539">
        <v>98099135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592211563</v>
      </c>
      <c r="G540">
        <v>969753041</v>
      </c>
      <c r="H540">
        <v>960522499</v>
      </c>
      <c r="I540">
        <v>795698591</v>
      </c>
      <c r="J540">
        <v>1413053907</v>
      </c>
      <c r="K540">
        <v>307405297</v>
      </c>
      <c r="L540">
        <v>255478091</v>
      </c>
      <c r="M540">
        <v>263869051</v>
      </c>
      <c r="N540">
        <v>222657049</v>
      </c>
      <c r="O540">
        <v>197130642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53761017</v>
      </c>
      <c r="G541">
        <v>37017872</v>
      </c>
      <c r="H541">
        <v>68458873</v>
      </c>
      <c r="I541">
        <v>57404419</v>
      </c>
      <c r="J541">
        <v>1037666</v>
      </c>
      <c r="K541">
        <v>384733</v>
      </c>
      <c r="L541">
        <v>1793143</v>
      </c>
      <c r="M541">
        <v>1024967</v>
      </c>
      <c r="N541">
        <v>530071</v>
      </c>
      <c r="O541">
        <v>1292863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6308175181</v>
      </c>
      <c r="G542">
        <v>4734102254</v>
      </c>
      <c r="H542">
        <v>3441656727</v>
      </c>
      <c r="I542">
        <v>3624053795</v>
      </c>
      <c r="J542">
        <v>2317187329</v>
      </c>
      <c r="K542">
        <v>2067019474</v>
      </c>
      <c r="L542">
        <v>1706226023</v>
      </c>
      <c r="M542">
        <v>1805322882</v>
      </c>
      <c r="N542">
        <v>2653638017</v>
      </c>
      <c r="O542">
        <v>1890302132</v>
      </c>
      <c r="P542">
        <v>459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403417505</v>
      </c>
      <c r="G543">
        <v>823977509</v>
      </c>
      <c r="H543">
        <v>739655161</v>
      </c>
      <c r="I543">
        <v>938066324</v>
      </c>
      <c r="J543">
        <v>121595233</v>
      </c>
      <c r="K543">
        <v>328678508</v>
      </c>
      <c r="L543">
        <v>225971871</v>
      </c>
      <c r="M543">
        <v>52155194</v>
      </c>
      <c r="N543">
        <v>6354400</v>
      </c>
      <c r="O543">
        <v>13951482</v>
      </c>
      <c r="P543">
        <v>344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84032754</v>
      </c>
      <c r="G544">
        <v>83305620</v>
      </c>
      <c r="H544">
        <v>72922174</v>
      </c>
      <c r="I544">
        <v>55760574</v>
      </c>
      <c r="J544">
        <v>33877032</v>
      </c>
      <c r="K544">
        <v>16867081</v>
      </c>
      <c r="L544">
        <v>24667824</v>
      </c>
      <c r="M544">
        <v>23078948</v>
      </c>
      <c r="N544">
        <v>14244598</v>
      </c>
      <c r="O544">
        <v>18365557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456387270</v>
      </c>
      <c r="G545">
        <v>443090627</v>
      </c>
      <c r="H545">
        <v>467294113</v>
      </c>
      <c r="I545">
        <v>415330742</v>
      </c>
      <c r="J545">
        <v>189747275</v>
      </c>
      <c r="K545">
        <v>189019729</v>
      </c>
      <c r="L545">
        <v>162563614</v>
      </c>
      <c r="M545">
        <v>118941173</v>
      </c>
      <c r="N545">
        <v>50991107</v>
      </c>
      <c r="O545">
        <v>41144490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L546">
        <v>484500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50581</v>
      </c>
      <c r="G547">
        <v>16422981</v>
      </c>
      <c r="H547">
        <v>214401</v>
      </c>
      <c r="I547">
        <v>1305590</v>
      </c>
      <c r="J547">
        <v>2595913</v>
      </c>
      <c r="K547">
        <v>4287681</v>
      </c>
      <c r="L547">
        <v>12201933</v>
      </c>
      <c r="M547">
        <v>55417665</v>
      </c>
      <c r="N547">
        <v>25057632</v>
      </c>
      <c r="O547">
        <v>16069475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838272553</v>
      </c>
      <c r="G548">
        <v>451996589</v>
      </c>
      <c r="H548">
        <v>430644102</v>
      </c>
      <c r="I548">
        <v>521655808</v>
      </c>
      <c r="J548">
        <v>549313243</v>
      </c>
      <c r="K548">
        <v>516197837</v>
      </c>
      <c r="L548">
        <v>416788953</v>
      </c>
      <c r="M548">
        <v>333483360</v>
      </c>
      <c r="N548">
        <v>363181066</v>
      </c>
      <c r="O548">
        <v>416435035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1107147140</v>
      </c>
      <c r="G549">
        <v>1705664383</v>
      </c>
      <c r="H549">
        <v>217856052</v>
      </c>
      <c r="I549">
        <v>48403365</v>
      </c>
      <c r="J549">
        <v>51958816</v>
      </c>
      <c r="K549">
        <v>176205085</v>
      </c>
      <c r="L549">
        <v>368915185</v>
      </c>
      <c r="M549">
        <v>230397537</v>
      </c>
      <c r="N549">
        <v>128264282</v>
      </c>
      <c r="O549">
        <v>86284285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174086523</v>
      </c>
      <c r="G550">
        <v>133775157</v>
      </c>
      <c r="H550">
        <v>132349767</v>
      </c>
      <c r="I550">
        <v>119446237</v>
      </c>
      <c r="J550">
        <v>99375919</v>
      </c>
      <c r="K550">
        <v>86175730</v>
      </c>
      <c r="L550">
        <v>81531629</v>
      </c>
      <c r="M550">
        <v>74447319</v>
      </c>
      <c r="N550">
        <v>64822500</v>
      </c>
      <c r="O550">
        <v>59461521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1127002405</v>
      </c>
      <c r="G551">
        <v>1248903798</v>
      </c>
      <c r="H551">
        <v>1303784096</v>
      </c>
      <c r="I551">
        <v>1456279856</v>
      </c>
      <c r="J551">
        <v>1486617533</v>
      </c>
      <c r="K551">
        <v>1351617721</v>
      </c>
      <c r="L551">
        <v>1519014142</v>
      </c>
      <c r="M551">
        <v>1042998742</v>
      </c>
      <c r="N551">
        <v>463565266</v>
      </c>
      <c r="O551">
        <v>445070326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4723512</v>
      </c>
      <c r="G552">
        <v>14861719</v>
      </c>
      <c r="H552">
        <v>30344821</v>
      </c>
      <c r="I552">
        <v>48496458</v>
      </c>
      <c r="J552">
        <v>71091223</v>
      </c>
      <c r="K552">
        <v>87786770</v>
      </c>
      <c r="L552">
        <v>67042598</v>
      </c>
      <c r="M552">
        <v>228820076</v>
      </c>
      <c r="N552">
        <v>113223304</v>
      </c>
      <c r="O552">
        <v>174145916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163506794</v>
      </c>
      <c r="G553">
        <v>401284998</v>
      </c>
      <c r="H553">
        <v>584993250</v>
      </c>
      <c r="I553">
        <v>629234081</v>
      </c>
      <c r="J553">
        <v>515355452</v>
      </c>
      <c r="K553">
        <v>1095240789</v>
      </c>
      <c r="L553">
        <v>582841672</v>
      </c>
      <c r="M553">
        <v>261974392</v>
      </c>
      <c r="N553">
        <v>828229298</v>
      </c>
      <c r="O553">
        <v>233986349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711878078</v>
      </c>
      <c r="G554">
        <v>615924885</v>
      </c>
      <c r="H554">
        <v>626548075</v>
      </c>
      <c r="I554">
        <v>630244812</v>
      </c>
      <c r="J554">
        <v>694445706</v>
      </c>
      <c r="K554">
        <v>2605452574</v>
      </c>
      <c r="L554">
        <v>1750496223</v>
      </c>
      <c r="M554">
        <v>972500434</v>
      </c>
      <c r="N554">
        <v>428057159</v>
      </c>
      <c r="O554">
        <v>391258254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1494437240</v>
      </c>
      <c r="G555">
        <v>1710643009</v>
      </c>
      <c r="H555">
        <v>764400541</v>
      </c>
      <c r="I555">
        <v>1195442999</v>
      </c>
      <c r="J555">
        <v>217309136</v>
      </c>
      <c r="K555">
        <v>234272533</v>
      </c>
      <c r="L555">
        <v>213995359</v>
      </c>
      <c r="M555">
        <v>200355739</v>
      </c>
      <c r="N555">
        <v>185612929</v>
      </c>
      <c r="O555">
        <v>194587472</v>
      </c>
      <c r="P555">
        <v>409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L556">
        <v>0</v>
      </c>
      <c r="M556">
        <v>10593338.140000001</v>
      </c>
      <c r="N556">
        <v>18549106.920000002</v>
      </c>
      <c r="O556">
        <v>18533194.09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988392124</v>
      </c>
      <c r="G557">
        <v>911026204</v>
      </c>
      <c r="H557">
        <v>308503930</v>
      </c>
      <c r="I557">
        <v>286345669</v>
      </c>
      <c r="J557">
        <v>521389248</v>
      </c>
      <c r="K557">
        <v>458930379</v>
      </c>
      <c r="L557">
        <v>486180362</v>
      </c>
      <c r="M557">
        <v>397427048</v>
      </c>
      <c r="N557">
        <v>355079146</v>
      </c>
      <c r="O557">
        <v>193034783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240113637</v>
      </c>
      <c r="G558">
        <v>513959826</v>
      </c>
      <c r="H558">
        <v>353854809</v>
      </c>
      <c r="I558">
        <v>42868668</v>
      </c>
      <c r="J558">
        <v>50403203</v>
      </c>
      <c r="K558">
        <v>54187777</v>
      </c>
      <c r="L558">
        <v>45546795</v>
      </c>
      <c r="M558">
        <v>57144352</v>
      </c>
      <c r="N558">
        <v>57021951</v>
      </c>
      <c r="O558">
        <v>105631909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4311233501</v>
      </c>
      <c r="G559">
        <v>3734495117</v>
      </c>
      <c r="H559">
        <v>3457428686</v>
      </c>
      <c r="I559">
        <v>3593707590</v>
      </c>
      <c r="J559">
        <v>3716260518</v>
      </c>
      <c r="K559">
        <v>3636343106</v>
      </c>
      <c r="L559">
        <v>2762405078</v>
      </c>
      <c r="M559">
        <v>2434768393</v>
      </c>
      <c r="N559">
        <v>2052982306</v>
      </c>
      <c r="O559">
        <v>1743726871</v>
      </c>
      <c r="P559">
        <v>13818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10636864</v>
      </c>
      <c r="G560">
        <v>106256539</v>
      </c>
      <c r="H560">
        <v>107803571</v>
      </c>
      <c r="I560">
        <v>86564714</v>
      </c>
      <c r="J560">
        <v>49566097</v>
      </c>
      <c r="K560">
        <v>55644814</v>
      </c>
      <c r="L560">
        <v>46537943</v>
      </c>
      <c r="M560">
        <v>52492199</v>
      </c>
      <c r="N560">
        <v>49275671</v>
      </c>
      <c r="O560">
        <v>50999964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324586751</v>
      </c>
      <c r="G561">
        <v>154407158</v>
      </c>
      <c r="H561">
        <v>174674290</v>
      </c>
      <c r="I561">
        <v>166903596</v>
      </c>
      <c r="J561">
        <v>211004728</v>
      </c>
      <c r="K561">
        <v>228697894</v>
      </c>
      <c r="L561">
        <v>190784838</v>
      </c>
      <c r="M561">
        <v>157183070</v>
      </c>
      <c r="N561">
        <v>179279311</v>
      </c>
      <c r="O561">
        <v>128540553</v>
      </c>
      <c r="P561">
        <v>130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951164773</v>
      </c>
      <c r="G562">
        <v>669608671</v>
      </c>
      <c r="H562">
        <v>499852977</v>
      </c>
      <c r="I562">
        <v>537808942</v>
      </c>
      <c r="J562">
        <v>285478687</v>
      </c>
      <c r="K562">
        <v>105111213</v>
      </c>
      <c r="L562">
        <v>35192984</v>
      </c>
      <c r="M562">
        <v>35734491</v>
      </c>
      <c r="N562">
        <v>34634426</v>
      </c>
      <c r="O562">
        <v>77556336</v>
      </c>
      <c r="P562">
        <v>700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3954581443</v>
      </c>
      <c r="G563">
        <v>3577982848</v>
      </c>
      <c r="H563">
        <v>3339016119</v>
      </c>
      <c r="I563">
        <v>2520674751</v>
      </c>
      <c r="J563">
        <v>2901803906</v>
      </c>
      <c r="K563">
        <v>2956599367</v>
      </c>
      <c r="L563">
        <v>2427064011</v>
      </c>
      <c r="M563">
        <v>2386915275</v>
      </c>
      <c r="N563">
        <v>2619279400</v>
      </c>
      <c r="O563">
        <v>2301269086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74946677</v>
      </c>
      <c r="G564">
        <v>91703052</v>
      </c>
      <c r="H564">
        <v>170427988</v>
      </c>
      <c r="I564">
        <v>10920976</v>
      </c>
      <c r="J564">
        <v>18261157</v>
      </c>
      <c r="K564">
        <v>18993360</v>
      </c>
      <c r="L564">
        <v>20736699</v>
      </c>
      <c r="M564">
        <v>16965983</v>
      </c>
      <c r="N564">
        <v>41873844</v>
      </c>
      <c r="O564">
        <v>18764271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313999041</v>
      </c>
      <c r="G565">
        <v>424082010</v>
      </c>
      <c r="H565">
        <v>550244178</v>
      </c>
      <c r="I565">
        <v>848264285</v>
      </c>
      <c r="J565">
        <v>1221443291</v>
      </c>
      <c r="K565">
        <v>1069420569</v>
      </c>
      <c r="L565">
        <v>405269802</v>
      </c>
      <c r="M565">
        <v>365560018</v>
      </c>
      <c r="N565">
        <v>252870365</v>
      </c>
      <c r="O565">
        <v>100735370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4490057516</v>
      </c>
      <c r="G566">
        <v>4039940813</v>
      </c>
      <c r="H566">
        <v>3758060764</v>
      </c>
      <c r="I566">
        <v>2630830270</v>
      </c>
      <c r="J566">
        <v>2233990143</v>
      </c>
      <c r="K566">
        <v>2125780424</v>
      </c>
      <c r="L566">
        <v>224963237</v>
      </c>
      <c r="M566">
        <v>255760354</v>
      </c>
      <c r="N566">
        <v>185173850</v>
      </c>
      <c r="O566">
        <v>414540682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254620468</v>
      </c>
      <c r="G567">
        <v>229858456</v>
      </c>
      <c r="H567">
        <v>291367806</v>
      </c>
      <c r="I567">
        <v>293639007</v>
      </c>
      <c r="J567">
        <v>251416390</v>
      </c>
      <c r="K567">
        <v>225084494</v>
      </c>
      <c r="L567">
        <v>222124078</v>
      </c>
      <c r="M567">
        <v>196766401</v>
      </c>
      <c r="N567">
        <v>184192165</v>
      </c>
      <c r="O567">
        <v>146582142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K568">
        <v>0</v>
      </c>
      <c r="L568">
        <v>0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K569">
        <v>80929</v>
      </c>
      <c r="L569">
        <v>2892000</v>
      </c>
      <c r="N569">
        <v>0</v>
      </c>
      <c r="O569">
        <v>0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51423384</v>
      </c>
      <c r="G570">
        <v>43875293</v>
      </c>
      <c r="H570">
        <v>61138829</v>
      </c>
      <c r="I570">
        <v>52285682</v>
      </c>
      <c r="J570">
        <v>49017742</v>
      </c>
      <c r="K570">
        <v>30718645</v>
      </c>
      <c r="L570">
        <v>19895886</v>
      </c>
      <c r="M570">
        <v>38034476</v>
      </c>
      <c r="N570">
        <v>42864973</v>
      </c>
      <c r="O570">
        <v>31771260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K571">
        <v>10383077.16</v>
      </c>
      <c r="L571">
        <v>5896081.0599999996</v>
      </c>
      <c r="M571">
        <v>0</v>
      </c>
      <c r="N571">
        <v>0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1854268080</v>
      </c>
      <c r="G572">
        <v>2212930740</v>
      </c>
      <c r="H572">
        <v>2960480554</v>
      </c>
      <c r="I572">
        <v>2302775384</v>
      </c>
      <c r="J572">
        <v>1159911738</v>
      </c>
      <c r="K572">
        <v>928629730</v>
      </c>
      <c r="L572">
        <v>833335676</v>
      </c>
      <c r="M572">
        <v>786566240</v>
      </c>
      <c r="N572">
        <v>866826610</v>
      </c>
      <c r="O572">
        <v>804540080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333096638</v>
      </c>
      <c r="G573">
        <v>357976457</v>
      </c>
      <c r="H573">
        <v>287841167</v>
      </c>
      <c r="I573">
        <v>257139753</v>
      </c>
      <c r="J573">
        <v>320046575</v>
      </c>
      <c r="K573">
        <v>364535420</v>
      </c>
      <c r="L573">
        <v>344129523</v>
      </c>
      <c r="M573">
        <v>376634299</v>
      </c>
      <c r="N573">
        <v>265927955</v>
      </c>
      <c r="O573">
        <v>256815423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160319578</v>
      </c>
      <c r="G574">
        <v>107074052</v>
      </c>
      <c r="H574">
        <v>141700614</v>
      </c>
      <c r="I574">
        <v>127133468</v>
      </c>
      <c r="J574">
        <v>43284135</v>
      </c>
      <c r="K574">
        <v>51970953</v>
      </c>
      <c r="L574">
        <v>5046804</v>
      </c>
      <c r="M574">
        <v>4008712</v>
      </c>
      <c r="N574">
        <v>35860203</v>
      </c>
      <c r="O574">
        <v>3645501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1470806348</v>
      </c>
      <c r="G575">
        <v>1436836496</v>
      </c>
      <c r="H575">
        <v>1328084314</v>
      </c>
      <c r="I575">
        <v>1420169215</v>
      </c>
      <c r="J575">
        <v>1305634962</v>
      </c>
      <c r="K575">
        <v>1289122561</v>
      </c>
      <c r="L575">
        <v>981188071</v>
      </c>
      <c r="M575">
        <v>832503542</v>
      </c>
      <c r="N575">
        <v>791919326</v>
      </c>
      <c r="O575">
        <v>746828288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H576">
        <v>1255115510</v>
      </c>
      <c r="I576">
        <v>2903628549</v>
      </c>
      <c r="J576">
        <v>2604429446</v>
      </c>
      <c r="K576">
        <v>2176390790</v>
      </c>
      <c r="L576">
        <v>1079533406</v>
      </c>
      <c r="M576">
        <v>1208015084</v>
      </c>
      <c r="N576">
        <v>1294057140</v>
      </c>
      <c r="O576">
        <v>1212667519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3163198</v>
      </c>
      <c r="G577">
        <v>1737030</v>
      </c>
      <c r="H577">
        <v>939567</v>
      </c>
      <c r="I577">
        <v>626781</v>
      </c>
      <c r="J577">
        <v>8213864</v>
      </c>
      <c r="K577">
        <v>11940462</v>
      </c>
      <c r="L577">
        <v>13817699</v>
      </c>
      <c r="M577">
        <v>11861303</v>
      </c>
      <c r="N577">
        <v>13259664</v>
      </c>
      <c r="O577">
        <v>11046046</v>
      </c>
      <c r="P577">
        <v>194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278364381</v>
      </c>
      <c r="G578">
        <v>267266102</v>
      </c>
      <c r="H578">
        <v>206162875</v>
      </c>
      <c r="I578">
        <v>206844246</v>
      </c>
      <c r="J578">
        <v>221807944</v>
      </c>
      <c r="K578">
        <v>76656683</v>
      </c>
      <c r="L578">
        <v>61605088</v>
      </c>
      <c r="M578">
        <v>80737208</v>
      </c>
      <c r="N578">
        <v>63604572</v>
      </c>
      <c r="O578">
        <v>96264362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H579">
        <v>35081308</v>
      </c>
      <c r="I579">
        <v>129962935</v>
      </c>
      <c r="J579">
        <v>180861531</v>
      </c>
      <c r="K579">
        <v>412018097</v>
      </c>
      <c r="L579">
        <v>570390232.46000004</v>
      </c>
      <c r="M579">
        <v>526680921.5</v>
      </c>
      <c r="N579">
        <v>477542076.60000002</v>
      </c>
      <c r="O579">
        <v>599014683.75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463988861</v>
      </c>
      <c r="G580">
        <v>706745692</v>
      </c>
      <c r="H580">
        <v>924147883</v>
      </c>
      <c r="I580">
        <v>1292872987</v>
      </c>
      <c r="J580">
        <v>1117813594</v>
      </c>
      <c r="K580">
        <v>259202202</v>
      </c>
      <c r="L580">
        <v>28663962</v>
      </c>
      <c r="M580">
        <v>36679968</v>
      </c>
      <c r="N580">
        <v>2786557</v>
      </c>
      <c r="O580">
        <v>0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1093075484</v>
      </c>
      <c r="G581">
        <v>1097175218</v>
      </c>
      <c r="H581">
        <v>1337513334</v>
      </c>
      <c r="I581">
        <v>1259225029</v>
      </c>
      <c r="J581">
        <v>877880417</v>
      </c>
      <c r="K581">
        <v>84683385</v>
      </c>
      <c r="L581">
        <v>123559787</v>
      </c>
      <c r="M581">
        <v>102783028</v>
      </c>
      <c r="N581">
        <v>11857273</v>
      </c>
      <c r="O581">
        <v>13105172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66780116</v>
      </c>
      <c r="G582">
        <v>85443328</v>
      </c>
      <c r="H582">
        <v>380925170</v>
      </c>
      <c r="I582">
        <v>379830496</v>
      </c>
      <c r="J582">
        <v>70013815</v>
      </c>
      <c r="K582">
        <v>13578410</v>
      </c>
      <c r="L582">
        <v>25052226</v>
      </c>
      <c r="M582">
        <v>38880684</v>
      </c>
      <c r="N582">
        <v>25154341</v>
      </c>
      <c r="O582">
        <v>21019257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60499273</v>
      </c>
      <c r="G583">
        <v>33584277</v>
      </c>
      <c r="H583">
        <v>17856843</v>
      </c>
      <c r="I583">
        <v>12381238</v>
      </c>
      <c r="J583">
        <v>9241987</v>
      </c>
      <c r="K583">
        <v>672225</v>
      </c>
      <c r="L583">
        <v>226032</v>
      </c>
      <c r="M583">
        <v>139701</v>
      </c>
      <c r="N583">
        <v>32251</v>
      </c>
      <c r="O583">
        <v>0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1077732664</v>
      </c>
      <c r="G584">
        <v>1244416937</v>
      </c>
      <c r="H584">
        <v>2350380440</v>
      </c>
      <c r="I584">
        <v>2562295160</v>
      </c>
      <c r="J584">
        <v>1541228808</v>
      </c>
      <c r="K584">
        <v>1280968787</v>
      </c>
      <c r="L584">
        <v>1709967395</v>
      </c>
      <c r="M584">
        <v>501638302</v>
      </c>
      <c r="N584">
        <v>666273490</v>
      </c>
      <c r="O584">
        <v>776755319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6126095533</v>
      </c>
      <c r="G585">
        <v>6711751744</v>
      </c>
      <c r="H585">
        <v>10806623675</v>
      </c>
      <c r="I585">
        <v>12491387097</v>
      </c>
      <c r="J585">
        <v>12783505862</v>
      </c>
      <c r="K585">
        <v>12444928597</v>
      </c>
      <c r="L585">
        <v>11821369804</v>
      </c>
      <c r="M585">
        <v>7817994540</v>
      </c>
      <c r="N585">
        <v>6107027925</v>
      </c>
      <c r="O585">
        <v>4949625711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H586">
        <v>1423063781</v>
      </c>
      <c r="I586">
        <v>3851676627</v>
      </c>
      <c r="J586">
        <v>1842365190</v>
      </c>
      <c r="K586">
        <v>1322872334</v>
      </c>
      <c r="L586">
        <v>588480719</v>
      </c>
      <c r="M586">
        <v>592846627</v>
      </c>
      <c r="N586">
        <v>47299206</v>
      </c>
      <c r="O586">
        <v>2657524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1169405000</v>
      </c>
      <c r="G587">
        <v>1145504000</v>
      </c>
      <c r="H587">
        <v>1639916000</v>
      </c>
      <c r="I587">
        <v>3181142000</v>
      </c>
      <c r="J587">
        <v>2275386000</v>
      </c>
      <c r="K587">
        <v>1656580000</v>
      </c>
      <c r="L587">
        <v>1624571000</v>
      </c>
      <c r="M587">
        <v>1628121000</v>
      </c>
      <c r="N587">
        <v>1976496000</v>
      </c>
      <c r="O587">
        <v>1082742000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142553304</v>
      </c>
      <c r="G588">
        <v>68254680</v>
      </c>
      <c r="H588">
        <v>66544766</v>
      </c>
      <c r="I588">
        <v>49234941</v>
      </c>
      <c r="J588">
        <v>50178188</v>
      </c>
      <c r="K588">
        <v>53378011</v>
      </c>
      <c r="L588">
        <v>47468704</v>
      </c>
      <c r="M588">
        <v>26219818</v>
      </c>
      <c r="N588">
        <v>27921706</v>
      </c>
      <c r="O588">
        <v>151808256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14631018397</v>
      </c>
      <c r="G589">
        <v>15930024287</v>
      </c>
      <c r="H589">
        <v>11015871060</v>
      </c>
      <c r="I589">
        <v>10431193488</v>
      </c>
      <c r="J589">
        <v>12448004833</v>
      </c>
      <c r="K589">
        <v>12247244098</v>
      </c>
      <c r="L589">
        <v>6141390931</v>
      </c>
      <c r="M589">
        <v>5295781679</v>
      </c>
      <c r="N589">
        <v>4326835847</v>
      </c>
      <c r="O589">
        <v>4196720340</v>
      </c>
      <c r="P589">
        <v>41083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1269451529</v>
      </c>
      <c r="G590">
        <v>1363322465</v>
      </c>
      <c r="H590">
        <v>1024453109</v>
      </c>
      <c r="I590">
        <v>742266419</v>
      </c>
      <c r="J590">
        <v>936445223</v>
      </c>
      <c r="K590">
        <v>1350670522</v>
      </c>
      <c r="L590">
        <v>1343783579</v>
      </c>
      <c r="M590">
        <v>1107965336</v>
      </c>
      <c r="N590">
        <v>512872465</v>
      </c>
      <c r="O590">
        <v>411157325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257219790</v>
      </c>
      <c r="G591">
        <v>116641059</v>
      </c>
      <c r="H591">
        <v>98749471</v>
      </c>
      <c r="I591">
        <v>119805864</v>
      </c>
      <c r="J591">
        <v>77339545</v>
      </c>
      <c r="K591">
        <v>105438589</v>
      </c>
      <c r="L591">
        <v>30711078</v>
      </c>
      <c r="M591">
        <v>58896933</v>
      </c>
      <c r="N591">
        <v>21288117</v>
      </c>
      <c r="O591">
        <v>13516645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54062888</v>
      </c>
      <c r="G592">
        <v>32363162</v>
      </c>
      <c r="H592">
        <v>53847874</v>
      </c>
      <c r="I592">
        <v>72758551</v>
      </c>
      <c r="J592">
        <v>26782828</v>
      </c>
      <c r="K592">
        <v>10057721</v>
      </c>
      <c r="L592">
        <v>2619619</v>
      </c>
      <c r="M592">
        <v>3744824</v>
      </c>
      <c r="N592">
        <v>1943828</v>
      </c>
      <c r="O592">
        <v>2383730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186085906</v>
      </c>
      <c r="G593">
        <v>196329175</v>
      </c>
      <c r="H593">
        <v>206180983</v>
      </c>
      <c r="I593">
        <v>0</v>
      </c>
      <c r="J593">
        <v>276792971</v>
      </c>
      <c r="K593">
        <v>256042733</v>
      </c>
      <c r="L593">
        <v>247449273</v>
      </c>
      <c r="M593">
        <v>210175564</v>
      </c>
      <c r="N593">
        <v>236822622</v>
      </c>
      <c r="O593">
        <v>241142926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4781418</v>
      </c>
      <c r="G594">
        <v>2148277</v>
      </c>
      <c r="H594">
        <v>2004857</v>
      </c>
      <c r="I594">
        <v>772630</v>
      </c>
      <c r="J594">
        <v>102909</v>
      </c>
      <c r="K594">
        <v>471041</v>
      </c>
      <c r="L594">
        <v>7316284</v>
      </c>
      <c r="M594">
        <v>66318963</v>
      </c>
      <c r="N594">
        <v>29860726</v>
      </c>
      <c r="O594">
        <v>33877775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10497937</v>
      </c>
      <c r="G595">
        <v>1582768</v>
      </c>
      <c r="H595">
        <v>939840</v>
      </c>
      <c r="I595">
        <v>4218718</v>
      </c>
      <c r="J595">
        <v>0</v>
      </c>
      <c r="K595">
        <v>0</v>
      </c>
      <c r="L595">
        <v>150000</v>
      </c>
      <c r="M595">
        <v>444035</v>
      </c>
      <c r="N595">
        <v>40867383</v>
      </c>
      <c r="O595">
        <v>3914106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34619767</v>
      </c>
      <c r="G596">
        <v>48214978</v>
      </c>
      <c r="H596">
        <v>38530847</v>
      </c>
      <c r="I596">
        <v>36356672</v>
      </c>
      <c r="J596">
        <v>64779542</v>
      </c>
      <c r="K596">
        <v>10893244</v>
      </c>
      <c r="L596">
        <v>11721311</v>
      </c>
      <c r="M596">
        <v>6721999</v>
      </c>
      <c r="N596">
        <v>1335571</v>
      </c>
      <c r="O596">
        <v>1239338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182503487</v>
      </c>
      <c r="G597">
        <v>278439576</v>
      </c>
      <c r="H597">
        <v>224385637</v>
      </c>
      <c r="I597">
        <v>158564458</v>
      </c>
      <c r="J597">
        <v>234203833</v>
      </c>
      <c r="K597">
        <v>262454885</v>
      </c>
      <c r="L597">
        <v>182174586</v>
      </c>
      <c r="M597">
        <v>198796137</v>
      </c>
      <c r="N597">
        <v>175607069</v>
      </c>
      <c r="O597">
        <v>155520530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6846873185</v>
      </c>
      <c r="G598">
        <v>6829704233</v>
      </c>
      <c r="H598">
        <v>8281951475</v>
      </c>
      <c r="I598">
        <v>10081431108</v>
      </c>
      <c r="J598">
        <v>4357842154</v>
      </c>
      <c r="K598">
        <v>4401700196</v>
      </c>
      <c r="L598">
        <v>1113766717</v>
      </c>
      <c r="M598">
        <v>1019670762</v>
      </c>
      <c r="N598">
        <v>830596962</v>
      </c>
      <c r="O598">
        <v>689270632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K599">
        <v>22520480.460000001</v>
      </c>
      <c r="L599">
        <v>22520480.460000001</v>
      </c>
      <c r="M599">
        <v>22520480.460000001</v>
      </c>
      <c r="N599">
        <v>22520480.460000001</v>
      </c>
      <c r="O599">
        <v>22949078.780000001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26954843</v>
      </c>
      <c r="H600">
        <v>28855980</v>
      </c>
      <c r="I600">
        <v>201346308</v>
      </c>
      <c r="J600">
        <v>1416245110</v>
      </c>
      <c r="K600">
        <v>972945695</v>
      </c>
      <c r="L600">
        <v>43962124</v>
      </c>
      <c r="M600">
        <v>29168062</v>
      </c>
      <c r="N600">
        <v>34373039</v>
      </c>
      <c r="O600">
        <v>28944251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151170156</v>
      </c>
      <c r="G601">
        <v>186085653</v>
      </c>
      <c r="H601">
        <v>139104403</v>
      </c>
      <c r="I601">
        <v>135497106</v>
      </c>
      <c r="J601">
        <v>42640317</v>
      </c>
      <c r="K601">
        <v>25894060</v>
      </c>
      <c r="L601">
        <v>32025583</v>
      </c>
      <c r="M601">
        <v>42027943</v>
      </c>
      <c r="N601">
        <v>31022136</v>
      </c>
      <c r="O601">
        <v>54726839</v>
      </c>
      <c r="P601">
        <v>1462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2483086600</v>
      </c>
      <c r="G602">
        <v>2301197125</v>
      </c>
      <c r="H602">
        <v>2355237738</v>
      </c>
      <c r="I602">
        <v>2482086094</v>
      </c>
      <c r="J602">
        <v>2389972640</v>
      </c>
      <c r="K602">
        <v>1907871680</v>
      </c>
      <c r="L602">
        <v>1369749471</v>
      </c>
      <c r="M602">
        <v>1165031590</v>
      </c>
      <c r="N602">
        <v>905542907</v>
      </c>
      <c r="O602">
        <v>784991234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13189391451</v>
      </c>
      <c r="G603">
        <v>10030523390</v>
      </c>
      <c r="H603">
        <v>8104519066</v>
      </c>
      <c r="I603">
        <v>5920476846</v>
      </c>
      <c r="J603">
        <v>5492740731</v>
      </c>
      <c r="K603">
        <v>5143868404</v>
      </c>
      <c r="L603">
        <v>4034078218</v>
      </c>
      <c r="M603">
        <v>973417320</v>
      </c>
      <c r="N603">
        <v>1006931468</v>
      </c>
      <c r="O603">
        <v>530208279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406851899</v>
      </c>
      <c r="G604">
        <v>238573532</v>
      </c>
      <c r="H604">
        <v>283783358</v>
      </c>
      <c r="I604">
        <v>463708731</v>
      </c>
      <c r="J604">
        <v>248304672</v>
      </c>
      <c r="K604">
        <v>205746758</v>
      </c>
      <c r="L604">
        <v>122892742</v>
      </c>
      <c r="M604">
        <v>138924101</v>
      </c>
      <c r="N604">
        <v>72260341</v>
      </c>
      <c r="O604">
        <v>22520969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1000269270</v>
      </c>
      <c r="G605">
        <v>749116383</v>
      </c>
      <c r="H605">
        <v>555406233</v>
      </c>
      <c r="I605">
        <v>536368372</v>
      </c>
      <c r="J605">
        <v>474727295</v>
      </c>
      <c r="K605">
        <v>414331297</v>
      </c>
      <c r="L605">
        <v>371003676</v>
      </c>
      <c r="M605">
        <v>342622337</v>
      </c>
      <c r="N605">
        <v>197793628</v>
      </c>
      <c r="O605">
        <v>148338743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2123637775</v>
      </c>
      <c r="G606">
        <v>2014281796</v>
      </c>
      <c r="H606">
        <v>830968116</v>
      </c>
      <c r="I606">
        <v>1110960619</v>
      </c>
      <c r="J606">
        <v>167069460</v>
      </c>
      <c r="K606">
        <v>123005068</v>
      </c>
      <c r="L606">
        <v>129197444</v>
      </c>
      <c r="M606">
        <v>90808791</v>
      </c>
      <c r="N606">
        <v>125851875</v>
      </c>
      <c r="O606">
        <v>147533387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1264281337</v>
      </c>
      <c r="G607">
        <v>752829358</v>
      </c>
      <c r="H607">
        <v>488350162</v>
      </c>
      <c r="I607">
        <v>2146191636</v>
      </c>
      <c r="J607">
        <v>1399068819</v>
      </c>
      <c r="K607">
        <v>862328807</v>
      </c>
      <c r="L607">
        <v>1558182972</v>
      </c>
      <c r="M607">
        <v>403874551</v>
      </c>
      <c r="N607">
        <v>85030981</v>
      </c>
      <c r="O607">
        <v>97689888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K608">
        <v>154159.54999999999</v>
      </c>
      <c r="L608">
        <v>1438286.71</v>
      </c>
      <c r="M608">
        <v>1198308.8400000001</v>
      </c>
      <c r="N608">
        <v>1580201.97</v>
      </c>
      <c r="O608">
        <v>0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9260739987</v>
      </c>
      <c r="G609">
        <v>7413116021</v>
      </c>
      <c r="H609">
        <v>7596075772</v>
      </c>
      <c r="I609">
        <v>8145433738</v>
      </c>
      <c r="J609">
        <v>7065963706</v>
      </c>
      <c r="K609">
        <v>5838784373</v>
      </c>
      <c r="L609">
        <v>538997109</v>
      </c>
      <c r="M609">
        <v>682595469</v>
      </c>
      <c r="N609">
        <v>565794752</v>
      </c>
      <c r="O609">
        <v>464852664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1691275842</v>
      </c>
      <c r="G610">
        <v>795280935</v>
      </c>
      <c r="H610">
        <v>855272107</v>
      </c>
      <c r="I610">
        <v>592717532</v>
      </c>
      <c r="J610">
        <v>712244120</v>
      </c>
      <c r="K610">
        <v>614735388</v>
      </c>
      <c r="L610">
        <v>586360559</v>
      </c>
      <c r="M610">
        <v>371197074</v>
      </c>
      <c r="N610">
        <v>117397569</v>
      </c>
      <c r="O610">
        <v>21707972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6814454</v>
      </c>
      <c r="G611">
        <v>4542452</v>
      </c>
      <c r="H611">
        <v>3881363</v>
      </c>
      <c r="I611">
        <v>0</v>
      </c>
      <c r="J611">
        <v>9947913</v>
      </c>
      <c r="K611">
        <v>3346009</v>
      </c>
      <c r="L611">
        <v>5142029</v>
      </c>
      <c r="M611">
        <v>2170167</v>
      </c>
      <c r="N611">
        <v>3241351</v>
      </c>
      <c r="O611">
        <v>1801757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10809871956</v>
      </c>
      <c r="G612">
        <v>9077516317</v>
      </c>
      <c r="H612">
        <v>7286438475</v>
      </c>
      <c r="I612">
        <v>8421306207</v>
      </c>
      <c r="J612">
        <v>6830363581</v>
      </c>
      <c r="K612">
        <v>6456460432</v>
      </c>
      <c r="L612">
        <v>6037788154</v>
      </c>
      <c r="M612">
        <v>5037512762</v>
      </c>
      <c r="N612">
        <v>4255932702</v>
      </c>
      <c r="O612">
        <v>3287927311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33421717</v>
      </c>
      <c r="G613">
        <v>10626826</v>
      </c>
      <c r="H613">
        <v>11752457</v>
      </c>
      <c r="I613">
        <v>10935112</v>
      </c>
      <c r="J613">
        <v>5721868</v>
      </c>
      <c r="K613">
        <v>5547496</v>
      </c>
      <c r="L613">
        <v>44521591</v>
      </c>
      <c r="M613">
        <v>27744681</v>
      </c>
      <c r="N613">
        <v>26606525</v>
      </c>
      <c r="O613">
        <v>10345578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399745566</v>
      </c>
      <c r="G614">
        <v>412598097</v>
      </c>
      <c r="H614">
        <v>832625053</v>
      </c>
      <c r="I614">
        <v>388749909</v>
      </c>
      <c r="J614">
        <v>405671272</v>
      </c>
      <c r="K614">
        <v>539970148</v>
      </c>
      <c r="L614">
        <v>70542598</v>
      </c>
      <c r="M614">
        <v>18383861</v>
      </c>
      <c r="N614">
        <v>74082492</v>
      </c>
      <c r="O614">
        <v>44118387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26889293</v>
      </c>
      <c r="G615">
        <v>26916226</v>
      </c>
      <c r="H615">
        <v>0</v>
      </c>
      <c r="I615">
        <v>0</v>
      </c>
      <c r="J615">
        <v>0</v>
      </c>
      <c r="K615">
        <v>0</v>
      </c>
      <c r="L615">
        <v>13943970</v>
      </c>
      <c r="M615">
        <v>0</v>
      </c>
      <c r="N615">
        <v>28765891</v>
      </c>
      <c r="O615">
        <v>1161000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1494562043</v>
      </c>
      <c r="G616">
        <v>1624018588</v>
      </c>
      <c r="H616">
        <v>1654667211</v>
      </c>
      <c r="I616">
        <v>1741266376</v>
      </c>
      <c r="J616">
        <v>1512817851</v>
      </c>
      <c r="K616">
        <v>1405454951</v>
      </c>
      <c r="L616">
        <v>1306732389</v>
      </c>
      <c r="M616">
        <v>1820669789</v>
      </c>
      <c r="N616">
        <v>1822241453</v>
      </c>
      <c r="O616">
        <v>1965862042</v>
      </c>
      <c r="P616">
        <v>262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1019138393</v>
      </c>
      <c r="G617">
        <v>1264522613</v>
      </c>
      <c r="H617">
        <v>1888505266</v>
      </c>
      <c r="I617">
        <v>1823925429</v>
      </c>
      <c r="J617">
        <v>1656136949</v>
      </c>
      <c r="K617">
        <v>1404182331</v>
      </c>
      <c r="L617">
        <v>2198147838</v>
      </c>
      <c r="M617">
        <v>1948984735</v>
      </c>
      <c r="N617">
        <v>1890363626</v>
      </c>
      <c r="O617">
        <v>1407087344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46785243</v>
      </c>
      <c r="G618">
        <v>55664391</v>
      </c>
      <c r="H618">
        <v>66295814</v>
      </c>
      <c r="I618">
        <v>65227040</v>
      </c>
      <c r="J618">
        <v>79600270</v>
      </c>
      <c r="K618">
        <v>69219259</v>
      </c>
      <c r="L618">
        <v>86435992</v>
      </c>
      <c r="M618">
        <v>113485274</v>
      </c>
      <c r="N618">
        <v>160552842</v>
      </c>
      <c r="O618">
        <v>230298251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438143437</v>
      </c>
      <c r="G619">
        <v>368958980</v>
      </c>
      <c r="H619">
        <v>391653262</v>
      </c>
      <c r="I619">
        <v>369604306</v>
      </c>
      <c r="J619">
        <v>470597703</v>
      </c>
      <c r="K619">
        <v>505428954</v>
      </c>
      <c r="L619">
        <v>597743705</v>
      </c>
      <c r="M619">
        <v>492624912</v>
      </c>
      <c r="N619">
        <v>466379498</v>
      </c>
      <c r="O619">
        <v>478457066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17759115</v>
      </c>
      <c r="G620">
        <v>22089536</v>
      </c>
      <c r="H620">
        <v>235075572</v>
      </c>
      <c r="I620">
        <v>231322016</v>
      </c>
      <c r="J620">
        <v>105076309</v>
      </c>
      <c r="K620">
        <v>119356785</v>
      </c>
      <c r="L620">
        <v>141980904</v>
      </c>
      <c r="M620">
        <v>94995889</v>
      </c>
      <c r="N620">
        <v>99625493</v>
      </c>
      <c r="O620">
        <v>77669077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1934634</v>
      </c>
      <c r="G621">
        <v>23892248</v>
      </c>
      <c r="H621">
        <v>39125869</v>
      </c>
      <c r="I621">
        <v>839769</v>
      </c>
      <c r="J621">
        <v>6477581</v>
      </c>
      <c r="K621">
        <v>2276350</v>
      </c>
      <c r="L621">
        <v>5578925</v>
      </c>
      <c r="M621">
        <v>11416041</v>
      </c>
      <c r="N621">
        <v>15505056</v>
      </c>
      <c r="O621">
        <v>962642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G622">
        <v>43009418</v>
      </c>
      <c r="H622">
        <v>60453776</v>
      </c>
      <c r="I622">
        <v>102548253</v>
      </c>
      <c r="J622">
        <v>104514126</v>
      </c>
      <c r="K622">
        <v>78982709</v>
      </c>
      <c r="L622">
        <v>50750579</v>
      </c>
      <c r="M622">
        <v>57235968</v>
      </c>
      <c r="N622">
        <v>73556981</v>
      </c>
      <c r="O622">
        <v>72355786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196658180</v>
      </c>
      <c r="G623">
        <v>72806531</v>
      </c>
      <c r="H623">
        <v>85138889</v>
      </c>
      <c r="I623">
        <v>92299470</v>
      </c>
      <c r="J623">
        <v>82059443</v>
      </c>
      <c r="K623">
        <v>69818238</v>
      </c>
      <c r="L623">
        <v>58325917</v>
      </c>
      <c r="M623">
        <v>56628466</v>
      </c>
      <c r="N623">
        <v>52656395</v>
      </c>
      <c r="O623">
        <v>121127369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146352470</v>
      </c>
      <c r="G624">
        <v>93798486</v>
      </c>
      <c r="H624">
        <v>115294934</v>
      </c>
      <c r="I624">
        <v>93054252</v>
      </c>
      <c r="J624">
        <v>0</v>
      </c>
      <c r="K624">
        <v>0</v>
      </c>
      <c r="L624">
        <v>606697906</v>
      </c>
      <c r="M624">
        <v>722457352</v>
      </c>
      <c r="N624">
        <v>501851311</v>
      </c>
      <c r="O624">
        <v>409739545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1127687196</v>
      </c>
      <c r="G625">
        <v>1283585091</v>
      </c>
      <c r="H625">
        <v>1511779570</v>
      </c>
      <c r="I625">
        <v>1219670554</v>
      </c>
      <c r="J625">
        <v>1387445644</v>
      </c>
      <c r="K625">
        <v>979485102</v>
      </c>
      <c r="L625">
        <v>1251958787</v>
      </c>
      <c r="M625">
        <v>1400720594</v>
      </c>
      <c r="N625">
        <v>989878165</v>
      </c>
      <c r="O625">
        <v>762262921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201665720</v>
      </c>
      <c r="G626">
        <v>71836263</v>
      </c>
      <c r="H626">
        <v>13860598</v>
      </c>
      <c r="I626">
        <v>8962478</v>
      </c>
      <c r="J626">
        <v>5605233</v>
      </c>
      <c r="K626">
        <v>27150157</v>
      </c>
      <c r="L626">
        <v>56946320</v>
      </c>
      <c r="M626">
        <v>40222761</v>
      </c>
      <c r="N626">
        <v>30031069</v>
      </c>
      <c r="O626">
        <v>15479154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2623449298</v>
      </c>
      <c r="G627">
        <v>2411215948</v>
      </c>
      <c r="H627">
        <v>2391413509</v>
      </c>
      <c r="I627">
        <v>1734042817</v>
      </c>
      <c r="J627">
        <v>1256291976</v>
      </c>
      <c r="K627">
        <v>858439663</v>
      </c>
      <c r="L627">
        <v>691371621</v>
      </c>
      <c r="M627">
        <v>710621420</v>
      </c>
      <c r="N627">
        <v>534256855</v>
      </c>
      <c r="O627">
        <v>309840660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234396344</v>
      </c>
      <c r="G628">
        <v>190240426</v>
      </c>
      <c r="H628">
        <v>176073776</v>
      </c>
      <c r="I628">
        <v>133382162</v>
      </c>
      <c r="J628">
        <v>117082430</v>
      </c>
      <c r="K628">
        <v>125522844</v>
      </c>
      <c r="L628">
        <v>44280661</v>
      </c>
      <c r="M628">
        <v>126169595</v>
      </c>
      <c r="N628">
        <v>39149606</v>
      </c>
      <c r="O628">
        <v>29421093</v>
      </c>
      <c r="P628">
        <v>540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4436469</v>
      </c>
      <c r="G629">
        <v>2278807</v>
      </c>
      <c r="H629">
        <v>4139213</v>
      </c>
      <c r="I629">
        <v>4711687</v>
      </c>
      <c r="J629">
        <v>5978065</v>
      </c>
      <c r="K629">
        <v>104267166</v>
      </c>
      <c r="L629">
        <v>126958692</v>
      </c>
      <c r="M629">
        <v>77845275</v>
      </c>
      <c r="N629">
        <v>10972369</v>
      </c>
      <c r="O629">
        <v>25220813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355961633</v>
      </c>
      <c r="G630">
        <v>147990428</v>
      </c>
      <c r="H630">
        <v>184030709</v>
      </c>
      <c r="I630">
        <v>0</v>
      </c>
      <c r="J630">
        <v>103808429</v>
      </c>
      <c r="K630">
        <v>133046712</v>
      </c>
      <c r="L630">
        <v>107096960</v>
      </c>
      <c r="M630">
        <v>150630105</v>
      </c>
      <c r="N630">
        <v>145708162</v>
      </c>
      <c r="O630">
        <v>153977355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221259461</v>
      </c>
      <c r="G631">
        <v>44131084</v>
      </c>
      <c r="H631">
        <v>44517576</v>
      </c>
      <c r="I631">
        <v>3868418</v>
      </c>
      <c r="J631">
        <v>319914</v>
      </c>
      <c r="K631">
        <v>212532</v>
      </c>
      <c r="L631">
        <v>143076</v>
      </c>
      <c r="M631">
        <v>518448</v>
      </c>
      <c r="N631">
        <v>133430</v>
      </c>
      <c r="O631">
        <v>96274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12810797011</v>
      </c>
      <c r="G632">
        <v>18265909309</v>
      </c>
      <c r="H632">
        <v>20386218738</v>
      </c>
      <c r="I632">
        <v>17249757586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59604826</v>
      </c>
      <c r="G633">
        <v>478383735</v>
      </c>
      <c r="H633">
        <v>498302580</v>
      </c>
      <c r="I633">
        <v>3373979907</v>
      </c>
      <c r="J633">
        <v>3487687789</v>
      </c>
      <c r="K633">
        <v>2326433774</v>
      </c>
      <c r="L633">
        <v>8955</v>
      </c>
      <c r="M633">
        <v>1111685</v>
      </c>
      <c r="N633">
        <v>5436085</v>
      </c>
      <c r="O633">
        <v>1503040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170561840</v>
      </c>
      <c r="G634">
        <v>72639214</v>
      </c>
      <c r="H634">
        <v>113917465</v>
      </c>
      <c r="I634">
        <v>120301626</v>
      </c>
      <c r="J634">
        <v>139289299</v>
      </c>
      <c r="K634">
        <v>104646585</v>
      </c>
      <c r="L634">
        <v>95424602</v>
      </c>
      <c r="M634">
        <v>114240577</v>
      </c>
      <c r="N634">
        <v>110936120</v>
      </c>
      <c r="O634">
        <v>108985563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794729218</v>
      </c>
      <c r="G635">
        <v>664029133</v>
      </c>
      <c r="H635">
        <v>507660783</v>
      </c>
      <c r="I635">
        <v>414377720</v>
      </c>
      <c r="J635">
        <v>496963608</v>
      </c>
      <c r="K635">
        <v>78004364</v>
      </c>
      <c r="L635">
        <v>97359135</v>
      </c>
      <c r="M635">
        <v>191123318</v>
      </c>
      <c r="N635">
        <v>273693283</v>
      </c>
      <c r="O635">
        <v>267456728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825616492</v>
      </c>
      <c r="G636">
        <v>838137405</v>
      </c>
      <c r="H636">
        <v>955116866</v>
      </c>
      <c r="I636">
        <v>1090326776</v>
      </c>
      <c r="J636">
        <v>866628518</v>
      </c>
      <c r="K636">
        <v>797639218</v>
      </c>
      <c r="L636">
        <v>1178274277</v>
      </c>
      <c r="M636">
        <v>998409975</v>
      </c>
      <c r="N636">
        <v>803141390</v>
      </c>
      <c r="O636">
        <v>403411209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40742785</v>
      </c>
      <c r="G637">
        <v>834938</v>
      </c>
      <c r="H637">
        <v>816073</v>
      </c>
      <c r="I637">
        <v>2582404</v>
      </c>
      <c r="J637">
        <v>2403014</v>
      </c>
      <c r="K637">
        <v>1728994</v>
      </c>
      <c r="L637">
        <v>4025299</v>
      </c>
      <c r="M637">
        <v>3964</v>
      </c>
      <c r="N637">
        <v>38228</v>
      </c>
      <c r="O637">
        <v>70550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1787005743</v>
      </c>
      <c r="G638">
        <v>1381365858</v>
      </c>
      <c r="H638">
        <v>1378992703</v>
      </c>
      <c r="I638">
        <v>1273019327</v>
      </c>
      <c r="J638">
        <v>1321052478</v>
      </c>
      <c r="K638">
        <v>1491265502</v>
      </c>
      <c r="L638">
        <v>1554663196</v>
      </c>
      <c r="M638">
        <v>1370213620</v>
      </c>
      <c r="N638">
        <v>1275470979</v>
      </c>
      <c r="O638">
        <v>1040932018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52117751</v>
      </c>
      <c r="G639">
        <v>99194730</v>
      </c>
      <c r="H639">
        <v>125584651</v>
      </c>
      <c r="I639">
        <v>182025227</v>
      </c>
      <c r="J639">
        <v>385138594</v>
      </c>
      <c r="K639">
        <v>618793948</v>
      </c>
      <c r="L639">
        <v>680877892</v>
      </c>
      <c r="M639">
        <v>748021233</v>
      </c>
      <c r="N639">
        <v>707731513</v>
      </c>
      <c r="O639">
        <v>565224328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29349672033</v>
      </c>
      <c r="G640">
        <v>24561520424</v>
      </c>
      <c r="H640">
        <v>23312072421</v>
      </c>
      <c r="I640">
        <v>23891199417</v>
      </c>
      <c r="J640">
        <v>24849087707</v>
      </c>
      <c r="K640">
        <v>21087428706</v>
      </c>
      <c r="L640">
        <v>18755764620</v>
      </c>
      <c r="M640">
        <v>11771574511</v>
      </c>
      <c r="N640">
        <v>10733528819</v>
      </c>
      <c r="O640">
        <v>9418632688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4016110544</v>
      </c>
      <c r="G641">
        <v>2054930399</v>
      </c>
      <c r="H641">
        <v>3962211292</v>
      </c>
      <c r="I641">
        <v>1477420840</v>
      </c>
      <c r="J641">
        <v>1062647769</v>
      </c>
      <c r="K641">
        <v>333968540</v>
      </c>
      <c r="L641">
        <v>730146378</v>
      </c>
      <c r="M641">
        <v>749184106</v>
      </c>
      <c r="N641">
        <v>536202690</v>
      </c>
      <c r="O641">
        <v>353973460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40897737</v>
      </c>
      <c r="G642">
        <v>42410236</v>
      </c>
      <c r="H642">
        <v>35718085</v>
      </c>
      <c r="I642">
        <v>247149986</v>
      </c>
      <c r="J642">
        <v>114636313</v>
      </c>
      <c r="K642">
        <v>417237910</v>
      </c>
      <c r="L642">
        <v>110847780</v>
      </c>
      <c r="M642">
        <v>372405032</v>
      </c>
      <c r="N642">
        <v>3229901</v>
      </c>
      <c r="O642">
        <v>45299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2367070225</v>
      </c>
      <c r="G643">
        <v>1765564534</v>
      </c>
      <c r="H643">
        <v>2321980060</v>
      </c>
      <c r="I643">
        <v>1501464331</v>
      </c>
      <c r="J643">
        <v>2055362524</v>
      </c>
      <c r="K643">
        <v>1783656425</v>
      </c>
      <c r="L643">
        <v>1664332111</v>
      </c>
      <c r="M643">
        <v>1245231003</v>
      </c>
      <c r="N643">
        <v>1218293881</v>
      </c>
      <c r="O643">
        <v>1359135133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9297520513</v>
      </c>
      <c r="G644">
        <v>6417085389</v>
      </c>
      <c r="H644">
        <v>14021952662</v>
      </c>
      <c r="I644">
        <v>4831678583</v>
      </c>
      <c r="J644">
        <v>1991126793</v>
      </c>
      <c r="K644">
        <v>2574982822</v>
      </c>
      <c r="L644">
        <v>1126871757</v>
      </c>
      <c r="M644">
        <v>9066758</v>
      </c>
      <c r="N644">
        <v>63422463</v>
      </c>
      <c r="O644">
        <v>175514575</v>
      </c>
      <c r="P644">
        <v>1617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68314734</v>
      </c>
      <c r="G645">
        <v>42851422</v>
      </c>
      <c r="H645">
        <v>51989243</v>
      </c>
      <c r="I645">
        <v>3486572</v>
      </c>
      <c r="J645">
        <v>11437513</v>
      </c>
      <c r="K645">
        <v>12972902</v>
      </c>
      <c r="L645">
        <v>18253653</v>
      </c>
      <c r="M645">
        <v>32867267</v>
      </c>
      <c r="N645">
        <v>44468751</v>
      </c>
      <c r="O645">
        <v>65644559</v>
      </c>
      <c r="P645">
        <v>230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H646">
        <v>53972223</v>
      </c>
      <c r="I646">
        <v>44343949</v>
      </c>
      <c r="J646">
        <v>47648701</v>
      </c>
      <c r="K646">
        <v>24531603</v>
      </c>
      <c r="L646">
        <v>11850542</v>
      </c>
      <c r="M646">
        <v>13696158</v>
      </c>
      <c r="N646">
        <v>16091852</v>
      </c>
      <c r="O646">
        <v>34532380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157184303</v>
      </c>
      <c r="G647">
        <v>616566840</v>
      </c>
      <c r="H647">
        <v>637104114</v>
      </c>
      <c r="I647">
        <v>571649948</v>
      </c>
      <c r="J647">
        <v>1438988950</v>
      </c>
      <c r="K647">
        <v>209179796</v>
      </c>
      <c r="L647">
        <v>3794721</v>
      </c>
      <c r="M647">
        <v>29728636</v>
      </c>
      <c r="N647">
        <v>1356085</v>
      </c>
      <c r="O647">
        <v>2282865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35887154</v>
      </c>
      <c r="G648">
        <v>20044095</v>
      </c>
      <c r="H648">
        <v>25392078</v>
      </c>
      <c r="I648">
        <v>27714513</v>
      </c>
      <c r="J648">
        <v>10852400</v>
      </c>
      <c r="K648">
        <v>11035009</v>
      </c>
      <c r="L648">
        <v>13833472</v>
      </c>
      <c r="M648">
        <v>36119851</v>
      </c>
      <c r="N648">
        <v>28008551</v>
      </c>
      <c r="O648">
        <v>30952395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308207532</v>
      </c>
      <c r="G649">
        <v>171785433</v>
      </c>
      <c r="H649">
        <v>207783803</v>
      </c>
      <c r="I649">
        <v>4128752</v>
      </c>
      <c r="J649">
        <v>16066893</v>
      </c>
      <c r="K649">
        <v>13551979</v>
      </c>
      <c r="L649">
        <v>11334933</v>
      </c>
      <c r="M649">
        <v>111913299</v>
      </c>
      <c r="N649">
        <v>65608867</v>
      </c>
      <c r="O649">
        <v>30585352</v>
      </c>
      <c r="P649">
        <v>817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25933000</v>
      </c>
      <c r="G650">
        <v>55020508000</v>
      </c>
      <c r="H650">
        <v>54612156000</v>
      </c>
      <c r="I650">
        <v>52676654000</v>
      </c>
      <c r="J650">
        <v>50246382000</v>
      </c>
      <c r="K650">
        <v>44347164000</v>
      </c>
      <c r="L650">
        <v>258404543</v>
      </c>
      <c r="M650">
        <v>68402795</v>
      </c>
      <c r="N650">
        <v>75633854</v>
      </c>
      <c r="O650">
        <v>37547373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K651">
        <v>43620</v>
      </c>
      <c r="L651">
        <v>198988.65</v>
      </c>
      <c r="M651">
        <v>198988.65</v>
      </c>
      <c r="N651">
        <v>198988.65</v>
      </c>
      <c r="O651">
        <v>198988.65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163879949</v>
      </c>
      <c r="G652">
        <v>140410202</v>
      </c>
      <c r="H652">
        <v>111485280</v>
      </c>
      <c r="I652">
        <v>37983857</v>
      </c>
      <c r="J652">
        <v>0</v>
      </c>
      <c r="K652">
        <v>0</v>
      </c>
      <c r="L652">
        <v>1807263</v>
      </c>
      <c r="M652">
        <v>10354341</v>
      </c>
      <c r="N652">
        <v>4176977</v>
      </c>
      <c r="O652">
        <v>8106981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1551762783</v>
      </c>
      <c r="G653">
        <v>1076310781</v>
      </c>
      <c r="H653">
        <v>1157171239</v>
      </c>
      <c r="I653">
        <v>995483663</v>
      </c>
      <c r="J653">
        <v>940027902</v>
      </c>
      <c r="K653">
        <v>633618748</v>
      </c>
      <c r="L653">
        <v>437288801</v>
      </c>
      <c r="M653">
        <v>88420644</v>
      </c>
      <c r="N653">
        <v>69224585</v>
      </c>
      <c r="O653">
        <v>50282126</v>
      </c>
      <c r="P653">
        <v>668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5554389725</v>
      </c>
      <c r="G654">
        <v>3794936230</v>
      </c>
      <c r="H654">
        <v>3279490651</v>
      </c>
      <c r="I654">
        <v>3739008285</v>
      </c>
      <c r="J654">
        <v>3168492702</v>
      </c>
      <c r="K654">
        <v>3384100720</v>
      </c>
      <c r="L654">
        <v>2323693983</v>
      </c>
      <c r="M654">
        <v>1843843739</v>
      </c>
      <c r="N654">
        <v>1626262711</v>
      </c>
      <c r="O654">
        <v>1423244272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439625735</v>
      </c>
      <c r="G655">
        <v>232886159</v>
      </c>
      <c r="H655">
        <v>365363667</v>
      </c>
      <c r="I655">
        <v>327067061</v>
      </c>
      <c r="J655">
        <v>454134156</v>
      </c>
      <c r="K655">
        <v>519350541</v>
      </c>
      <c r="L655">
        <v>386475359</v>
      </c>
      <c r="M655">
        <v>366812962</v>
      </c>
      <c r="N655">
        <v>263435395</v>
      </c>
      <c r="O655">
        <v>270291660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869756491</v>
      </c>
      <c r="G656">
        <v>682729876</v>
      </c>
      <c r="H656">
        <v>775230499</v>
      </c>
      <c r="I656">
        <v>808774895</v>
      </c>
      <c r="J656">
        <v>764885359</v>
      </c>
      <c r="K656">
        <v>537893000</v>
      </c>
      <c r="L656">
        <v>422210644</v>
      </c>
      <c r="M656">
        <v>432903115</v>
      </c>
      <c r="N656">
        <v>675873027</v>
      </c>
      <c r="O656">
        <v>428109693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735092138</v>
      </c>
      <c r="G657">
        <v>1108309304</v>
      </c>
      <c r="H657">
        <v>1441928561</v>
      </c>
      <c r="I657">
        <v>1110091556</v>
      </c>
      <c r="J657">
        <v>995186088</v>
      </c>
      <c r="K657">
        <v>1413624606</v>
      </c>
      <c r="L657">
        <v>1278826593</v>
      </c>
      <c r="M657">
        <v>20710386</v>
      </c>
      <c r="N657">
        <v>40163438</v>
      </c>
      <c r="O657">
        <v>16661878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139488468</v>
      </c>
      <c r="G658">
        <v>89110980</v>
      </c>
      <c r="H658">
        <v>265715040</v>
      </c>
      <c r="I658">
        <v>209422172</v>
      </c>
      <c r="J658">
        <v>253309103</v>
      </c>
      <c r="K658">
        <v>186538818</v>
      </c>
      <c r="L658">
        <v>98336383</v>
      </c>
      <c r="M658">
        <v>96006915</v>
      </c>
      <c r="N658">
        <v>53581624</v>
      </c>
      <c r="O658">
        <v>165890697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3601273213</v>
      </c>
      <c r="G659">
        <v>4883810605</v>
      </c>
      <c r="H659">
        <v>3930871748</v>
      </c>
      <c r="I659">
        <v>2375544741</v>
      </c>
      <c r="J659">
        <v>1755924329</v>
      </c>
      <c r="K659">
        <v>34667800</v>
      </c>
      <c r="L659">
        <v>152047198</v>
      </c>
      <c r="M659">
        <v>272351949</v>
      </c>
      <c r="N659">
        <v>462328578</v>
      </c>
      <c r="O659">
        <v>293472416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1207043386</v>
      </c>
      <c r="G660">
        <v>1036395686</v>
      </c>
      <c r="H660">
        <v>819844676</v>
      </c>
      <c r="I660">
        <v>798749082</v>
      </c>
      <c r="J660">
        <v>888235841</v>
      </c>
      <c r="K660">
        <v>866588840</v>
      </c>
      <c r="L660">
        <v>829433431</v>
      </c>
      <c r="M660">
        <v>820783310</v>
      </c>
      <c r="N660">
        <v>703316372</v>
      </c>
      <c r="O660">
        <v>641373244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73511978</v>
      </c>
      <c r="G661">
        <v>66461687</v>
      </c>
      <c r="H661">
        <v>56295657</v>
      </c>
      <c r="I661">
        <v>50544937</v>
      </c>
      <c r="J661">
        <v>40982029</v>
      </c>
      <c r="K661">
        <v>18527666</v>
      </c>
      <c r="L661">
        <v>11697802</v>
      </c>
      <c r="M661">
        <v>7536279</v>
      </c>
      <c r="N661">
        <v>6254288</v>
      </c>
      <c r="O661">
        <v>5552583</v>
      </c>
      <c r="P661">
        <v>38183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2139552767</v>
      </c>
      <c r="G662">
        <v>2503968575</v>
      </c>
      <c r="H662">
        <v>2250430793</v>
      </c>
      <c r="I662">
        <v>429752988</v>
      </c>
      <c r="J662">
        <v>263480432</v>
      </c>
      <c r="K662">
        <v>46309153</v>
      </c>
      <c r="L662">
        <v>121574450</v>
      </c>
      <c r="M662">
        <v>194987046</v>
      </c>
      <c r="N662">
        <v>230219709</v>
      </c>
      <c r="O662">
        <v>154834920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2635413215</v>
      </c>
      <c r="G663">
        <v>2338901334</v>
      </c>
      <c r="H663">
        <v>2552423815</v>
      </c>
      <c r="I663">
        <v>3162149150</v>
      </c>
      <c r="J663">
        <v>2480801680</v>
      </c>
      <c r="K663">
        <v>2648697399</v>
      </c>
      <c r="L663">
        <v>2279491964</v>
      </c>
      <c r="M663">
        <v>2932606118</v>
      </c>
      <c r="N663">
        <v>2283467988</v>
      </c>
      <c r="O663">
        <v>2279756831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842370</v>
      </c>
      <c r="G664">
        <v>3697739</v>
      </c>
      <c r="H664">
        <v>651347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26560370</v>
      </c>
      <c r="G665">
        <v>22613772</v>
      </c>
      <c r="H665">
        <v>47686522</v>
      </c>
      <c r="I665">
        <v>108817353</v>
      </c>
      <c r="J665">
        <v>26858660</v>
      </c>
      <c r="K665">
        <v>14571886</v>
      </c>
      <c r="L665">
        <v>46052932</v>
      </c>
      <c r="M665">
        <v>97217935</v>
      </c>
      <c r="N665">
        <v>98062814</v>
      </c>
      <c r="O665">
        <v>116532829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18762352</v>
      </c>
      <c r="G666">
        <v>45308607</v>
      </c>
      <c r="H666">
        <v>20321335</v>
      </c>
      <c r="I666">
        <v>22951491</v>
      </c>
      <c r="J666">
        <v>18264233</v>
      </c>
      <c r="K666">
        <v>26508454</v>
      </c>
      <c r="L666">
        <v>29677175</v>
      </c>
      <c r="M666">
        <v>27438153</v>
      </c>
      <c r="N666">
        <v>33122519</v>
      </c>
      <c r="O666">
        <v>20121605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12311855</v>
      </c>
      <c r="G667">
        <v>12150364</v>
      </c>
      <c r="H667">
        <v>11443357</v>
      </c>
      <c r="I667">
        <v>5183655</v>
      </c>
      <c r="J667">
        <v>3744361</v>
      </c>
      <c r="K667">
        <v>1074486</v>
      </c>
      <c r="L667">
        <v>669350</v>
      </c>
      <c r="M667">
        <v>2056562</v>
      </c>
      <c r="N667">
        <v>5606070</v>
      </c>
      <c r="O667">
        <v>25218550</v>
      </c>
      <c r="P667">
        <v>65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155373101</v>
      </c>
      <c r="G668">
        <v>155349826</v>
      </c>
      <c r="H668">
        <v>210241769</v>
      </c>
      <c r="I668">
        <v>291447222</v>
      </c>
      <c r="J668">
        <v>348740371</v>
      </c>
      <c r="K668">
        <v>321544470</v>
      </c>
      <c r="L668">
        <v>254692019</v>
      </c>
      <c r="M668">
        <v>286330341</v>
      </c>
      <c r="N668">
        <v>139650822</v>
      </c>
      <c r="O668">
        <v>434730448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1231492865</v>
      </c>
      <c r="G669">
        <v>1559714388</v>
      </c>
      <c r="H669">
        <v>1444902368</v>
      </c>
      <c r="I669">
        <v>1338389801</v>
      </c>
      <c r="J669">
        <v>735363341</v>
      </c>
      <c r="K669">
        <v>462876370</v>
      </c>
      <c r="L669">
        <v>172455753</v>
      </c>
      <c r="M669">
        <v>114523565</v>
      </c>
      <c r="N669">
        <v>90435139</v>
      </c>
      <c r="O669">
        <v>82850999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11201513</v>
      </c>
      <c r="G670">
        <v>60403802</v>
      </c>
      <c r="H670">
        <v>53262470</v>
      </c>
      <c r="I670">
        <v>169674017</v>
      </c>
      <c r="J670">
        <v>155968716</v>
      </c>
      <c r="K670">
        <v>323375525</v>
      </c>
      <c r="L670">
        <v>118040947</v>
      </c>
      <c r="M670">
        <v>183398413</v>
      </c>
      <c r="N670">
        <v>18329097</v>
      </c>
      <c r="O670">
        <v>12071539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144454754</v>
      </c>
      <c r="G671">
        <v>276124192</v>
      </c>
      <c r="H671">
        <v>18257938</v>
      </c>
      <c r="I671">
        <v>13514879</v>
      </c>
      <c r="J671">
        <v>8589683</v>
      </c>
      <c r="K671">
        <v>6279385</v>
      </c>
      <c r="L671">
        <v>6191506</v>
      </c>
      <c r="M671">
        <v>5925488</v>
      </c>
      <c r="N671">
        <v>7970159</v>
      </c>
      <c r="O671">
        <v>6678282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1150920744</v>
      </c>
      <c r="G672">
        <v>1161870915</v>
      </c>
      <c r="H672">
        <v>996359257</v>
      </c>
      <c r="I672">
        <v>1003441127</v>
      </c>
      <c r="J672">
        <v>1282404740</v>
      </c>
      <c r="K672">
        <v>1238735984</v>
      </c>
      <c r="L672">
        <v>1043468726</v>
      </c>
      <c r="M672">
        <v>735609845</v>
      </c>
      <c r="N672">
        <v>634516144</v>
      </c>
      <c r="O672">
        <v>744949177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1012594430</v>
      </c>
      <c r="G673">
        <v>1063946566</v>
      </c>
      <c r="H673">
        <v>980762861</v>
      </c>
      <c r="I673">
        <v>808998796</v>
      </c>
      <c r="J673">
        <v>750647047</v>
      </c>
      <c r="K673">
        <v>797003404</v>
      </c>
      <c r="L673">
        <v>700600477</v>
      </c>
      <c r="M673">
        <v>565142171</v>
      </c>
      <c r="N673">
        <v>561298381</v>
      </c>
      <c r="O673">
        <v>498067213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1163469388</v>
      </c>
      <c r="G674">
        <v>753404597</v>
      </c>
      <c r="H674">
        <v>749679361</v>
      </c>
      <c r="I674">
        <v>535433936</v>
      </c>
      <c r="J674">
        <v>366796499</v>
      </c>
      <c r="K674">
        <v>20336824</v>
      </c>
      <c r="L674">
        <v>63480080</v>
      </c>
      <c r="M674">
        <v>61372551</v>
      </c>
      <c r="N674">
        <v>110560850</v>
      </c>
      <c r="O674">
        <v>101089882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14363727</v>
      </c>
      <c r="G675">
        <v>24175203</v>
      </c>
      <c r="H675">
        <v>19606645</v>
      </c>
      <c r="I675">
        <v>7717293</v>
      </c>
      <c r="J675">
        <v>7290307</v>
      </c>
      <c r="K675">
        <v>7722504</v>
      </c>
      <c r="L675">
        <v>7573141</v>
      </c>
      <c r="M675">
        <v>2740960</v>
      </c>
      <c r="N675">
        <v>9203170</v>
      </c>
      <c r="O675">
        <v>82064281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7461017</v>
      </c>
      <c r="G676">
        <v>1924992</v>
      </c>
      <c r="H676">
        <v>28866471</v>
      </c>
      <c r="I676">
        <v>34292224</v>
      </c>
      <c r="J676">
        <v>81811490</v>
      </c>
      <c r="K676">
        <v>17291495</v>
      </c>
      <c r="L676">
        <v>8395589</v>
      </c>
      <c r="M676">
        <v>11358305</v>
      </c>
      <c r="N676">
        <v>112540115</v>
      </c>
      <c r="O676">
        <v>23438394</v>
      </c>
      <c r="P676">
        <v>2794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174927331</v>
      </c>
      <c r="G677">
        <v>148389164</v>
      </c>
      <c r="H677">
        <v>231426122</v>
      </c>
      <c r="I677">
        <v>199563258</v>
      </c>
      <c r="J677">
        <v>239801310</v>
      </c>
      <c r="K677">
        <v>188009261</v>
      </c>
      <c r="L677">
        <v>253750949</v>
      </c>
      <c r="M677">
        <v>328300525</v>
      </c>
      <c r="N677">
        <v>397127893</v>
      </c>
      <c r="O677">
        <v>360958738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G678">
        <v>3710040581</v>
      </c>
      <c r="H678">
        <v>3637777491</v>
      </c>
      <c r="I678">
        <v>2838534663</v>
      </c>
      <c r="J678">
        <v>2362295181</v>
      </c>
      <c r="K678">
        <v>66927513</v>
      </c>
      <c r="L678">
        <v>60428311</v>
      </c>
      <c r="M678">
        <v>74007602</v>
      </c>
      <c r="N678">
        <v>74270291</v>
      </c>
      <c r="O678">
        <v>74586958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1892482103</v>
      </c>
      <c r="G679">
        <v>1997526548</v>
      </c>
      <c r="H679">
        <v>2271356151</v>
      </c>
      <c r="I679">
        <v>1785364124</v>
      </c>
      <c r="J679">
        <v>1498959405</v>
      </c>
      <c r="K679">
        <v>2716333986</v>
      </c>
      <c r="L679">
        <v>1540444441</v>
      </c>
      <c r="M679">
        <v>1691093048</v>
      </c>
      <c r="N679">
        <v>1520997356</v>
      </c>
      <c r="O679">
        <v>807076996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20549632</v>
      </c>
      <c r="G680">
        <v>21512034</v>
      </c>
      <c r="H680">
        <v>34354805</v>
      </c>
      <c r="I680">
        <v>53188795</v>
      </c>
      <c r="J680">
        <v>52863516</v>
      </c>
      <c r="K680">
        <v>46737139</v>
      </c>
      <c r="L680">
        <v>46188560</v>
      </c>
      <c r="M680">
        <v>44437526</v>
      </c>
      <c r="N680">
        <v>36831782</v>
      </c>
      <c r="O680">
        <v>48529042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441041296</v>
      </c>
      <c r="G681">
        <v>579519023</v>
      </c>
      <c r="H681">
        <v>744778622</v>
      </c>
      <c r="I681">
        <v>637851020</v>
      </c>
      <c r="J681">
        <v>819211889</v>
      </c>
      <c r="K681">
        <v>675120400</v>
      </c>
      <c r="L681">
        <v>446171101</v>
      </c>
      <c r="M681">
        <v>337201652</v>
      </c>
      <c r="N681">
        <v>288093501</v>
      </c>
      <c r="O681">
        <v>166442500</v>
      </c>
      <c r="P681">
        <v>75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126022218</v>
      </c>
      <c r="G682">
        <v>135316101</v>
      </c>
      <c r="H682">
        <v>131905752</v>
      </c>
      <c r="I682">
        <v>110822941</v>
      </c>
      <c r="J682">
        <v>122086356</v>
      </c>
      <c r="K682">
        <v>116833806</v>
      </c>
      <c r="L682">
        <v>67548839</v>
      </c>
      <c r="M682">
        <v>50366212</v>
      </c>
      <c r="N682">
        <v>34155113</v>
      </c>
      <c r="O682">
        <v>63114832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1447878149</v>
      </c>
      <c r="G683">
        <v>1363552658</v>
      </c>
      <c r="H683">
        <v>1561126484</v>
      </c>
      <c r="I683">
        <v>1336797308</v>
      </c>
      <c r="J683">
        <v>1298158378</v>
      </c>
      <c r="K683">
        <v>1193573254</v>
      </c>
      <c r="L683">
        <v>930407155</v>
      </c>
      <c r="M683">
        <v>1197704364</v>
      </c>
      <c r="N683">
        <v>849036512</v>
      </c>
      <c r="O683">
        <v>929086857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"600788"</f>
        <v>600788</v>
      </c>
      <c r="C684" t="s">
        <v>1594</v>
      </c>
      <c r="K684">
        <v>0</v>
      </c>
      <c r="P684">
        <v>5</v>
      </c>
      <c r="Q684" t="s">
        <v>1595</v>
      </c>
    </row>
    <row r="685" spans="1:17" x14ac:dyDescent="0.3">
      <c r="A685" t="s">
        <v>17</v>
      </c>
      <c r="B685" t="str">
        <f>"600789"</f>
        <v>600789</v>
      </c>
      <c r="C685" t="s">
        <v>1596</v>
      </c>
      <c r="D685" t="s">
        <v>143</v>
      </c>
      <c r="F685">
        <v>564764969</v>
      </c>
      <c r="G685">
        <v>548769800</v>
      </c>
      <c r="H685">
        <v>480036618</v>
      </c>
      <c r="I685">
        <v>513566538</v>
      </c>
      <c r="J685">
        <v>428120230</v>
      </c>
      <c r="K685">
        <v>447994493</v>
      </c>
      <c r="L685">
        <v>438824054</v>
      </c>
      <c r="M685">
        <v>401314094</v>
      </c>
      <c r="N685">
        <v>389354449</v>
      </c>
      <c r="O685">
        <v>394632267</v>
      </c>
      <c r="P685">
        <v>245</v>
      </c>
      <c r="Q685" t="s">
        <v>1597</v>
      </c>
    </row>
    <row r="686" spans="1:17" x14ac:dyDescent="0.3">
      <c r="A686" t="s">
        <v>17</v>
      </c>
      <c r="B686" t="str">
        <f>"600790"</f>
        <v>600790</v>
      </c>
      <c r="C686" t="s">
        <v>1598</v>
      </c>
      <c r="D686" t="s">
        <v>271</v>
      </c>
      <c r="F686">
        <v>410828</v>
      </c>
      <c r="G686">
        <v>1964066</v>
      </c>
      <c r="H686">
        <v>1116343</v>
      </c>
      <c r="I686">
        <v>1139809</v>
      </c>
      <c r="J686">
        <v>1896353</v>
      </c>
      <c r="K686">
        <v>1523001</v>
      </c>
      <c r="L686">
        <v>3202024</v>
      </c>
      <c r="M686">
        <v>7744066</v>
      </c>
      <c r="N686">
        <v>1882451</v>
      </c>
      <c r="O686">
        <v>5016595</v>
      </c>
      <c r="P686">
        <v>184</v>
      </c>
      <c r="Q686" t="s">
        <v>1599</v>
      </c>
    </row>
    <row r="687" spans="1:17" x14ac:dyDescent="0.3">
      <c r="A687" t="s">
        <v>17</v>
      </c>
      <c r="B687" t="str">
        <f>"600791"</f>
        <v>600791</v>
      </c>
      <c r="C687" t="s">
        <v>1600</v>
      </c>
      <c r="D687" t="s">
        <v>104</v>
      </c>
      <c r="F687">
        <v>126277638</v>
      </c>
      <c r="G687">
        <v>28668089</v>
      </c>
      <c r="H687">
        <v>1516839</v>
      </c>
      <c r="I687">
        <v>1908325</v>
      </c>
      <c r="J687">
        <v>16779</v>
      </c>
      <c r="K687">
        <v>597425</v>
      </c>
      <c r="L687">
        <v>202573</v>
      </c>
      <c r="M687">
        <v>398923</v>
      </c>
      <c r="N687">
        <v>493962</v>
      </c>
      <c r="O687">
        <v>525031</v>
      </c>
      <c r="P687">
        <v>105</v>
      </c>
      <c r="Q687" t="s">
        <v>1601</v>
      </c>
    </row>
    <row r="688" spans="1:17" x14ac:dyDescent="0.3">
      <c r="A688" t="s">
        <v>17</v>
      </c>
      <c r="B688" t="str">
        <f>"600792"</f>
        <v>600792</v>
      </c>
      <c r="C688" t="s">
        <v>1602</v>
      </c>
      <c r="D688" t="s">
        <v>885</v>
      </c>
      <c r="F688">
        <v>949679866</v>
      </c>
      <c r="G688">
        <v>713324069</v>
      </c>
      <c r="H688">
        <v>875781097</v>
      </c>
      <c r="I688">
        <v>748439023</v>
      </c>
      <c r="J688">
        <v>715827023</v>
      </c>
      <c r="K688">
        <v>1331196432</v>
      </c>
      <c r="L688">
        <v>217986541</v>
      </c>
      <c r="M688">
        <v>231623750</v>
      </c>
      <c r="N688">
        <v>200812212</v>
      </c>
      <c r="O688">
        <v>201482841</v>
      </c>
      <c r="P688">
        <v>97</v>
      </c>
      <c r="Q688" t="s">
        <v>1603</v>
      </c>
    </row>
    <row r="689" spans="1:17" x14ac:dyDescent="0.3">
      <c r="A689" t="s">
        <v>17</v>
      </c>
      <c r="B689" t="str">
        <f>"600793"</f>
        <v>600793</v>
      </c>
      <c r="C689" t="s">
        <v>1604</v>
      </c>
      <c r="D689" t="s">
        <v>244</v>
      </c>
      <c r="F689">
        <v>96453946</v>
      </c>
      <c r="G689">
        <v>83865392</v>
      </c>
      <c r="H689">
        <v>142960362</v>
      </c>
      <c r="I689">
        <v>162384630</v>
      </c>
      <c r="J689">
        <v>98182634</v>
      </c>
      <c r="K689">
        <v>100309912</v>
      </c>
      <c r="L689">
        <v>52633131</v>
      </c>
      <c r="M689">
        <v>5673824</v>
      </c>
      <c r="N689">
        <v>2803251</v>
      </c>
      <c r="O689">
        <v>1630993</v>
      </c>
      <c r="P689">
        <v>109</v>
      </c>
      <c r="Q689" t="s">
        <v>1605</v>
      </c>
    </row>
    <row r="690" spans="1:17" x14ac:dyDescent="0.3">
      <c r="A690" t="s">
        <v>17</v>
      </c>
      <c r="B690" t="str">
        <f>"600794"</f>
        <v>600794</v>
      </c>
      <c r="C690" t="s">
        <v>1606</v>
      </c>
      <c r="D690" t="s">
        <v>1592</v>
      </c>
      <c r="F690">
        <v>3411732</v>
      </c>
      <c r="G690">
        <v>64466979</v>
      </c>
      <c r="H690">
        <v>11383207</v>
      </c>
      <c r="I690">
        <v>26029586</v>
      </c>
      <c r="J690">
        <v>19338615</v>
      </c>
      <c r="K690">
        <v>71128499</v>
      </c>
      <c r="L690">
        <v>25389427</v>
      </c>
      <c r="M690">
        <v>54201346</v>
      </c>
      <c r="N690">
        <v>39298431</v>
      </c>
      <c r="O690">
        <v>15218772</v>
      </c>
      <c r="P690">
        <v>100</v>
      </c>
      <c r="Q690" t="s">
        <v>1607</v>
      </c>
    </row>
    <row r="691" spans="1:17" x14ac:dyDescent="0.3">
      <c r="A691" t="s">
        <v>17</v>
      </c>
      <c r="B691" t="str">
        <f>"600795"</f>
        <v>600795</v>
      </c>
      <c r="C691" t="s">
        <v>1608</v>
      </c>
      <c r="D691" t="s">
        <v>41</v>
      </c>
      <c r="F691">
        <v>20440118772</v>
      </c>
      <c r="G691">
        <v>13622706332</v>
      </c>
      <c r="H691">
        <v>13658045668</v>
      </c>
      <c r="I691">
        <v>6117833768</v>
      </c>
      <c r="J691">
        <v>5784794817</v>
      </c>
      <c r="K691">
        <v>5411418223</v>
      </c>
      <c r="L691">
        <v>5304816817</v>
      </c>
      <c r="M691">
        <v>7660130395</v>
      </c>
      <c r="N691">
        <v>8052846712</v>
      </c>
      <c r="O691">
        <v>7260389897</v>
      </c>
      <c r="P691">
        <v>548</v>
      </c>
      <c r="Q691" t="s">
        <v>1609</v>
      </c>
    </row>
    <row r="692" spans="1:17" x14ac:dyDescent="0.3">
      <c r="A692" t="s">
        <v>17</v>
      </c>
      <c r="B692" t="str">
        <f>"600796"</f>
        <v>600796</v>
      </c>
      <c r="C692" t="s">
        <v>1610</v>
      </c>
      <c r="D692" t="s">
        <v>853</v>
      </c>
      <c r="F692">
        <v>795361158</v>
      </c>
      <c r="G692">
        <v>47813236</v>
      </c>
      <c r="H692">
        <v>50151130</v>
      </c>
      <c r="I692">
        <v>58115215</v>
      </c>
      <c r="J692">
        <v>65993196</v>
      </c>
      <c r="K692">
        <v>64742594</v>
      </c>
      <c r="L692">
        <v>62454885</v>
      </c>
      <c r="M692">
        <v>61301566</v>
      </c>
      <c r="N692">
        <v>65294924</v>
      </c>
      <c r="O692">
        <v>67516264</v>
      </c>
      <c r="P692">
        <v>74</v>
      </c>
      <c r="Q692" t="s">
        <v>1611</v>
      </c>
    </row>
    <row r="693" spans="1:17" x14ac:dyDescent="0.3">
      <c r="A693" t="s">
        <v>17</v>
      </c>
      <c r="B693" t="str">
        <f>"600797"</f>
        <v>600797</v>
      </c>
      <c r="C693" t="s">
        <v>1612</v>
      </c>
      <c r="D693" t="s">
        <v>316</v>
      </c>
      <c r="F693">
        <v>867618654</v>
      </c>
      <c r="G693">
        <v>864601028</v>
      </c>
      <c r="H693">
        <v>1041347835</v>
      </c>
      <c r="I693">
        <v>1007697620</v>
      </c>
      <c r="J693">
        <v>970575576</v>
      </c>
      <c r="K693">
        <v>734847227</v>
      </c>
      <c r="L693">
        <v>535772387</v>
      </c>
      <c r="M693">
        <v>891570653</v>
      </c>
      <c r="N693">
        <v>1098870452</v>
      </c>
      <c r="O693">
        <v>1017007794</v>
      </c>
      <c r="P693">
        <v>221</v>
      </c>
      <c r="Q693" t="s">
        <v>1613</v>
      </c>
    </row>
    <row r="694" spans="1:17" x14ac:dyDescent="0.3">
      <c r="A694" t="s">
        <v>17</v>
      </c>
      <c r="B694" t="str">
        <f>"600798"</f>
        <v>600798</v>
      </c>
      <c r="C694" t="s">
        <v>1614</v>
      </c>
      <c r="D694" t="s">
        <v>69</v>
      </c>
      <c r="F694">
        <v>349180572</v>
      </c>
      <c r="G694">
        <v>444726000</v>
      </c>
      <c r="H694">
        <v>313359146</v>
      </c>
      <c r="I694">
        <v>333284518</v>
      </c>
      <c r="J694">
        <v>136359193</v>
      </c>
      <c r="K694">
        <v>102924440</v>
      </c>
      <c r="L694">
        <v>29860649</v>
      </c>
      <c r="M694">
        <v>75401444</v>
      </c>
      <c r="N694">
        <v>67773895</v>
      </c>
      <c r="O694">
        <v>78538772</v>
      </c>
      <c r="P694">
        <v>142</v>
      </c>
      <c r="Q694" t="s">
        <v>1615</v>
      </c>
    </row>
    <row r="695" spans="1:17" x14ac:dyDescent="0.3">
      <c r="A695" t="s">
        <v>17</v>
      </c>
      <c r="B695" t="str">
        <f>"600800"</f>
        <v>600800</v>
      </c>
      <c r="C695" t="s">
        <v>1616</v>
      </c>
      <c r="D695" t="s">
        <v>1617</v>
      </c>
      <c r="F695">
        <v>55728432</v>
      </c>
      <c r="G695">
        <v>72370898</v>
      </c>
      <c r="H695">
        <v>105800200</v>
      </c>
      <c r="I695">
        <v>129961414</v>
      </c>
      <c r="J695">
        <v>115918062</v>
      </c>
      <c r="K695">
        <v>101228978</v>
      </c>
      <c r="L695">
        <v>91522361</v>
      </c>
      <c r="M695">
        <v>80087251</v>
      </c>
      <c r="N695">
        <v>73147147</v>
      </c>
      <c r="O695">
        <v>79907134</v>
      </c>
      <c r="P695">
        <v>147</v>
      </c>
      <c r="Q695" t="s">
        <v>1618</v>
      </c>
    </row>
    <row r="696" spans="1:17" x14ac:dyDescent="0.3">
      <c r="A696" t="s">
        <v>17</v>
      </c>
      <c r="B696" t="str">
        <f>"600801"</f>
        <v>600801</v>
      </c>
      <c r="C696" t="s">
        <v>1619</v>
      </c>
      <c r="D696" t="s">
        <v>731</v>
      </c>
      <c r="F696">
        <v>956580152</v>
      </c>
      <c r="G696">
        <v>653219779</v>
      </c>
      <c r="H696">
        <v>561894121</v>
      </c>
      <c r="I696">
        <v>524536351</v>
      </c>
      <c r="J696">
        <v>642210893</v>
      </c>
      <c r="K696">
        <v>502371725</v>
      </c>
      <c r="L696">
        <v>688713503</v>
      </c>
      <c r="M696">
        <v>809276427</v>
      </c>
      <c r="N696">
        <v>908075282</v>
      </c>
      <c r="O696">
        <v>804514901</v>
      </c>
      <c r="P696">
        <v>1595</v>
      </c>
      <c r="Q696" t="s">
        <v>1620</v>
      </c>
    </row>
    <row r="697" spans="1:17" x14ac:dyDescent="0.3">
      <c r="A697" t="s">
        <v>17</v>
      </c>
      <c r="B697" t="str">
        <f>"600802"</f>
        <v>600802</v>
      </c>
      <c r="C697" t="s">
        <v>1621</v>
      </c>
      <c r="D697" t="s">
        <v>731</v>
      </c>
      <c r="F697">
        <v>262859</v>
      </c>
      <c r="G697">
        <v>385457</v>
      </c>
      <c r="H697">
        <v>0</v>
      </c>
      <c r="I697">
        <v>154544</v>
      </c>
      <c r="J697">
        <v>2083773</v>
      </c>
      <c r="K697">
        <v>2882821</v>
      </c>
      <c r="L697">
        <v>2570258</v>
      </c>
      <c r="M697">
        <v>7768783</v>
      </c>
      <c r="N697">
        <v>12917732</v>
      </c>
      <c r="O697">
        <v>26081099</v>
      </c>
      <c r="P697">
        <v>248</v>
      </c>
      <c r="Q697" t="s">
        <v>1622</v>
      </c>
    </row>
    <row r="698" spans="1:17" x14ac:dyDescent="0.3">
      <c r="A698" t="s">
        <v>17</v>
      </c>
      <c r="B698" t="str">
        <f>"600803"</f>
        <v>600803</v>
      </c>
      <c r="C698" t="s">
        <v>1623</v>
      </c>
      <c r="D698" t="s">
        <v>749</v>
      </c>
      <c r="F698">
        <v>6698020000</v>
      </c>
      <c r="G698">
        <v>3805910000</v>
      </c>
      <c r="H698">
        <v>1544972546</v>
      </c>
      <c r="I698">
        <v>1637904822</v>
      </c>
      <c r="J698">
        <v>1117124363</v>
      </c>
      <c r="K698">
        <v>953535411</v>
      </c>
      <c r="L698">
        <v>851024184</v>
      </c>
      <c r="M698">
        <v>126909795</v>
      </c>
      <c r="N698">
        <v>115277521</v>
      </c>
      <c r="O698">
        <v>145387253</v>
      </c>
      <c r="P698">
        <v>577</v>
      </c>
      <c r="Q698" t="s">
        <v>1624</v>
      </c>
    </row>
    <row r="699" spans="1:17" x14ac:dyDescent="0.3">
      <c r="A699" t="s">
        <v>17</v>
      </c>
      <c r="B699" t="str">
        <f>"600804"</f>
        <v>600804</v>
      </c>
      <c r="C699" t="s">
        <v>1625</v>
      </c>
      <c r="D699" t="s">
        <v>107</v>
      </c>
      <c r="F699">
        <v>311693399</v>
      </c>
      <c r="G699">
        <v>431250225</v>
      </c>
      <c r="H699">
        <v>434575949</v>
      </c>
      <c r="I699">
        <v>328563163</v>
      </c>
      <c r="J699">
        <v>333503907</v>
      </c>
      <c r="K699">
        <v>290733813</v>
      </c>
      <c r="L699">
        <v>230443099</v>
      </c>
      <c r="M699">
        <v>274603724</v>
      </c>
      <c r="N699">
        <v>464567485</v>
      </c>
      <c r="O699">
        <v>455070391</v>
      </c>
      <c r="P699">
        <v>460</v>
      </c>
      <c r="Q699" t="s">
        <v>1626</v>
      </c>
    </row>
    <row r="700" spans="1:17" x14ac:dyDescent="0.3">
      <c r="A700" t="s">
        <v>17</v>
      </c>
      <c r="B700" t="str">
        <f>"600805"</f>
        <v>600805</v>
      </c>
      <c r="C700" t="s">
        <v>1627</v>
      </c>
      <c r="D700" t="s">
        <v>110</v>
      </c>
      <c r="F700">
        <v>352459259</v>
      </c>
      <c r="G700">
        <v>502708543</v>
      </c>
      <c r="H700">
        <v>310071607</v>
      </c>
      <c r="I700">
        <v>246602818</v>
      </c>
      <c r="J700">
        <v>194175779</v>
      </c>
      <c r="K700">
        <v>90534312</v>
      </c>
      <c r="L700">
        <v>107788178</v>
      </c>
      <c r="M700">
        <v>127028728</v>
      </c>
      <c r="N700">
        <v>74099015</v>
      </c>
      <c r="O700">
        <v>73660874</v>
      </c>
      <c r="P700">
        <v>106</v>
      </c>
      <c r="Q700" t="s">
        <v>1628</v>
      </c>
    </row>
    <row r="701" spans="1:17" x14ac:dyDescent="0.3">
      <c r="A701" t="s">
        <v>17</v>
      </c>
      <c r="B701" t="str">
        <f>"600806"</f>
        <v>600806</v>
      </c>
      <c r="C701" t="s">
        <v>1629</v>
      </c>
      <c r="J701">
        <v>254544796</v>
      </c>
      <c r="K701">
        <v>265554474</v>
      </c>
      <c r="L701">
        <v>228937313.31</v>
      </c>
      <c r="M701">
        <v>573067324.64999998</v>
      </c>
      <c r="N701">
        <v>421649692.08999997</v>
      </c>
      <c r="O701">
        <v>296885249.94999999</v>
      </c>
      <c r="P701">
        <v>11</v>
      </c>
      <c r="Q701" t="s">
        <v>1630</v>
      </c>
    </row>
    <row r="702" spans="1:17" x14ac:dyDescent="0.3">
      <c r="A702" t="s">
        <v>17</v>
      </c>
      <c r="B702" t="str">
        <f>"600807"</f>
        <v>600807</v>
      </c>
      <c r="C702" t="s">
        <v>1631</v>
      </c>
      <c r="D702" t="s">
        <v>104</v>
      </c>
      <c r="F702">
        <v>596482713</v>
      </c>
      <c r="G702">
        <v>546672659</v>
      </c>
      <c r="H702">
        <v>86550982</v>
      </c>
      <c r="I702">
        <v>1387761612</v>
      </c>
      <c r="J702">
        <v>3334949970</v>
      </c>
      <c r="K702">
        <v>859222698</v>
      </c>
      <c r="L702">
        <v>67884893</v>
      </c>
      <c r="M702">
        <v>5959553</v>
      </c>
      <c r="N702">
        <v>384394</v>
      </c>
      <c r="O702">
        <v>385276</v>
      </c>
      <c r="P702">
        <v>111</v>
      </c>
      <c r="Q702" t="s">
        <v>1632</v>
      </c>
    </row>
    <row r="703" spans="1:17" x14ac:dyDescent="0.3">
      <c r="A703" t="s">
        <v>17</v>
      </c>
      <c r="B703" t="str">
        <f>"600808"</f>
        <v>600808</v>
      </c>
      <c r="C703" t="s">
        <v>1633</v>
      </c>
      <c r="D703" t="s">
        <v>38</v>
      </c>
      <c r="F703">
        <v>1107071353</v>
      </c>
      <c r="G703">
        <v>1043606041</v>
      </c>
      <c r="H703">
        <v>1092930122</v>
      </c>
      <c r="I703">
        <v>1121768976</v>
      </c>
      <c r="J703">
        <v>966447592</v>
      </c>
      <c r="K703">
        <v>859929107</v>
      </c>
      <c r="L703">
        <v>796986661</v>
      </c>
      <c r="M703">
        <v>856559860</v>
      </c>
      <c r="N703">
        <v>800946475</v>
      </c>
      <c r="O703">
        <v>1411927109</v>
      </c>
      <c r="P703">
        <v>636</v>
      </c>
      <c r="Q703" t="s">
        <v>1634</v>
      </c>
    </row>
    <row r="704" spans="1:17" x14ac:dyDescent="0.3">
      <c r="A704" t="s">
        <v>17</v>
      </c>
      <c r="B704" t="str">
        <f>"600809"</f>
        <v>600809</v>
      </c>
      <c r="C704" t="s">
        <v>1635</v>
      </c>
      <c r="D704" t="s">
        <v>458</v>
      </c>
      <c r="F704">
        <v>1253667</v>
      </c>
      <c r="G704">
        <v>1682997</v>
      </c>
      <c r="H704">
        <v>6234063</v>
      </c>
      <c r="I704">
        <v>10802751</v>
      </c>
      <c r="J704">
        <v>11820055</v>
      </c>
      <c r="K704">
        <v>61613341</v>
      </c>
      <c r="L704">
        <v>10915604</v>
      </c>
      <c r="M704">
        <v>1444156</v>
      </c>
      <c r="N704">
        <v>1012046</v>
      </c>
      <c r="O704">
        <v>18879203</v>
      </c>
      <c r="P704">
        <v>3742</v>
      </c>
      <c r="Q704" t="s">
        <v>1636</v>
      </c>
    </row>
    <row r="705" spans="1:17" x14ac:dyDescent="0.3">
      <c r="A705" t="s">
        <v>17</v>
      </c>
      <c r="B705" t="str">
        <f>"600810"</f>
        <v>600810</v>
      </c>
      <c r="C705" t="s">
        <v>1637</v>
      </c>
      <c r="D705" t="s">
        <v>1638</v>
      </c>
      <c r="F705">
        <v>1066118171</v>
      </c>
      <c r="G705">
        <v>975855372</v>
      </c>
      <c r="H705">
        <v>876974990</v>
      </c>
      <c r="I705">
        <v>1227087607</v>
      </c>
      <c r="J705">
        <v>956650272</v>
      </c>
      <c r="K705">
        <v>819019508</v>
      </c>
      <c r="L705">
        <v>589009004</v>
      </c>
      <c r="M705">
        <v>691807475</v>
      </c>
      <c r="N705">
        <v>597164299</v>
      </c>
      <c r="O705">
        <v>551191460</v>
      </c>
      <c r="P705">
        <v>354</v>
      </c>
      <c r="Q705" t="s">
        <v>1639</v>
      </c>
    </row>
    <row r="706" spans="1:17" x14ac:dyDescent="0.3">
      <c r="A706" t="s">
        <v>17</v>
      </c>
      <c r="B706" t="str">
        <f>"600811"</f>
        <v>600811</v>
      </c>
      <c r="C706" t="s">
        <v>1640</v>
      </c>
      <c r="D706" t="s">
        <v>110</v>
      </c>
      <c r="F706">
        <v>240590038</v>
      </c>
      <c r="G706">
        <v>279643907</v>
      </c>
      <c r="H706">
        <v>224267870</v>
      </c>
      <c r="I706">
        <v>2826564238</v>
      </c>
      <c r="J706">
        <v>93187575</v>
      </c>
      <c r="K706">
        <v>42220229</v>
      </c>
      <c r="L706">
        <v>75829160</v>
      </c>
      <c r="M706">
        <v>231976028</v>
      </c>
      <c r="N706">
        <v>156764288</v>
      </c>
      <c r="O706">
        <v>233465557</v>
      </c>
      <c r="P706">
        <v>205</v>
      </c>
      <c r="Q706" t="s">
        <v>1641</v>
      </c>
    </row>
    <row r="707" spans="1:17" x14ac:dyDescent="0.3">
      <c r="A707" t="s">
        <v>17</v>
      </c>
      <c r="B707" t="str">
        <f>"600812"</f>
        <v>600812</v>
      </c>
      <c r="C707" t="s">
        <v>1642</v>
      </c>
      <c r="D707" t="s">
        <v>143</v>
      </c>
      <c r="F707">
        <v>1958742520</v>
      </c>
      <c r="G707">
        <v>1734216115</v>
      </c>
      <c r="H707">
        <v>1480057206</v>
      </c>
      <c r="I707">
        <v>1200025221</v>
      </c>
      <c r="J707">
        <v>1238333556</v>
      </c>
      <c r="K707">
        <v>1304458007</v>
      </c>
      <c r="L707">
        <v>1246937905</v>
      </c>
      <c r="M707">
        <v>1416439931</v>
      </c>
      <c r="N707">
        <v>1798083942</v>
      </c>
      <c r="O707">
        <v>1263528716</v>
      </c>
      <c r="P707">
        <v>226</v>
      </c>
      <c r="Q707" t="s">
        <v>1643</v>
      </c>
    </row>
    <row r="708" spans="1:17" x14ac:dyDescent="0.3">
      <c r="A708" t="s">
        <v>17</v>
      </c>
      <c r="B708" t="str">
        <f>"600813"</f>
        <v>600813</v>
      </c>
      <c r="C708" t="s">
        <v>1644</v>
      </c>
      <c r="K708">
        <v>15267925</v>
      </c>
      <c r="L708">
        <v>22800000</v>
      </c>
      <c r="M708">
        <v>0</v>
      </c>
      <c r="N708">
        <v>3260452.61</v>
      </c>
      <c r="O708">
        <v>4670269.45</v>
      </c>
      <c r="P708">
        <v>2</v>
      </c>
      <c r="Q708" t="s">
        <v>1645</v>
      </c>
    </row>
    <row r="709" spans="1:17" x14ac:dyDescent="0.3">
      <c r="A709" t="s">
        <v>17</v>
      </c>
      <c r="B709" t="str">
        <f>"600814"</f>
        <v>600814</v>
      </c>
      <c r="C709" t="s">
        <v>1646</v>
      </c>
      <c r="D709" t="s">
        <v>633</v>
      </c>
      <c r="F709">
        <v>65282035</v>
      </c>
      <c r="G709">
        <v>52839108</v>
      </c>
      <c r="H709">
        <v>57509051</v>
      </c>
      <c r="I709">
        <v>50628635</v>
      </c>
      <c r="J709">
        <v>28982721</v>
      </c>
      <c r="K709">
        <v>46754725</v>
      </c>
      <c r="L709">
        <v>33899736</v>
      </c>
      <c r="M709">
        <v>33251954</v>
      </c>
      <c r="N709">
        <v>30378808</v>
      </c>
      <c r="O709">
        <v>28016077</v>
      </c>
      <c r="P709">
        <v>150</v>
      </c>
      <c r="Q709" t="s">
        <v>1647</v>
      </c>
    </row>
    <row r="710" spans="1:17" x14ac:dyDescent="0.3">
      <c r="A710" t="s">
        <v>17</v>
      </c>
      <c r="B710" t="str">
        <f>"600815"</f>
        <v>600815</v>
      </c>
      <c r="C710" t="s">
        <v>1648</v>
      </c>
      <c r="D710" t="s">
        <v>83</v>
      </c>
      <c r="F710">
        <v>562279047</v>
      </c>
      <c r="G710">
        <v>704222808</v>
      </c>
      <c r="H710">
        <v>579388255</v>
      </c>
      <c r="I710">
        <v>1750165040</v>
      </c>
      <c r="J710">
        <v>2164459270</v>
      </c>
      <c r="K710">
        <v>2435904047</v>
      </c>
      <c r="L710">
        <v>4022906004</v>
      </c>
      <c r="M710">
        <v>4322971832</v>
      </c>
      <c r="N710">
        <v>4419528724</v>
      </c>
      <c r="O710">
        <v>4142795758</v>
      </c>
      <c r="P710">
        <v>67</v>
      </c>
      <c r="Q710" t="s">
        <v>1649</v>
      </c>
    </row>
    <row r="711" spans="1:17" x14ac:dyDescent="0.3">
      <c r="A711" t="s">
        <v>17</v>
      </c>
      <c r="B711" t="str">
        <f>"600816"</f>
        <v>600816</v>
      </c>
      <c r="C711" t="s">
        <v>1650</v>
      </c>
      <c r="D711" t="s">
        <v>1651</v>
      </c>
      <c r="F711">
        <v>80315288</v>
      </c>
      <c r="G711">
        <v>87106868</v>
      </c>
      <c r="H711">
        <v>75685409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6688</v>
      </c>
      <c r="Q711" t="s">
        <v>1652</v>
      </c>
    </row>
    <row r="712" spans="1:17" x14ac:dyDescent="0.3">
      <c r="A712" t="s">
        <v>17</v>
      </c>
      <c r="B712" t="str">
        <f>"600817"</f>
        <v>600817</v>
      </c>
      <c r="C712" t="s">
        <v>1653</v>
      </c>
      <c r="D712" t="s">
        <v>83</v>
      </c>
      <c r="F712">
        <v>713339054</v>
      </c>
      <c r="G712">
        <v>461043215</v>
      </c>
      <c r="H712">
        <v>12639734</v>
      </c>
      <c r="I712">
        <v>39937632</v>
      </c>
      <c r="J712">
        <v>0</v>
      </c>
      <c r="K712">
        <v>0</v>
      </c>
      <c r="L712">
        <v>0</v>
      </c>
      <c r="M712">
        <v>0</v>
      </c>
      <c r="N712">
        <v>504736</v>
      </c>
      <c r="O712">
        <v>2932507</v>
      </c>
      <c r="P712">
        <v>102</v>
      </c>
      <c r="Q712" t="s">
        <v>1654</v>
      </c>
    </row>
    <row r="713" spans="1:17" x14ac:dyDescent="0.3">
      <c r="A713" t="s">
        <v>17</v>
      </c>
      <c r="B713" t="str">
        <f>"600818"</f>
        <v>600818</v>
      </c>
      <c r="C713" t="s">
        <v>1655</v>
      </c>
      <c r="D713" t="s">
        <v>1656</v>
      </c>
      <c r="F713">
        <v>30623038</v>
      </c>
      <c r="G713">
        <v>11837483</v>
      </c>
      <c r="H713">
        <v>15106844</v>
      </c>
      <c r="I713">
        <v>0</v>
      </c>
      <c r="J713">
        <v>51585346</v>
      </c>
      <c r="K713">
        <v>52036218</v>
      </c>
      <c r="L713">
        <v>67599498</v>
      </c>
      <c r="M713">
        <v>46290464</v>
      </c>
      <c r="N713">
        <v>36133585</v>
      </c>
      <c r="O713">
        <v>35588256</v>
      </c>
      <c r="P713">
        <v>82</v>
      </c>
      <c r="Q713" t="s">
        <v>1657</v>
      </c>
    </row>
    <row r="714" spans="1:17" x14ac:dyDescent="0.3">
      <c r="A714" t="s">
        <v>17</v>
      </c>
      <c r="B714" t="str">
        <f>"600819"</f>
        <v>600819</v>
      </c>
      <c r="C714" t="s">
        <v>1658</v>
      </c>
      <c r="D714" t="s">
        <v>666</v>
      </c>
      <c r="F714">
        <v>596842073</v>
      </c>
      <c r="G714">
        <v>481302425</v>
      </c>
      <c r="H714">
        <v>452036770</v>
      </c>
      <c r="I714">
        <v>469932717</v>
      </c>
      <c r="J714">
        <v>454098937</v>
      </c>
      <c r="K714">
        <v>463880825</v>
      </c>
      <c r="L714">
        <v>485858471</v>
      </c>
      <c r="M714">
        <v>484984106</v>
      </c>
      <c r="N714">
        <v>358499219</v>
      </c>
      <c r="O714">
        <v>331945509</v>
      </c>
      <c r="P714">
        <v>94</v>
      </c>
      <c r="Q714" t="s">
        <v>1659</v>
      </c>
    </row>
    <row r="715" spans="1:17" x14ac:dyDescent="0.3">
      <c r="A715" t="s">
        <v>17</v>
      </c>
      <c r="B715" t="str">
        <f>"600820"</f>
        <v>600820</v>
      </c>
      <c r="C715" t="s">
        <v>1660</v>
      </c>
      <c r="D715" t="s">
        <v>101</v>
      </c>
      <c r="F715">
        <v>20785838052</v>
      </c>
      <c r="G715">
        <v>16090715096</v>
      </c>
      <c r="H715">
        <v>15330982452</v>
      </c>
      <c r="I715">
        <v>15037592507</v>
      </c>
      <c r="J715">
        <v>14056023794</v>
      </c>
      <c r="K715">
        <v>14128973028</v>
      </c>
      <c r="L715">
        <v>13191170894</v>
      </c>
      <c r="M715">
        <v>13125658656</v>
      </c>
      <c r="N715">
        <v>10975592590</v>
      </c>
      <c r="O715">
        <v>8784408818</v>
      </c>
      <c r="P715">
        <v>685</v>
      </c>
      <c r="Q715" t="s">
        <v>1661</v>
      </c>
    </row>
    <row r="716" spans="1:17" x14ac:dyDescent="0.3">
      <c r="A716" t="s">
        <v>17</v>
      </c>
      <c r="B716" t="str">
        <f>"600821"</f>
        <v>600821</v>
      </c>
      <c r="C716" t="s">
        <v>1662</v>
      </c>
      <c r="D716" t="s">
        <v>633</v>
      </c>
      <c r="F716">
        <v>3751971575</v>
      </c>
      <c r="G716">
        <v>2216787946</v>
      </c>
      <c r="H716">
        <v>0</v>
      </c>
      <c r="I716">
        <v>0</v>
      </c>
      <c r="J716">
        <v>64895</v>
      </c>
      <c r="K716">
        <v>116430</v>
      </c>
      <c r="L716">
        <v>580962</v>
      </c>
      <c r="M716">
        <v>1142068</v>
      </c>
      <c r="N716">
        <v>1573405</v>
      </c>
      <c r="O716">
        <v>1952772</v>
      </c>
      <c r="P716">
        <v>125</v>
      </c>
      <c r="Q716" t="s">
        <v>1663</v>
      </c>
    </row>
    <row r="717" spans="1:17" x14ac:dyDescent="0.3">
      <c r="A717" t="s">
        <v>17</v>
      </c>
      <c r="B717" t="str">
        <f>"600822"</f>
        <v>600822</v>
      </c>
      <c r="C717" t="s">
        <v>1664</v>
      </c>
      <c r="D717" t="s">
        <v>672</v>
      </c>
      <c r="F717">
        <v>33738566</v>
      </c>
      <c r="G717">
        <v>39964023</v>
      </c>
      <c r="H717">
        <v>42188571</v>
      </c>
      <c r="I717">
        <v>102863477</v>
      </c>
      <c r="J717">
        <v>49380908</v>
      </c>
      <c r="K717">
        <v>100178632</v>
      </c>
      <c r="L717">
        <v>121283749</v>
      </c>
      <c r="M717">
        <v>344912574</v>
      </c>
      <c r="N717">
        <v>411120014</v>
      </c>
      <c r="O717">
        <v>1286117860</v>
      </c>
      <c r="P717">
        <v>75</v>
      </c>
      <c r="Q717" t="s">
        <v>1665</v>
      </c>
    </row>
    <row r="718" spans="1:17" x14ac:dyDescent="0.3">
      <c r="A718" t="s">
        <v>17</v>
      </c>
      <c r="B718" t="str">
        <f>"600823"</f>
        <v>600823</v>
      </c>
      <c r="C718" t="s">
        <v>1666</v>
      </c>
      <c r="D718" t="s">
        <v>104</v>
      </c>
      <c r="F718">
        <v>2175347568</v>
      </c>
      <c r="G718">
        <v>4022426084</v>
      </c>
      <c r="H718">
        <v>2719782999</v>
      </c>
      <c r="I718">
        <v>2762131213</v>
      </c>
      <c r="J718">
        <v>1397224646</v>
      </c>
      <c r="K718">
        <v>1428999435</v>
      </c>
      <c r="L718">
        <v>1645830345</v>
      </c>
      <c r="M718">
        <v>1082705971</v>
      </c>
      <c r="N718">
        <v>729064883</v>
      </c>
      <c r="O718">
        <v>436329053</v>
      </c>
      <c r="P718">
        <v>1056</v>
      </c>
      <c r="Q718" t="s">
        <v>1667</v>
      </c>
    </row>
    <row r="719" spans="1:17" x14ac:dyDescent="0.3">
      <c r="A719" t="s">
        <v>17</v>
      </c>
      <c r="B719" t="str">
        <f>"600824"</f>
        <v>600824</v>
      </c>
      <c r="C719" t="s">
        <v>1668</v>
      </c>
      <c r="D719" t="s">
        <v>1404</v>
      </c>
      <c r="F719">
        <v>39313143</v>
      </c>
      <c r="G719">
        <v>48054789</v>
      </c>
      <c r="H719">
        <v>77871199</v>
      </c>
      <c r="I719">
        <v>78953111</v>
      </c>
      <c r="J719">
        <v>69980626</v>
      </c>
      <c r="K719">
        <v>66943015</v>
      </c>
      <c r="L719">
        <v>64415088</v>
      </c>
      <c r="M719">
        <v>89138333</v>
      </c>
      <c r="N719">
        <v>62951088</v>
      </c>
      <c r="O719">
        <v>34877889</v>
      </c>
      <c r="P719">
        <v>81</v>
      </c>
      <c r="Q719" t="s">
        <v>1669</v>
      </c>
    </row>
    <row r="720" spans="1:17" x14ac:dyDescent="0.3">
      <c r="A720" t="s">
        <v>17</v>
      </c>
      <c r="B720" t="str">
        <f>"600825"</f>
        <v>600825</v>
      </c>
      <c r="C720" t="s">
        <v>1670</v>
      </c>
      <c r="D720" t="s">
        <v>525</v>
      </c>
      <c r="F720">
        <v>26338628</v>
      </c>
      <c r="G720">
        <v>50290100</v>
      </c>
      <c r="H720">
        <v>46446333</v>
      </c>
      <c r="I720">
        <v>46790218</v>
      </c>
      <c r="J720">
        <v>40771180</v>
      </c>
      <c r="K720">
        <v>71065105</v>
      </c>
      <c r="L720">
        <v>112419250</v>
      </c>
      <c r="M720">
        <v>147872194</v>
      </c>
      <c r="N720">
        <v>220676437</v>
      </c>
      <c r="O720">
        <v>241672809</v>
      </c>
      <c r="P720">
        <v>84</v>
      </c>
      <c r="Q720" t="s">
        <v>1671</v>
      </c>
    </row>
    <row r="721" spans="1:17" x14ac:dyDescent="0.3">
      <c r="A721" t="s">
        <v>17</v>
      </c>
      <c r="B721" t="str">
        <f>"600826"</f>
        <v>600826</v>
      </c>
      <c r="C721" t="s">
        <v>1672</v>
      </c>
      <c r="D721" t="s">
        <v>1673</v>
      </c>
      <c r="F721">
        <v>88379819</v>
      </c>
      <c r="G721">
        <v>101292285</v>
      </c>
      <c r="H721">
        <v>107949596</v>
      </c>
      <c r="I721">
        <v>143801696</v>
      </c>
      <c r="J721">
        <v>145610330</v>
      </c>
      <c r="K721">
        <v>137569019</v>
      </c>
      <c r="L721">
        <v>114340094</v>
      </c>
      <c r="M721">
        <v>61106898</v>
      </c>
      <c r="N721">
        <v>34014454</v>
      </c>
      <c r="O721">
        <v>9785117</v>
      </c>
      <c r="P721">
        <v>145</v>
      </c>
      <c r="Q721" t="s">
        <v>1674</v>
      </c>
    </row>
    <row r="722" spans="1:17" x14ac:dyDescent="0.3">
      <c r="A722" t="s">
        <v>17</v>
      </c>
      <c r="B722" t="str">
        <f>"600827"</f>
        <v>600827</v>
      </c>
      <c r="C722" t="s">
        <v>1276</v>
      </c>
      <c r="D722" t="s">
        <v>1404</v>
      </c>
      <c r="F722">
        <v>770519750</v>
      </c>
      <c r="G722">
        <v>856946493</v>
      </c>
      <c r="H722">
        <v>792886642</v>
      </c>
      <c r="I722">
        <v>753017690</v>
      </c>
      <c r="J722">
        <v>559641517</v>
      </c>
      <c r="K722">
        <v>395344233</v>
      </c>
      <c r="L722">
        <v>351052142</v>
      </c>
      <c r="M722">
        <v>388442165</v>
      </c>
      <c r="N722">
        <v>241601475</v>
      </c>
      <c r="O722">
        <v>234356428</v>
      </c>
      <c r="P722">
        <v>274</v>
      </c>
      <c r="Q722" t="s">
        <v>1675</v>
      </c>
    </row>
    <row r="723" spans="1:17" x14ac:dyDescent="0.3">
      <c r="A723" t="s">
        <v>17</v>
      </c>
      <c r="B723" t="str">
        <f>"600828"</f>
        <v>600828</v>
      </c>
      <c r="C723" t="s">
        <v>1676</v>
      </c>
      <c r="D723" t="s">
        <v>633</v>
      </c>
      <c r="F723">
        <v>52882629</v>
      </c>
      <c r="G723">
        <v>67860947</v>
      </c>
      <c r="H723">
        <v>55185283</v>
      </c>
      <c r="I723">
        <v>114825605</v>
      </c>
      <c r="J723">
        <v>106023779</v>
      </c>
      <c r="K723">
        <v>84698377</v>
      </c>
      <c r="L723">
        <v>11512433</v>
      </c>
      <c r="M723">
        <v>12168131</v>
      </c>
      <c r="N723">
        <v>11180634</v>
      </c>
      <c r="O723">
        <v>11132424</v>
      </c>
      <c r="P723">
        <v>628</v>
      </c>
      <c r="Q723" t="s">
        <v>1677</v>
      </c>
    </row>
    <row r="724" spans="1:17" x14ac:dyDescent="0.3">
      <c r="A724" t="s">
        <v>17</v>
      </c>
      <c r="B724" t="str">
        <f>"600829"</f>
        <v>600829</v>
      </c>
      <c r="C724" t="s">
        <v>1678</v>
      </c>
      <c r="D724" t="s">
        <v>125</v>
      </c>
      <c r="F724">
        <v>3852043407</v>
      </c>
      <c r="G724">
        <v>3459787903</v>
      </c>
      <c r="H724">
        <v>3194945163</v>
      </c>
      <c r="I724">
        <v>2373417757</v>
      </c>
      <c r="J724">
        <v>2731457207</v>
      </c>
      <c r="K724">
        <v>2707111900</v>
      </c>
      <c r="L724">
        <v>2002155821</v>
      </c>
      <c r="M724">
        <v>373397137</v>
      </c>
      <c r="N724">
        <v>423575570</v>
      </c>
      <c r="O724">
        <v>478214591</v>
      </c>
      <c r="P724">
        <v>1902</v>
      </c>
      <c r="Q724" t="s">
        <v>1679</v>
      </c>
    </row>
    <row r="725" spans="1:17" x14ac:dyDescent="0.3">
      <c r="A725" t="s">
        <v>17</v>
      </c>
      <c r="B725" t="str">
        <f>"600830"</f>
        <v>600830</v>
      </c>
      <c r="C725" t="s">
        <v>1680</v>
      </c>
      <c r="D725" t="s">
        <v>140</v>
      </c>
      <c r="F725">
        <v>6820217</v>
      </c>
      <c r="G725">
        <v>19129164</v>
      </c>
      <c r="H725">
        <v>41004154</v>
      </c>
      <c r="I725">
        <v>44823433</v>
      </c>
      <c r="J725">
        <v>118794236</v>
      </c>
      <c r="K725">
        <v>176549148</v>
      </c>
      <c r="L725">
        <v>65266763</v>
      </c>
      <c r="M725">
        <v>34003237</v>
      </c>
      <c r="N725">
        <v>42626256</v>
      </c>
      <c r="O725">
        <v>23185078</v>
      </c>
      <c r="P725">
        <v>73</v>
      </c>
      <c r="Q725" t="s">
        <v>1681</v>
      </c>
    </row>
    <row r="726" spans="1:17" x14ac:dyDescent="0.3">
      <c r="A726" t="s">
        <v>17</v>
      </c>
      <c r="B726" t="str">
        <f>"600831"</f>
        <v>600831</v>
      </c>
      <c r="C726" t="s">
        <v>1682</v>
      </c>
      <c r="D726" t="s">
        <v>95</v>
      </c>
      <c r="F726">
        <v>1582057790</v>
      </c>
      <c r="G726">
        <v>890456733</v>
      </c>
      <c r="H726">
        <v>959330461</v>
      </c>
      <c r="I726">
        <v>767003988</v>
      </c>
      <c r="J726">
        <v>414096155</v>
      </c>
      <c r="K726">
        <v>248402265</v>
      </c>
      <c r="L726">
        <v>119163300</v>
      </c>
      <c r="M726">
        <v>101767078</v>
      </c>
      <c r="N726">
        <v>60261741</v>
      </c>
      <c r="O726">
        <v>36707351</v>
      </c>
      <c r="P726">
        <v>199</v>
      </c>
      <c r="Q726" t="s">
        <v>1683</v>
      </c>
    </row>
    <row r="727" spans="1:17" x14ac:dyDescent="0.3">
      <c r="A727" t="s">
        <v>17</v>
      </c>
      <c r="B727" t="str">
        <f>"600832"</f>
        <v>600832</v>
      </c>
      <c r="C727" t="s">
        <v>1287</v>
      </c>
      <c r="M727">
        <v>522553947.25</v>
      </c>
      <c r="N727">
        <v>291025607.10000002</v>
      </c>
      <c r="O727">
        <v>60428667.93</v>
      </c>
      <c r="P727">
        <v>15</v>
      </c>
      <c r="Q727" t="s">
        <v>1684</v>
      </c>
    </row>
    <row r="728" spans="1:17" x14ac:dyDescent="0.3">
      <c r="A728" t="s">
        <v>17</v>
      </c>
      <c r="B728" t="str">
        <f>"600833"</f>
        <v>600833</v>
      </c>
      <c r="C728" t="s">
        <v>1685</v>
      </c>
      <c r="D728" t="s">
        <v>1686</v>
      </c>
      <c r="F728">
        <v>133558538</v>
      </c>
      <c r="G728">
        <v>130819746</v>
      </c>
      <c r="H728">
        <v>116978047</v>
      </c>
      <c r="I728">
        <v>111946352</v>
      </c>
      <c r="J728">
        <v>147619340</v>
      </c>
      <c r="K728">
        <v>125991001</v>
      </c>
      <c r="L728">
        <v>128084576</v>
      </c>
      <c r="M728">
        <v>131415699</v>
      </c>
      <c r="N728">
        <v>127346748</v>
      </c>
      <c r="O728">
        <v>106583113</v>
      </c>
      <c r="P728">
        <v>108</v>
      </c>
      <c r="Q728" t="s">
        <v>1687</v>
      </c>
    </row>
    <row r="729" spans="1:17" x14ac:dyDescent="0.3">
      <c r="A729" t="s">
        <v>17</v>
      </c>
      <c r="B729" t="str">
        <f>"600834"</f>
        <v>600834</v>
      </c>
      <c r="C729" t="s">
        <v>1688</v>
      </c>
      <c r="D729" t="s">
        <v>1133</v>
      </c>
      <c r="F729">
        <v>9609620</v>
      </c>
      <c r="G729">
        <v>1341247</v>
      </c>
      <c r="H729">
        <v>47781632</v>
      </c>
      <c r="I729">
        <v>8740758</v>
      </c>
      <c r="J729">
        <v>5879696</v>
      </c>
      <c r="K729">
        <v>6022754</v>
      </c>
      <c r="L729">
        <v>4318813</v>
      </c>
      <c r="M729">
        <v>2766799</v>
      </c>
      <c r="N729">
        <v>4463887</v>
      </c>
      <c r="O729">
        <v>3895577</v>
      </c>
      <c r="P729">
        <v>120</v>
      </c>
      <c r="Q729" t="s">
        <v>1689</v>
      </c>
    </row>
    <row r="730" spans="1:17" x14ac:dyDescent="0.3">
      <c r="A730" t="s">
        <v>17</v>
      </c>
      <c r="B730" t="str">
        <f>"600835"</f>
        <v>600835</v>
      </c>
      <c r="C730" t="s">
        <v>1690</v>
      </c>
      <c r="D730" t="s">
        <v>1691</v>
      </c>
      <c r="F730">
        <v>3833034674</v>
      </c>
      <c r="G730">
        <v>3075909780</v>
      </c>
      <c r="H730">
        <v>2289055966</v>
      </c>
      <c r="I730">
        <v>2278680400</v>
      </c>
      <c r="J730">
        <v>2501182017</v>
      </c>
      <c r="K730">
        <v>2052056991</v>
      </c>
      <c r="L730">
        <v>1972703802</v>
      </c>
      <c r="M730">
        <v>2229729298</v>
      </c>
      <c r="N730">
        <v>1880312968</v>
      </c>
      <c r="O730">
        <v>2024831933</v>
      </c>
      <c r="P730">
        <v>661</v>
      </c>
      <c r="Q730" t="s">
        <v>1692</v>
      </c>
    </row>
    <row r="731" spans="1:17" x14ac:dyDescent="0.3">
      <c r="A731" t="s">
        <v>17</v>
      </c>
      <c r="B731" t="str">
        <f>"600836"</f>
        <v>600836</v>
      </c>
      <c r="C731" t="s">
        <v>1693</v>
      </c>
      <c r="D731" t="s">
        <v>1694</v>
      </c>
      <c r="F731">
        <v>136323603</v>
      </c>
      <c r="G731">
        <v>203990704</v>
      </c>
      <c r="H731">
        <v>183140949</v>
      </c>
      <c r="I731">
        <v>211574002</v>
      </c>
      <c r="J731">
        <v>220880770</v>
      </c>
      <c r="K731">
        <v>221313582</v>
      </c>
      <c r="L731">
        <v>263209035</v>
      </c>
      <c r="M731">
        <v>269350818</v>
      </c>
      <c r="N731">
        <v>226768797</v>
      </c>
      <c r="O731">
        <v>252659156</v>
      </c>
      <c r="P731">
        <v>70</v>
      </c>
      <c r="Q731" t="s">
        <v>1695</v>
      </c>
    </row>
    <row r="732" spans="1:17" x14ac:dyDescent="0.3">
      <c r="A732" t="s">
        <v>17</v>
      </c>
      <c r="B732" t="str">
        <f>"600837"</f>
        <v>600837</v>
      </c>
      <c r="C732" t="s">
        <v>1696</v>
      </c>
      <c r="D732" t="s">
        <v>80</v>
      </c>
      <c r="F732">
        <v>11372016262</v>
      </c>
      <c r="G732">
        <v>8410000191</v>
      </c>
      <c r="H732">
        <v>9752377293</v>
      </c>
      <c r="I732">
        <v>8257214481</v>
      </c>
      <c r="J732">
        <v>7441999625</v>
      </c>
      <c r="K732">
        <v>6929537183</v>
      </c>
      <c r="L732">
        <v>0</v>
      </c>
      <c r="M732">
        <v>0</v>
      </c>
      <c r="N732">
        <v>0</v>
      </c>
      <c r="O732">
        <v>0</v>
      </c>
      <c r="P732">
        <v>4976</v>
      </c>
      <c r="Q732" t="s">
        <v>1697</v>
      </c>
    </row>
    <row r="733" spans="1:17" x14ac:dyDescent="0.3">
      <c r="A733" t="s">
        <v>17</v>
      </c>
      <c r="B733" t="str">
        <f>"600838"</f>
        <v>600838</v>
      </c>
      <c r="C733" t="s">
        <v>1698</v>
      </c>
      <c r="D733" t="s">
        <v>1404</v>
      </c>
      <c r="F733">
        <v>9711469</v>
      </c>
      <c r="G733">
        <v>13167667</v>
      </c>
      <c r="H733">
        <v>18221306</v>
      </c>
      <c r="I733">
        <v>18306757</v>
      </c>
      <c r="J733">
        <v>18782003</v>
      </c>
      <c r="K733">
        <v>22717272</v>
      </c>
      <c r="L733">
        <v>23752085</v>
      </c>
      <c r="M733">
        <v>27836398</v>
      </c>
      <c r="N733">
        <v>37460822</v>
      </c>
      <c r="O733">
        <v>33691698</v>
      </c>
      <c r="P733">
        <v>79</v>
      </c>
      <c r="Q733" t="s">
        <v>1699</v>
      </c>
    </row>
    <row r="734" spans="1:17" x14ac:dyDescent="0.3">
      <c r="A734" t="s">
        <v>17</v>
      </c>
      <c r="B734" t="str">
        <f>"600839"</f>
        <v>600839</v>
      </c>
      <c r="C734" t="s">
        <v>1700</v>
      </c>
      <c r="D734" t="s">
        <v>137</v>
      </c>
      <c r="F734">
        <v>9512629584</v>
      </c>
      <c r="G734">
        <v>8655728149</v>
      </c>
      <c r="H734">
        <v>8408298199</v>
      </c>
      <c r="I734">
        <v>8425186244</v>
      </c>
      <c r="J734">
        <v>8073181798</v>
      </c>
      <c r="K734">
        <v>7788563635</v>
      </c>
      <c r="L734">
        <v>8032777171</v>
      </c>
      <c r="M734">
        <v>8474051342</v>
      </c>
      <c r="N734">
        <v>8162357693</v>
      </c>
      <c r="O734">
        <v>6536867133</v>
      </c>
      <c r="P734">
        <v>272</v>
      </c>
      <c r="Q734" t="s">
        <v>1701</v>
      </c>
    </row>
    <row r="735" spans="1:17" x14ac:dyDescent="0.3">
      <c r="A735" t="s">
        <v>17</v>
      </c>
      <c r="B735" t="str">
        <f>"600841"</f>
        <v>600841</v>
      </c>
      <c r="C735" t="s">
        <v>1702</v>
      </c>
      <c r="D735" t="s">
        <v>348</v>
      </c>
      <c r="F735">
        <v>6164430271</v>
      </c>
      <c r="G735">
        <v>245737100</v>
      </c>
      <c r="H735">
        <v>242863824</v>
      </c>
      <c r="I735">
        <v>234205181</v>
      </c>
      <c r="J735">
        <v>253525282</v>
      </c>
      <c r="K735">
        <v>207197864</v>
      </c>
      <c r="L735">
        <v>172420701</v>
      </c>
      <c r="M735">
        <v>163674880</v>
      </c>
      <c r="N735">
        <v>261654383</v>
      </c>
      <c r="O735">
        <v>158012086</v>
      </c>
      <c r="P735">
        <v>88</v>
      </c>
      <c r="Q735" t="s">
        <v>1703</v>
      </c>
    </row>
    <row r="736" spans="1:17" x14ac:dyDescent="0.3">
      <c r="A736" t="s">
        <v>17</v>
      </c>
      <c r="B736" t="str">
        <f>"600843"</f>
        <v>600843</v>
      </c>
      <c r="C736" t="s">
        <v>1704</v>
      </c>
      <c r="D736" t="s">
        <v>534</v>
      </c>
      <c r="F736">
        <v>569138237</v>
      </c>
      <c r="G736">
        <v>547321908</v>
      </c>
      <c r="H736">
        <v>531577946</v>
      </c>
      <c r="I736">
        <v>537219044</v>
      </c>
      <c r="J736">
        <v>464759380</v>
      </c>
      <c r="K736">
        <v>389252679</v>
      </c>
      <c r="L736">
        <v>373164449</v>
      </c>
      <c r="M736">
        <v>251736145</v>
      </c>
      <c r="N736">
        <v>247894529</v>
      </c>
      <c r="O736">
        <v>149571853</v>
      </c>
      <c r="P736">
        <v>78</v>
      </c>
      <c r="Q736" t="s">
        <v>1705</v>
      </c>
    </row>
    <row r="737" spans="1:17" x14ac:dyDescent="0.3">
      <c r="A737" t="s">
        <v>17</v>
      </c>
      <c r="B737" t="str">
        <f>"600844"</f>
        <v>600844</v>
      </c>
      <c r="C737" t="s">
        <v>1706</v>
      </c>
      <c r="D737" t="s">
        <v>914</v>
      </c>
      <c r="F737">
        <v>33484645</v>
      </c>
      <c r="G737">
        <v>97758277</v>
      </c>
      <c r="H737">
        <v>48299892</v>
      </c>
      <c r="I737">
        <v>69337451</v>
      </c>
      <c r="J737">
        <v>12443046</v>
      </c>
      <c r="K737">
        <v>16241294</v>
      </c>
      <c r="L737">
        <v>28123458</v>
      </c>
      <c r="M737">
        <v>8237190</v>
      </c>
      <c r="N737">
        <v>12235456</v>
      </c>
      <c r="O737">
        <v>12809007</v>
      </c>
      <c r="P737">
        <v>106</v>
      </c>
      <c r="Q737" t="s">
        <v>1707</v>
      </c>
    </row>
    <row r="738" spans="1:17" x14ac:dyDescent="0.3">
      <c r="A738" t="s">
        <v>17</v>
      </c>
      <c r="B738" t="str">
        <f>"600845"</f>
        <v>600845</v>
      </c>
      <c r="C738" t="s">
        <v>1708</v>
      </c>
      <c r="D738" t="s">
        <v>316</v>
      </c>
      <c r="F738">
        <v>2389838341</v>
      </c>
      <c r="G738">
        <v>1440769919</v>
      </c>
      <c r="H738">
        <v>2239044750</v>
      </c>
      <c r="I738">
        <v>1707590306</v>
      </c>
      <c r="J738">
        <v>1941931466</v>
      </c>
      <c r="K738">
        <v>2079220432</v>
      </c>
      <c r="L738">
        <v>1959305893</v>
      </c>
      <c r="M738">
        <v>2074945417</v>
      </c>
      <c r="N738">
        <v>1806374591</v>
      </c>
      <c r="O738">
        <v>1470956135</v>
      </c>
      <c r="P738">
        <v>1594</v>
      </c>
      <c r="Q738" t="s">
        <v>1709</v>
      </c>
    </row>
    <row r="739" spans="1:17" x14ac:dyDescent="0.3">
      <c r="A739" t="s">
        <v>17</v>
      </c>
      <c r="B739" t="str">
        <f>"600846"</f>
        <v>600846</v>
      </c>
      <c r="C739" t="s">
        <v>1710</v>
      </c>
      <c r="D739" t="s">
        <v>104</v>
      </c>
      <c r="F739">
        <v>593846544</v>
      </c>
      <c r="G739">
        <v>614605147</v>
      </c>
      <c r="H739">
        <v>862055205</v>
      </c>
      <c r="I739">
        <v>612061349</v>
      </c>
      <c r="J739">
        <v>478990453</v>
      </c>
      <c r="K739">
        <v>322316985</v>
      </c>
      <c r="L739">
        <v>221472817</v>
      </c>
      <c r="M739">
        <v>232328593</v>
      </c>
      <c r="N739">
        <v>210365855</v>
      </c>
      <c r="O739">
        <v>170363660</v>
      </c>
      <c r="P739">
        <v>357</v>
      </c>
      <c r="Q739" t="s">
        <v>1711</v>
      </c>
    </row>
    <row r="740" spans="1:17" x14ac:dyDescent="0.3">
      <c r="A740" t="s">
        <v>17</v>
      </c>
      <c r="B740" t="str">
        <f>"600847"</f>
        <v>600847</v>
      </c>
      <c r="C740" t="s">
        <v>1712</v>
      </c>
      <c r="D740" t="s">
        <v>555</v>
      </c>
      <c r="F740">
        <v>99121424</v>
      </c>
      <c r="G740">
        <v>91969128</v>
      </c>
      <c r="H740">
        <v>90476827</v>
      </c>
      <c r="I740">
        <v>113033260</v>
      </c>
      <c r="J740">
        <v>89646184</v>
      </c>
      <c r="K740">
        <v>71715133</v>
      </c>
      <c r="L740">
        <v>58647729</v>
      </c>
      <c r="M740">
        <v>68680057</v>
      </c>
      <c r="N740">
        <v>46422864</v>
      </c>
      <c r="O740">
        <v>38090619</v>
      </c>
      <c r="P740">
        <v>54</v>
      </c>
      <c r="Q740" t="s">
        <v>1713</v>
      </c>
    </row>
    <row r="741" spans="1:17" x14ac:dyDescent="0.3">
      <c r="A741" t="s">
        <v>17</v>
      </c>
      <c r="B741" t="str">
        <f>"600848"</f>
        <v>600848</v>
      </c>
      <c r="C741" t="s">
        <v>1714</v>
      </c>
      <c r="D741" t="s">
        <v>194</v>
      </c>
      <c r="F741">
        <v>255942278</v>
      </c>
      <c r="G741">
        <v>163932409</v>
      </c>
      <c r="H741">
        <v>203634592</v>
      </c>
      <c r="I741">
        <v>442212316</v>
      </c>
      <c r="J741">
        <v>272862878</v>
      </c>
      <c r="K741">
        <v>164658057</v>
      </c>
      <c r="L741">
        <v>109290093</v>
      </c>
      <c r="M741">
        <v>496129839</v>
      </c>
      <c r="N741">
        <v>504872356</v>
      </c>
      <c r="O741">
        <v>513058257</v>
      </c>
      <c r="P741">
        <v>271</v>
      </c>
      <c r="Q741" t="s">
        <v>1715</v>
      </c>
    </row>
    <row r="742" spans="1:17" x14ac:dyDescent="0.3">
      <c r="A742" t="s">
        <v>17</v>
      </c>
      <c r="B742" t="str">
        <f>"600849"</f>
        <v>600849</v>
      </c>
      <c r="C742" t="s">
        <v>1716</v>
      </c>
      <c r="K742">
        <v>27292754800</v>
      </c>
      <c r="L742">
        <v>24214970591.009998</v>
      </c>
      <c r="M742">
        <v>19941255695.950001</v>
      </c>
      <c r="N742">
        <v>15183536841.51</v>
      </c>
      <c r="O742">
        <v>12604314317.549999</v>
      </c>
      <c r="P742">
        <v>3</v>
      </c>
      <c r="Q742" t="s">
        <v>1717</v>
      </c>
    </row>
    <row r="743" spans="1:17" x14ac:dyDescent="0.3">
      <c r="A743" t="s">
        <v>17</v>
      </c>
      <c r="B743" t="str">
        <f>"600850"</f>
        <v>600850</v>
      </c>
      <c r="C743" t="s">
        <v>1718</v>
      </c>
      <c r="D743" t="s">
        <v>316</v>
      </c>
      <c r="F743">
        <v>683898945</v>
      </c>
      <c r="G743">
        <v>953817215</v>
      </c>
      <c r="H743">
        <v>817663011</v>
      </c>
      <c r="I743">
        <v>1132652695</v>
      </c>
      <c r="J743">
        <v>1085809848</v>
      </c>
      <c r="K743">
        <v>1299053772</v>
      </c>
      <c r="L743">
        <v>1249413579</v>
      </c>
      <c r="M743">
        <v>1168614033</v>
      </c>
      <c r="N743">
        <v>663532887</v>
      </c>
      <c r="O743">
        <v>642661430</v>
      </c>
      <c r="P743">
        <v>322</v>
      </c>
      <c r="Q743" t="s">
        <v>1719</v>
      </c>
    </row>
    <row r="744" spans="1:17" x14ac:dyDescent="0.3">
      <c r="A744" t="s">
        <v>17</v>
      </c>
      <c r="B744" t="str">
        <f>"600851"</f>
        <v>600851</v>
      </c>
      <c r="C744" t="s">
        <v>1720</v>
      </c>
      <c r="D744" t="s">
        <v>143</v>
      </c>
      <c r="F744">
        <v>176791291</v>
      </c>
      <c r="G744">
        <v>143568536</v>
      </c>
      <c r="H744">
        <v>174828352</v>
      </c>
      <c r="I744">
        <v>178253680</v>
      </c>
      <c r="J744">
        <v>164514339</v>
      </c>
      <c r="K744">
        <v>207755772</v>
      </c>
      <c r="L744">
        <v>222728724</v>
      </c>
      <c r="M744">
        <v>227859492</v>
      </c>
      <c r="N744">
        <v>308429314</v>
      </c>
      <c r="O744">
        <v>285323661</v>
      </c>
      <c r="P744">
        <v>98</v>
      </c>
      <c r="Q744" t="s">
        <v>1721</v>
      </c>
    </row>
    <row r="745" spans="1:17" x14ac:dyDescent="0.3">
      <c r="A745" t="s">
        <v>17</v>
      </c>
      <c r="B745" t="str">
        <f>"600852"</f>
        <v>600852</v>
      </c>
      <c r="C745" t="s">
        <v>1722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3</v>
      </c>
      <c r="Q745" t="s">
        <v>1723</v>
      </c>
    </row>
    <row r="746" spans="1:17" x14ac:dyDescent="0.3">
      <c r="A746" t="s">
        <v>17</v>
      </c>
      <c r="B746" t="str">
        <f>"600853"</f>
        <v>600853</v>
      </c>
      <c r="C746" t="s">
        <v>1724</v>
      </c>
      <c r="D746" t="s">
        <v>101</v>
      </c>
      <c r="F746">
        <v>4043555931</v>
      </c>
      <c r="G746">
        <v>4306098491</v>
      </c>
      <c r="H746">
        <v>4055736017</v>
      </c>
      <c r="I746">
        <v>2916704017</v>
      </c>
      <c r="J746">
        <v>2629166344</v>
      </c>
      <c r="K746">
        <v>1974095651</v>
      </c>
      <c r="L746">
        <v>1697644553</v>
      </c>
      <c r="M746">
        <v>1315831731</v>
      </c>
      <c r="N746">
        <v>1321173318</v>
      </c>
      <c r="O746">
        <v>1456884046</v>
      </c>
      <c r="P746">
        <v>94</v>
      </c>
      <c r="Q746" t="s">
        <v>1725</v>
      </c>
    </row>
    <row r="747" spans="1:17" x14ac:dyDescent="0.3">
      <c r="A747" t="s">
        <v>17</v>
      </c>
      <c r="B747" t="str">
        <f>"600854"</f>
        <v>600854</v>
      </c>
      <c r="C747" t="s">
        <v>1726</v>
      </c>
      <c r="D747" t="s">
        <v>1727</v>
      </c>
      <c r="F747">
        <v>7362108</v>
      </c>
      <c r="G747">
        <v>7173057</v>
      </c>
      <c r="H747">
        <v>11423028</v>
      </c>
      <c r="I747">
        <v>27492776</v>
      </c>
      <c r="J747">
        <v>32823903</v>
      </c>
      <c r="K747">
        <v>34723436</v>
      </c>
      <c r="L747">
        <v>30654981</v>
      </c>
      <c r="M747">
        <v>90622183</v>
      </c>
      <c r="N747">
        <v>143066461</v>
      </c>
      <c r="O747">
        <v>135676623</v>
      </c>
      <c r="P747">
        <v>146</v>
      </c>
      <c r="Q747" t="s">
        <v>1728</v>
      </c>
    </row>
    <row r="748" spans="1:17" x14ac:dyDescent="0.3">
      <c r="A748" t="s">
        <v>17</v>
      </c>
      <c r="B748" t="str">
        <f>"600855"</f>
        <v>600855</v>
      </c>
      <c r="C748" t="s">
        <v>1729</v>
      </c>
      <c r="D748" t="s">
        <v>236</v>
      </c>
      <c r="F748">
        <v>1017511872</v>
      </c>
      <c r="G748">
        <v>827215225</v>
      </c>
      <c r="H748">
        <v>1090443198</v>
      </c>
      <c r="I748">
        <v>765960334</v>
      </c>
      <c r="J748">
        <v>493852803</v>
      </c>
      <c r="K748">
        <v>316217576</v>
      </c>
      <c r="L748">
        <v>259521465</v>
      </c>
      <c r="M748">
        <v>299334548</v>
      </c>
      <c r="N748">
        <v>375304988</v>
      </c>
      <c r="O748">
        <v>304958886</v>
      </c>
      <c r="P748">
        <v>139</v>
      </c>
      <c r="Q748" t="s">
        <v>1730</v>
      </c>
    </row>
    <row r="749" spans="1:17" x14ac:dyDescent="0.3">
      <c r="A749" t="s">
        <v>17</v>
      </c>
      <c r="B749" t="str">
        <f>"600856"</f>
        <v>600856</v>
      </c>
      <c r="C749" t="s">
        <v>1731</v>
      </c>
      <c r="D749" t="s">
        <v>1541</v>
      </c>
      <c r="F749">
        <v>112867006</v>
      </c>
      <c r="G749">
        <v>205442892</v>
      </c>
      <c r="H749">
        <v>275752206</v>
      </c>
      <c r="I749">
        <v>622621591</v>
      </c>
      <c r="J749">
        <v>810167829</v>
      </c>
      <c r="K749">
        <v>558218287</v>
      </c>
      <c r="L749">
        <v>173639199</v>
      </c>
      <c r="M749">
        <v>2928021</v>
      </c>
      <c r="N749">
        <v>3703909</v>
      </c>
      <c r="O749">
        <v>3772856</v>
      </c>
      <c r="P749">
        <v>129</v>
      </c>
      <c r="Q749" t="s">
        <v>1732</v>
      </c>
    </row>
    <row r="750" spans="1:17" x14ac:dyDescent="0.3">
      <c r="A750" t="s">
        <v>17</v>
      </c>
      <c r="B750" t="str">
        <f>"600857"</f>
        <v>600857</v>
      </c>
      <c r="C750" t="s">
        <v>1733</v>
      </c>
      <c r="D750" t="s">
        <v>633</v>
      </c>
      <c r="F750">
        <v>377153</v>
      </c>
      <c r="G750">
        <v>1000960</v>
      </c>
      <c r="H750">
        <v>1322681</v>
      </c>
      <c r="I750">
        <v>2534947</v>
      </c>
      <c r="J750">
        <v>2021269</v>
      </c>
      <c r="K750">
        <v>926783</v>
      </c>
      <c r="L750">
        <v>1603849</v>
      </c>
      <c r="M750">
        <v>1455079</v>
      </c>
      <c r="N750">
        <v>3216302</v>
      </c>
      <c r="O750">
        <v>2856711</v>
      </c>
      <c r="P750">
        <v>74</v>
      </c>
      <c r="Q750" t="s">
        <v>1734</v>
      </c>
    </row>
    <row r="751" spans="1:17" x14ac:dyDescent="0.3">
      <c r="A751" t="s">
        <v>17</v>
      </c>
      <c r="B751" t="str">
        <f>"600858"</f>
        <v>600858</v>
      </c>
      <c r="C751" t="s">
        <v>1735</v>
      </c>
      <c r="D751" t="s">
        <v>1404</v>
      </c>
      <c r="F751">
        <v>11705852</v>
      </c>
      <c r="G751">
        <v>13877261</v>
      </c>
      <c r="H751">
        <v>25419003</v>
      </c>
      <c r="I751">
        <v>0</v>
      </c>
      <c r="J751">
        <v>23929893</v>
      </c>
      <c r="K751">
        <v>34194894</v>
      </c>
      <c r="L751">
        <v>45840699</v>
      </c>
      <c r="M751">
        <v>294624</v>
      </c>
      <c r="N751">
        <v>360795</v>
      </c>
      <c r="O751">
        <v>199829</v>
      </c>
      <c r="P751">
        <v>91</v>
      </c>
      <c r="Q751" t="s">
        <v>1736</v>
      </c>
    </row>
    <row r="752" spans="1:17" x14ac:dyDescent="0.3">
      <c r="A752" t="s">
        <v>17</v>
      </c>
      <c r="B752" t="str">
        <f>"600859"</f>
        <v>600859</v>
      </c>
      <c r="C752" t="s">
        <v>1737</v>
      </c>
      <c r="D752" t="s">
        <v>633</v>
      </c>
      <c r="F752">
        <v>268469057</v>
      </c>
      <c r="G752">
        <v>208714582</v>
      </c>
      <c r="H752">
        <v>165218865</v>
      </c>
      <c r="I752">
        <v>281686673</v>
      </c>
      <c r="J752">
        <v>242845672</v>
      </c>
      <c r="K752">
        <v>168892907</v>
      </c>
      <c r="L752">
        <v>81352267</v>
      </c>
      <c r="M752">
        <v>72632196</v>
      </c>
      <c r="N752">
        <v>105942812</v>
      </c>
      <c r="O752">
        <v>78255011</v>
      </c>
      <c r="P752">
        <v>553</v>
      </c>
      <c r="Q752" t="s">
        <v>1738</v>
      </c>
    </row>
    <row r="753" spans="1:17" x14ac:dyDescent="0.3">
      <c r="A753" t="s">
        <v>17</v>
      </c>
      <c r="B753" t="str">
        <f>"600860"</f>
        <v>600860</v>
      </c>
      <c r="C753" t="s">
        <v>1739</v>
      </c>
      <c r="D753" t="s">
        <v>274</v>
      </c>
      <c r="F753">
        <v>175225192</v>
      </c>
      <c r="G753">
        <v>191929153</v>
      </c>
      <c r="H753">
        <v>190226684</v>
      </c>
      <c r="I753">
        <v>223093594</v>
      </c>
      <c r="J753">
        <v>354933044</v>
      </c>
      <c r="K753">
        <v>215185885</v>
      </c>
      <c r="L753">
        <v>273293154</v>
      </c>
      <c r="M753">
        <v>404135634</v>
      </c>
      <c r="N753">
        <v>407991348</v>
      </c>
      <c r="O753">
        <v>192265245</v>
      </c>
      <c r="P753">
        <v>108</v>
      </c>
      <c r="Q753" t="s">
        <v>1740</v>
      </c>
    </row>
    <row r="754" spans="1:17" x14ac:dyDescent="0.3">
      <c r="A754" t="s">
        <v>17</v>
      </c>
      <c r="B754" t="str">
        <f>"600861"</f>
        <v>600861</v>
      </c>
      <c r="C754" t="s">
        <v>1741</v>
      </c>
      <c r="D754" t="s">
        <v>1404</v>
      </c>
      <c r="F754">
        <v>15778298</v>
      </c>
      <c r="G754">
        <v>10770659</v>
      </c>
      <c r="H754">
        <v>24396507</v>
      </c>
      <c r="I754">
        <v>30323993</v>
      </c>
      <c r="J754">
        <v>33954922</v>
      </c>
      <c r="K754">
        <v>43284415</v>
      </c>
      <c r="L754">
        <v>20688057</v>
      </c>
      <c r="M754">
        <v>4870760</v>
      </c>
      <c r="N754">
        <v>7954822</v>
      </c>
      <c r="O754">
        <v>13199354</v>
      </c>
      <c r="P754">
        <v>72</v>
      </c>
      <c r="Q754" t="s">
        <v>1742</v>
      </c>
    </row>
    <row r="755" spans="1:17" x14ac:dyDescent="0.3">
      <c r="A755" t="s">
        <v>17</v>
      </c>
      <c r="B755" t="str">
        <f>"600862"</f>
        <v>600862</v>
      </c>
      <c r="C755" t="s">
        <v>1743</v>
      </c>
      <c r="D755" t="s">
        <v>98</v>
      </c>
      <c r="F755">
        <v>1408955778</v>
      </c>
      <c r="G755">
        <v>791696322</v>
      </c>
      <c r="H755">
        <v>647043977</v>
      </c>
      <c r="I755">
        <v>900680599</v>
      </c>
      <c r="J755">
        <v>842439985</v>
      </c>
      <c r="K755">
        <v>1024457560</v>
      </c>
      <c r="L755">
        <v>1256857359</v>
      </c>
      <c r="M755">
        <v>222100993</v>
      </c>
      <c r="N755">
        <v>149946565</v>
      </c>
      <c r="O755">
        <v>139700897</v>
      </c>
      <c r="P755">
        <v>457</v>
      </c>
      <c r="Q755" t="s">
        <v>1744</v>
      </c>
    </row>
    <row r="756" spans="1:17" x14ac:dyDescent="0.3">
      <c r="A756" t="s">
        <v>17</v>
      </c>
      <c r="B756" t="str">
        <f>"600863"</f>
        <v>600863</v>
      </c>
      <c r="C756" t="s">
        <v>1745</v>
      </c>
      <c r="D756" t="s">
        <v>41</v>
      </c>
      <c r="F756">
        <v>3760274290</v>
      </c>
      <c r="G756">
        <v>2677783103</v>
      </c>
      <c r="H756">
        <v>2215634003</v>
      </c>
      <c r="I756">
        <v>2063314384</v>
      </c>
      <c r="J756">
        <v>1570912416</v>
      </c>
      <c r="K756">
        <v>1005432409</v>
      </c>
      <c r="L756">
        <v>786490555</v>
      </c>
      <c r="M756">
        <v>1224129984</v>
      </c>
      <c r="N756">
        <v>1269268513</v>
      </c>
      <c r="O756">
        <v>1143062980</v>
      </c>
      <c r="P756">
        <v>310</v>
      </c>
      <c r="Q756" t="s">
        <v>1746</v>
      </c>
    </row>
    <row r="757" spans="1:17" x14ac:dyDescent="0.3">
      <c r="A757" t="s">
        <v>17</v>
      </c>
      <c r="B757" t="str">
        <f>"600864"</f>
        <v>600864</v>
      </c>
      <c r="C757" t="s">
        <v>1747</v>
      </c>
      <c r="D757" t="s">
        <v>80</v>
      </c>
      <c r="F757">
        <v>416276512</v>
      </c>
      <c r="G757">
        <v>187541665</v>
      </c>
      <c r="H757">
        <v>200614145</v>
      </c>
      <c r="I757">
        <v>324184061</v>
      </c>
      <c r="J757">
        <v>206800088</v>
      </c>
      <c r="K757">
        <v>182287540</v>
      </c>
      <c r="L757">
        <v>56492554</v>
      </c>
      <c r="M757">
        <v>85695187</v>
      </c>
      <c r="N757">
        <v>61085786</v>
      </c>
      <c r="O757">
        <v>46726463</v>
      </c>
      <c r="P757">
        <v>412</v>
      </c>
      <c r="Q757" t="s">
        <v>1748</v>
      </c>
    </row>
    <row r="758" spans="1:17" x14ac:dyDescent="0.3">
      <c r="A758" t="s">
        <v>17</v>
      </c>
      <c r="B758" t="str">
        <f>"600865"</f>
        <v>600865</v>
      </c>
      <c r="C758" t="s">
        <v>1749</v>
      </c>
      <c r="D758" t="s">
        <v>633</v>
      </c>
      <c r="F758">
        <v>22439407</v>
      </c>
      <c r="G758">
        <v>19773365</v>
      </c>
      <c r="H758">
        <v>10593415</v>
      </c>
      <c r="I758">
        <v>12099852</v>
      </c>
      <c r="J758">
        <v>11771261</v>
      </c>
      <c r="K758">
        <v>12634801</v>
      </c>
      <c r="L758">
        <v>17640605</v>
      </c>
      <c r="M758">
        <v>10933030</v>
      </c>
      <c r="N758">
        <v>16473542</v>
      </c>
      <c r="O758">
        <v>19008709</v>
      </c>
      <c r="P758">
        <v>123</v>
      </c>
      <c r="Q758" t="s">
        <v>1750</v>
      </c>
    </row>
    <row r="759" spans="1:17" x14ac:dyDescent="0.3">
      <c r="A759" t="s">
        <v>17</v>
      </c>
      <c r="B759" t="str">
        <f>"600866"</f>
        <v>600866</v>
      </c>
      <c r="C759" t="s">
        <v>1751</v>
      </c>
      <c r="D759" t="s">
        <v>677</v>
      </c>
      <c r="F759">
        <v>138788211</v>
      </c>
      <c r="G759">
        <v>111199762</v>
      </c>
      <c r="H759">
        <v>102766547</v>
      </c>
      <c r="I759">
        <v>64067445</v>
      </c>
      <c r="J759">
        <v>86136052</v>
      </c>
      <c r="K759">
        <v>102332806</v>
      </c>
      <c r="L759">
        <v>93786805</v>
      </c>
      <c r="M759">
        <v>110010587</v>
      </c>
      <c r="N759">
        <v>94216265</v>
      </c>
      <c r="O759">
        <v>98590251</v>
      </c>
      <c r="P759">
        <v>143</v>
      </c>
      <c r="Q759" t="s">
        <v>1752</v>
      </c>
    </row>
    <row r="760" spans="1:17" x14ac:dyDescent="0.3">
      <c r="A760" t="s">
        <v>17</v>
      </c>
      <c r="B760" t="str">
        <f>"600867"</f>
        <v>600867</v>
      </c>
      <c r="C760" t="s">
        <v>1753</v>
      </c>
      <c r="D760" t="s">
        <v>1379</v>
      </c>
      <c r="F760">
        <v>559472847</v>
      </c>
      <c r="G760">
        <v>510449343</v>
      </c>
      <c r="H760">
        <v>551688581</v>
      </c>
      <c r="I760">
        <v>557736610</v>
      </c>
      <c r="J760">
        <v>544009876</v>
      </c>
      <c r="K760">
        <v>450159153</v>
      </c>
      <c r="L760">
        <v>384804093</v>
      </c>
      <c r="M760">
        <v>392171982</v>
      </c>
      <c r="N760">
        <v>338267184</v>
      </c>
      <c r="O760">
        <v>296336184</v>
      </c>
      <c r="P760">
        <v>2948</v>
      </c>
      <c r="Q760" t="s">
        <v>1754</v>
      </c>
    </row>
    <row r="761" spans="1:17" x14ac:dyDescent="0.3">
      <c r="A761" t="s">
        <v>17</v>
      </c>
      <c r="B761" t="str">
        <f>"600868"</f>
        <v>600868</v>
      </c>
      <c r="C761" t="s">
        <v>1755</v>
      </c>
      <c r="D761" t="s">
        <v>66</v>
      </c>
      <c r="F761">
        <v>218190972</v>
      </c>
      <c r="G761">
        <v>6788422</v>
      </c>
      <c r="H761">
        <v>9180163</v>
      </c>
      <c r="I761">
        <v>16345202</v>
      </c>
      <c r="J761">
        <v>17798032</v>
      </c>
      <c r="K761">
        <v>39578810</v>
      </c>
      <c r="L761">
        <v>36368316</v>
      </c>
      <c r="M761">
        <v>20987818</v>
      </c>
      <c r="N761">
        <v>61670584</v>
      </c>
      <c r="O761">
        <v>32526582</v>
      </c>
      <c r="P761">
        <v>125</v>
      </c>
      <c r="Q761" t="s">
        <v>1756</v>
      </c>
    </row>
    <row r="762" spans="1:17" x14ac:dyDescent="0.3">
      <c r="A762" t="s">
        <v>17</v>
      </c>
      <c r="B762" t="str">
        <f>"600869"</f>
        <v>600869</v>
      </c>
      <c r="C762" t="s">
        <v>1757</v>
      </c>
      <c r="D762" t="s">
        <v>1164</v>
      </c>
      <c r="F762">
        <v>3730921147</v>
      </c>
      <c r="G762">
        <v>4125486536</v>
      </c>
      <c r="H762">
        <v>4519225813</v>
      </c>
      <c r="I762">
        <v>4978112296</v>
      </c>
      <c r="J762">
        <v>4889884023</v>
      </c>
      <c r="K762">
        <v>4139868920</v>
      </c>
      <c r="L762">
        <v>3975827581</v>
      </c>
      <c r="M762">
        <v>3353922110</v>
      </c>
      <c r="N762">
        <v>2927700391</v>
      </c>
      <c r="O762">
        <v>2944223443</v>
      </c>
      <c r="P762">
        <v>206</v>
      </c>
      <c r="Q762" t="s">
        <v>1758</v>
      </c>
    </row>
    <row r="763" spans="1:17" x14ac:dyDescent="0.3">
      <c r="A763" t="s">
        <v>17</v>
      </c>
      <c r="B763" t="str">
        <f>"600870"</f>
        <v>600870</v>
      </c>
      <c r="C763" t="s">
        <v>1759</v>
      </c>
      <c r="D763" t="s">
        <v>131</v>
      </c>
      <c r="F763">
        <v>1656125</v>
      </c>
      <c r="G763">
        <v>845023</v>
      </c>
      <c r="H763">
        <v>1668818</v>
      </c>
      <c r="I763">
        <v>22006856</v>
      </c>
      <c r="J763">
        <v>28630564</v>
      </c>
      <c r="K763">
        <v>3075251</v>
      </c>
      <c r="L763">
        <v>2027387</v>
      </c>
      <c r="M763">
        <v>1940389</v>
      </c>
      <c r="N763">
        <v>295514268</v>
      </c>
      <c r="O763">
        <v>366971368</v>
      </c>
      <c r="P763">
        <v>55</v>
      </c>
      <c r="Q763" t="s">
        <v>1760</v>
      </c>
    </row>
    <row r="764" spans="1:17" x14ac:dyDescent="0.3">
      <c r="A764" t="s">
        <v>17</v>
      </c>
      <c r="B764" t="str">
        <f>"600871"</f>
        <v>600871</v>
      </c>
      <c r="C764" t="s">
        <v>1761</v>
      </c>
      <c r="D764" t="s">
        <v>1762</v>
      </c>
      <c r="F764">
        <v>8151019000</v>
      </c>
      <c r="G764">
        <v>9358385000</v>
      </c>
      <c r="H764">
        <v>11996355000</v>
      </c>
      <c r="I764">
        <v>15630004000</v>
      </c>
      <c r="J764">
        <v>16961936000</v>
      </c>
      <c r="K764">
        <v>23907534000</v>
      </c>
      <c r="L764">
        <v>27121127000</v>
      </c>
      <c r="M764">
        <v>28064935000</v>
      </c>
      <c r="N764">
        <v>140540000</v>
      </c>
      <c r="O764">
        <v>142501000</v>
      </c>
      <c r="P764">
        <v>172</v>
      </c>
      <c r="Q764" t="s">
        <v>1763</v>
      </c>
    </row>
    <row r="765" spans="1:17" x14ac:dyDescent="0.3">
      <c r="A765" t="s">
        <v>17</v>
      </c>
      <c r="B765" t="str">
        <f>"600872"</f>
        <v>600872</v>
      </c>
      <c r="C765" t="s">
        <v>1764</v>
      </c>
      <c r="D765" t="s">
        <v>433</v>
      </c>
      <c r="F765">
        <v>29735235</v>
      </c>
      <c r="G765">
        <v>32569548</v>
      </c>
      <c r="H765">
        <v>25653890</v>
      </c>
      <c r="I765">
        <v>47427503</v>
      </c>
      <c r="J765">
        <v>67003179</v>
      </c>
      <c r="K765">
        <v>43572818</v>
      </c>
      <c r="L765">
        <v>50953220</v>
      </c>
      <c r="M765">
        <v>52793074</v>
      </c>
      <c r="N765">
        <v>53794673</v>
      </c>
      <c r="O765">
        <v>40643266</v>
      </c>
      <c r="P765">
        <v>2534</v>
      </c>
      <c r="Q765" t="s">
        <v>1765</v>
      </c>
    </row>
    <row r="766" spans="1:17" x14ac:dyDescent="0.3">
      <c r="A766" t="s">
        <v>17</v>
      </c>
      <c r="B766" t="str">
        <f>"600873"</f>
        <v>600873</v>
      </c>
      <c r="C766" t="s">
        <v>1766</v>
      </c>
      <c r="D766" t="s">
        <v>433</v>
      </c>
      <c r="F766">
        <v>280597055</v>
      </c>
      <c r="G766">
        <v>255060924</v>
      </c>
      <c r="H766">
        <v>332242614</v>
      </c>
      <c r="I766">
        <v>467257951</v>
      </c>
      <c r="J766">
        <v>475573439</v>
      </c>
      <c r="K766">
        <v>370889184</v>
      </c>
      <c r="L766">
        <v>324620300</v>
      </c>
      <c r="M766">
        <v>384090179</v>
      </c>
      <c r="N766">
        <v>199204240</v>
      </c>
      <c r="O766">
        <v>296388533</v>
      </c>
      <c r="P766">
        <v>990</v>
      </c>
      <c r="Q766" t="s">
        <v>1767</v>
      </c>
    </row>
    <row r="767" spans="1:17" x14ac:dyDescent="0.3">
      <c r="A767" t="s">
        <v>17</v>
      </c>
      <c r="B767" t="str">
        <f>"600874"</f>
        <v>600874</v>
      </c>
      <c r="C767" t="s">
        <v>1768</v>
      </c>
      <c r="D767" t="s">
        <v>33</v>
      </c>
      <c r="F767">
        <v>2325550000</v>
      </c>
      <c r="G767">
        <v>1959083000</v>
      </c>
      <c r="H767">
        <v>2492764000</v>
      </c>
      <c r="I767">
        <v>2081465000</v>
      </c>
      <c r="J767">
        <v>1930158000</v>
      </c>
      <c r="K767">
        <v>1815420000</v>
      </c>
      <c r="L767">
        <v>1238352000</v>
      </c>
      <c r="M767">
        <v>2563114000</v>
      </c>
      <c r="N767">
        <v>2079086000</v>
      </c>
      <c r="O767">
        <v>1566743000</v>
      </c>
      <c r="P767">
        <v>201</v>
      </c>
      <c r="Q767" t="s">
        <v>1769</v>
      </c>
    </row>
    <row r="768" spans="1:17" x14ac:dyDescent="0.3">
      <c r="A768" t="s">
        <v>17</v>
      </c>
      <c r="B768" t="str">
        <f>"600875"</f>
        <v>600875</v>
      </c>
      <c r="C768" t="s">
        <v>1770</v>
      </c>
      <c r="D768" t="s">
        <v>973</v>
      </c>
      <c r="F768">
        <v>7986787323</v>
      </c>
      <c r="G768">
        <v>7526238209</v>
      </c>
      <c r="H768">
        <v>6215286949</v>
      </c>
      <c r="I768">
        <v>6555217019</v>
      </c>
      <c r="J768">
        <v>13178789738</v>
      </c>
      <c r="K768">
        <v>15954481389</v>
      </c>
      <c r="L768">
        <v>17290192716</v>
      </c>
      <c r="M768">
        <v>17698467286</v>
      </c>
      <c r="N768">
        <v>17032484330</v>
      </c>
      <c r="O768">
        <v>14991233562</v>
      </c>
      <c r="P768">
        <v>482</v>
      </c>
      <c r="Q768" t="s">
        <v>1771</v>
      </c>
    </row>
    <row r="769" spans="1:17" x14ac:dyDescent="0.3">
      <c r="A769" t="s">
        <v>17</v>
      </c>
      <c r="B769" t="str">
        <f>"600876"</f>
        <v>600876</v>
      </c>
      <c r="C769" t="s">
        <v>1772</v>
      </c>
      <c r="D769" t="s">
        <v>666</v>
      </c>
      <c r="F769">
        <v>438504721</v>
      </c>
      <c r="G769">
        <v>637911162</v>
      </c>
      <c r="H769">
        <v>562892682</v>
      </c>
      <c r="I769">
        <v>492277447</v>
      </c>
      <c r="J769">
        <v>105313043</v>
      </c>
      <c r="K769">
        <v>101891329</v>
      </c>
      <c r="L769">
        <v>71678943</v>
      </c>
      <c r="M769">
        <v>23412090</v>
      </c>
      <c r="N769">
        <v>29651548</v>
      </c>
      <c r="O769">
        <v>76455809</v>
      </c>
      <c r="P769">
        <v>175</v>
      </c>
      <c r="Q769" t="s">
        <v>1773</v>
      </c>
    </row>
    <row r="770" spans="1:17" x14ac:dyDescent="0.3">
      <c r="A770" t="s">
        <v>17</v>
      </c>
      <c r="B770" t="str">
        <f>"600877"</f>
        <v>600877</v>
      </c>
      <c r="C770" t="s">
        <v>1774</v>
      </c>
      <c r="D770" t="s">
        <v>359</v>
      </c>
      <c r="F770">
        <v>723591220</v>
      </c>
      <c r="G770">
        <v>133045488</v>
      </c>
      <c r="H770">
        <v>156746088</v>
      </c>
      <c r="I770">
        <v>80761133</v>
      </c>
      <c r="J770">
        <v>112401208</v>
      </c>
      <c r="K770">
        <v>130436323</v>
      </c>
      <c r="L770">
        <v>98693961</v>
      </c>
      <c r="M770">
        <v>56152216</v>
      </c>
      <c r="N770">
        <v>85673933</v>
      </c>
      <c r="O770">
        <v>127277280</v>
      </c>
      <c r="P770">
        <v>119</v>
      </c>
      <c r="Q770" t="s">
        <v>1775</v>
      </c>
    </row>
    <row r="771" spans="1:17" x14ac:dyDescent="0.3">
      <c r="A771" t="s">
        <v>17</v>
      </c>
      <c r="B771" t="str">
        <f>"600878"</f>
        <v>600878</v>
      </c>
      <c r="C771" t="s">
        <v>1776</v>
      </c>
      <c r="K771">
        <v>0</v>
      </c>
      <c r="L771">
        <v>0</v>
      </c>
      <c r="P771">
        <v>2</v>
      </c>
      <c r="Q771" t="s">
        <v>1777</v>
      </c>
    </row>
    <row r="772" spans="1:17" x14ac:dyDescent="0.3">
      <c r="A772" t="s">
        <v>17</v>
      </c>
      <c r="B772" t="str">
        <f>"600879"</f>
        <v>600879</v>
      </c>
      <c r="C772" t="s">
        <v>1778</v>
      </c>
      <c r="D772" t="s">
        <v>284</v>
      </c>
      <c r="F772">
        <v>5013897868</v>
      </c>
      <c r="G772">
        <v>6228646500</v>
      </c>
      <c r="H772">
        <v>6195965611</v>
      </c>
      <c r="I772">
        <v>6127345257</v>
      </c>
      <c r="J772">
        <v>6237923930</v>
      </c>
      <c r="K772">
        <v>4952826163</v>
      </c>
      <c r="L772">
        <v>2161609094</v>
      </c>
      <c r="M772">
        <v>1396753601</v>
      </c>
      <c r="N772">
        <v>746631570</v>
      </c>
      <c r="O772">
        <v>659109427</v>
      </c>
      <c r="P772">
        <v>359</v>
      </c>
      <c r="Q772" t="s">
        <v>1779</v>
      </c>
    </row>
    <row r="773" spans="1:17" x14ac:dyDescent="0.3">
      <c r="A773" t="s">
        <v>17</v>
      </c>
      <c r="B773" t="str">
        <f>"600880"</f>
        <v>600880</v>
      </c>
      <c r="C773" t="s">
        <v>1780</v>
      </c>
      <c r="D773" t="s">
        <v>1781</v>
      </c>
      <c r="F773">
        <v>193325223</v>
      </c>
      <c r="G773">
        <v>195445740</v>
      </c>
      <c r="H773">
        <v>88815837</v>
      </c>
      <c r="I773">
        <v>92011398</v>
      </c>
      <c r="J773">
        <v>156546635</v>
      </c>
      <c r="K773">
        <v>203996667</v>
      </c>
      <c r="L773">
        <v>261830582</v>
      </c>
      <c r="M773">
        <v>338332435</v>
      </c>
      <c r="N773">
        <v>262210943</v>
      </c>
      <c r="O773">
        <v>117289249</v>
      </c>
      <c r="P773">
        <v>314</v>
      </c>
      <c r="Q773" t="s">
        <v>1782</v>
      </c>
    </row>
    <row r="774" spans="1:17" x14ac:dyDescent="0.3">
      <c r="A774" t="s">
        <v>17</v>
      </c>
      <c r="B774" t="str">
        <f>"600881"</f>
        <v>600881</v>
      </c>
      <c r="C774" t="s">
        <v>1783</v>
      </c>
      <c r="D774" t="s">
        <v>110</v>
      </c>
      <c r="F774">
        <v>6417617559</v>
      </c>
      <c r="G774">
        <v>6358322860</v>
      </c>
      <c r="H774">
        <v>6242463070</v>
      </c>
      <c r="I774">
        <v>6418330194</v>
      </c>
      <c r="J774">
        <v>7926557875</v>
      </c>
      <c r="K774">
        <v>2586191420</v>
      </c>
      <c r="L774">
        <v>2826380503</v>
      </c>
      <c r="M774">
        <v>2654341041</v>
      </c>
      <c r="N774">
        <v>1774199901</v>
      </c>
      <c r="O774">
        <v>1072831560</v>
      </c>
      <c r="P774">
        <v>144</v>
      </c>
      <c r="Q774" t="s">
        <v>1784</v>
      </c>
    </row>
    <row r="775" spans="1:17" x14ac:dyDescent="0.3">
      <c r="A775" t="s">
        <v>17</v>
      </c>
      <c r="B775" t="str">
        <f>"600882"</f>
        <v>600882</v>
      </c>
      <c r="C775" t="s">
        <v>1785</v>
      </c>
      <c r="D775" t="s">
        <v>900</v>
      </c>
      <c r="F775">
        <v>95575986</v>
      </c>
      <c r="G775">
        <v>115909221</v>
      </c>
      <c r="H775">
        <v>174156924</v>
      </c>
      <c r="I775">
        <v>153704411</v>
      </c>
      <c r="J775">
        <v>92113131</v>
      </c>
      <c r="K775">
        <v>70398546</v>
      </c>
      <c r="L775">
        <v>83342767</v>
      </c>
      <c r="M775">
        <v>76702314</v>
      </c>
      <c r="N775">
        <v>110255313</v>
      </c>
      <c r="O775">
        <v>87652087</v>
      </c>
      <c r="P775">
        <v>515</v>
      </c>
      <c r="Q775" t="s">
        <v>1786</v>
      </c>
    </row>
    <row r="776" spans="1:17" x14ac:dyDescent="0.3">
      <c r="A776" t="s">
        <v>17</v>
      </c>
      <c r="B776" t="str">
        <f>"600883"</f>
        <v>600883</v>
      </c>
      <c r="C776" t="s">
        <v>1787</v>
      </c>
      <c r="D776" t="s">
        <v>731</v>
      </c>
      <c r="F776">
        <v>7709</v>
      </c>
      <c r="G776">
        <v>27785</v>
      </c>
      <c r="H776">
        <v>430936</v>
      </c>
      <c r="I776">
        <v>1101840</v>
      </c>
      <c r="J776">
        <v>2535100</v>
      </c>
      <c r="K776">
        <v>7934249</v>
      </c>
      <c r="L776">
        <v>11576898</v>
      </c>
      <c r="M776">
        <v>17259280</v>
      </c>
      <c r="N776">
        <v>26196716</v>
      </c>
      <c r="O776">
        <v>27245484</v>
      </c>
      <c r="P776">
        <v>78</v>
      </c>
      <c r="Q776" t="s">
        <v>1788</v>
      </c>
    </row>
    <row r="777" spans="1:17" x14ac:dyDescent="0.3">
      <c r="A777" t="s">
        <v>17</v>
      </c>
      <c r="B777" t="str">
        <f>"600884"</f>
        <v>600884</v>
      </c>
      <c r="C777" t="s">
        <v>1789</v>
      </c>
      <c r="D777" t="s">
        <v>1790</v>
      </c>
      <c r="F777">
        <v>3959400439</v>
      </c>
      <c r="G777">
        <v>3377169350</v>
      </c>
      <c r="H777">
        <v>2971553207</v>
      </c>
      <c r="I777">
        <v>0</v>
      </c>
      <c r="J777">
        <v>2713761282</v>
      </c>
      <c r="K777">
        <v>1807035560</v>
      </c>
      <c r="L777">
        <v>1619469142</v>
      </c>
      <c r="M777">
        <v>1274513102</v>
      </c>
      <c r="N777">
        <v>950437628</v>
      </c>
      <c r="O777">
        <v>884491121</v>
      </c>
      <c r="P777">
        <v>758</v>
      </c>
      <c r="Q777" t="s">
        <v>1791</v>
      </c>
    </row>
    <row r="778" spans="1:17" x14ac:dyDescent="0.3">
      <c r="A778" t="s">
        <v>17</v>
      </c>
      <c r="B778" t="str">
        <f>"600885"</f>
        <v>600885</v>
      </c>
      <c r="C778" t="s">
        <v>1792</v>
      </c>
      <c r="D778" t="s">
        <v>610</v>
      </c>
      <c r="F778">
        <v>2551740359</v>
      </c>
      <c r="G778">
        <v>2222434813</v>
      </c>
      <c r="H778">
        <v>2035286340</v>
      </c>
      <c r="I778">
        <v>1760250193</v>
      </c>
      <c r="J778">
        <v>1472102487</v>
      </c>
      <c r="K778">
        <v>1329481792</v>
      </c>
      <c r="L778">
        <v>1075042325</v>
      </c>
      <c r="M778">
        <v>985243993</v>
      </c>
      <c r="N778">
        <v>883822802</v>
      </c>
      <c r="O778">
        <v>828236606</v>
      </c>
      <c r="P778">
        <v>13105</v>
      </c>
      <c r="Q778" t="s">
        <v>1793</v>
      </c>
    </row>
    <row r="779" spans="1:17" x14ac:dyDescent="0.3">
      <c r="A779" t="s">
        <v>17</v>
      </c>
      <c r="B779" t="str">
        <f>"600886"</f>
        <v>600886</v>
      </c>
      <c r="C779" t="s">
        <v>1794</v>
      </c>
      <c r="D779" t="s">
        <v>66</v>
      </c>
      <c r="F779">
        <v>9583126556</v>
      </c>
      <c r="G779">
        <v>7058315750</v>
      </c>
      <c r="H779">
        <v>4962430885</v>
      </c>
      <c r="I779">
        <v>5233562600</v>
      </c>
      <c r="J779">
        <v>3551602656</v>
      </c>
      <c r="K779">
        <v>2577731010</v>
      </c>
      <c r="L779">
        <v>2406316337</v>
      </c>
      <c r="M779">
        <v>2948421173</v>
      </c>
      <c r="N779">
        <v>3276895477</v>
      </c>
      <c r="O779">
        <v>3148726221</v>
      </c>
      <c r="P779">
        <v>2023</v>
      </c>
      <c r="Q779" t="s">
        <v>1795</v>
      </c>
    </row>
    <row r="780" spans="1:17" x14ac:dyDescent="0.3">
      <c r="A780" t="s">
        <v>17</v>
      </c>
      <c r="B780" t="str">
        <f>"600887"</f>
        <v>600887</v>
      </c>
      <c r="C780" t="s">
        <v>1796</v>
      </c>
      <c r="D780" t="s">
        <v>900</v>
      </c>
      <c r="F780">
        <v>1958977857</v>
      </c>
      <c r="G780">
        <v>1616344944</v>
      </c>
      <c r="H780">
        <v>1615510454</v>
      </c>
      <c r="I780">
        <v>1101026608</v>
      </c>
      <c r="J780">
        <v>786140205</v>
      </c>
      <c r="K780">
        <v>572137398</v>
      </c>
      <c r="L780">
        <v>572177042</v>
      </c>
      <c r="M780">
        <v>513023498</v>
      </c>
      <c r="N780">
        <v>340087732</v>
      </c>
      <c r="O780">
        <v>289297587</v>
      </c>
      <c r="P780">
        <v>72799</v>
      </c>
      <c r="Q780" t="s">
        <v>1797</v>
      </c>
    </row>
    <row r="781" spans="1:17" x14ac:dyDescent="0.3">
      <c r="A781" t="s">
        <v>17</v>
      </c>
      <c r="B781" t="str">
        <f>"600888"</f>
        <v>600888</v>
      </c>
      <c r="C781" t="s">
        <v>1798</v>
      </c>
      <c r="D781" t="s">
        <v>504</v>
      </c>
      <c r="F781">
        <v>298167118</v>
      </c>
      <c r="G781">
        <v>380790059</v>
      </c>
      <c r="H781">
        <v>306504637</v>
      </c>
      <c r="I781">
        <v>299306694</v>
      </c>
      <c r="J781">
        <v>394883114</v>
      </c>
      <c r="K781">
        <v>482098758</v>
      </c>
      <c r="L781">
        <v>504612053</v>
      </c>
      <c r="M781">
        <v>343699813</v>
      </c>
      <c r="N781">
        <v>335033114</v>
      </c>
      <c r="O781">
        <v>230809445</v>
      </c>
      <c r="P781">
        <v>183</v>
      </c>
      <c r="Q781" t="s">
        <v>1799</v>
      </c>
    </row>
    <row r="782" spans="1:17" x14ac:dyDescent="0.3">
      <c r="A782" t="s">
        <v>17</v>
      </c>
      <c r="B782" t="str">
        <f>"600889"</f>
        <v>600889</v>
      </c>
      <c r="C782" t="s">
        <v>1800</v>
      </c>
      <c r="D782" t="s">
        <v>888</v>
      </c>
      <c r="F782">
        <v>22585795</v>
      </c>
      <c r="G782">
        <v>58994131</v>
      </c>
      <c r="H782">
        <v>17657859</v>
      </c>
      <c r="I782">
        <v>27137811</v>
      </c>
      <c r="J782">
        <v>25903091</v>
      </c>
      <c r="K782">
        <v>38445388</v>
      </c>
      <c r="L782">
        <v>52192122</v>
      </c>
      <c r="M782">
        <v>76202724</v>
      </c>
      <c r="N782">
        <v>78292868</v>
      </c>
      <c r="O782">
        <v>51932217</v>
      </c>
      <c r="P782">
        <v>77</v>
      </c>
      <c r="Q782" t="s">
        <v>1801</v>
      </c>
    </row>
    <row r="783" spans="1:17" x14ac:dyDescent="0.3">
      <c r="A783" t="s">
        <v>17</v>
      </c>
      <c r="B783" t="str">
        <f>"600890"</f>
        <v>600890</v>
      </c>
      <c r="C783" t="s">
        <v>1802</v>
      </c>
      <c r="D783" t="s">
        <v>30</v>
      </c>
      <c r="F783">
        <v>13847362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73</v>
      </c>
      <c r="Q783" t="s">
        <v>1803</v>
      </c>
    </row>
    <row r="784" spans="1:17" x14ac:dyDescent="0.3">
      <c r="A784" t="s">
        <v>17</v>
      </c>
      <c r="B784" t="str">
        <f>"600891"</f>
        <v>600891</v>
      </c>
      <c r="C784" t="s">
        <v>1804</v>
      </c>
      <c r="G784">
        <v>2210467</v>
      </c>
      <c r="H784">
        <v>233611966</v>
      </c>
      <c r="I784">
        <v>258996695</v>
      </c>
      <c r="J784">
        <v>567074285</v>
      </c>
      <c r="K784">
        <v>378020220</v>
      </c>
      <c r="L784">
        <v>418985512</v>
      </c>
      <c r="M784">
        <v>4241976</v>
      </c>
      <c r="N784">
        <v>3837366</v>
      </c>
      <c r="O784">
        <v>2800363</v>
      </c>
      <c r="P784">
        <v>45</v>
      </c>
      <c r="Q784" t="s">
        <v>1805</v>
      </c>
    </row>
    <row r="785" spans="1:17" x14ac:dyDescent="0.3">
      <c r="A785" t="s">
        <v>17</v>
      </c>
      <c r="B785" t="str">
        <f>"600892"</f>
        <v>600892</v>
      </c>
      <c r="C785" t="s">
        <v>1806</v>
      </c>
      <c r="D785" t="s">
        <v>517</v>
      </c>
      <c r="F785">
        <v>20658973</v>
      </c>
      <c r="G785">
        <v>22172289</v>
      </c>
      <c r="H785">
        <v>47893290</v>
      </c>
      <c r="I785">
        <v>118740268</v>
      </c>
      <c r="J785">
        <v>142405801</v>
      </c>
      <c r="K785">
        <v>118967299</v>
      </c>
      <c r="L785">
        <v>115999741</v>
      </c>
      <c r="M785">
        <v>4064951</v>
      </c>
      <c r="N785">
        <v>113026961</v>
      </c>
      <c r="O785">
        <v>16323663</v>
      </c>
      <c r="P785">
        <v>85</v>
      </c>
      <c r="Q785" t="s">
        <v>1807</v>
      </c>
    </row>
    <row r="786" spans="1:17" x14ac:dyDescent="0.3">
      <c r="A786" t="s">
        <v>17</v>
      </c>
      <c r="B786" t="str">
        <f>"600893"</f>
        <v>600893</v>
      </c>
      <c r="C786" t="s">
        <v>1808</v>
      </c>
      <c r="D786" t="s">
        <v>98</v>
      </c>
      <c r="F786">
        <v>12945431264</v>
      </c>
      <c r="G786">
        <v>8189669951</v>
      </c>
      <c r="H786">
        <v>9382766380</v>
      </c>
      <c r="I786">
        <v>8214469140</v>
      </c>
      <c r="J786">
        <v>6691342916</v>
      </c>
      <c r="K786">
        <v>6368403244</v>
      </c>
      <c r="L786">
        <v>4084142018</v>
      </c>
      <c r="M786">
        <v>4886123988</v>
      </c>
      <c r="N786">
        <v>1337039545</v>
      </c>
      <c r="O786">
        <v>1361580807</v>
      </c>
      <c r="P786">
        <v>1086</v>
      </c>
      <c r="Q786" t="s">
        <v>1809</v>
      </c>
    </row>
    <row r="787" spans="1:17" x14ac:dyDescent="0.3">
      <c r="A787" t="s">
        <v>17</v>
      </c>
      <c r="B787" t="str">
        <f>"600894"</f>
        <v>600894</v>
      </c>
      <c r="C787" t="s">
        <v>1810</v>
      </c>
      <c r="D787" t="s">
        <v>1691</v>
      </c>
      <c r="F787">
        <v>1363375450</v>
      </c>
      <c r="G787">
        <v>1374906074</v>
      </c>
      <c r="H787">
        <v>1149597038</v>
      </c>
      <c r="I787">
        <v>1143517946</v>
      </c>
      <c r="J787">
        <v>927266190</v>
      </c>
      <c r="K787">
        <v>908739449</v>
      </c>
      <c r="L787">
        <v>856906704</v>
      </c>
      <c r="M787">
        <v>656065997</v>
      </c>
      <c r="N787">
        <v>528928986</v>
      </c>
      <c r="O787">
        <v>480463139</v>
      </c>
      <c r="P787">
        <v>394</v>
      </c>
      <c r="Q787" t="s">
        <v>1811</v>
      </c>
    </row>
    <row r="788" spans="1:17" x14ac:dyDescent="0.3">
      <c r="A788" t="s">
        <v>17</v>
      </c>
      <c r="B788" t="str">
        <f>"600895"</f>
        <v>600895</v>
      </c>
      <c r="C788" t="s">
        <v>1812</v>
      </c>
      <c r="D788" t="s">
        <v>194</v>
      </c>
      <c r="F788">
        <v>46797236</v>
      </c>
      <c r="G788">
        <v>43144082</v>
      </c>
      <c r="H788">
        <v>189013464</v>
      </c>
      <c r="I788">
        <v>230965394</v>
      </c>
      <c r="J788">
        <v>253209705</v>
      </c>
      <c r="K788">
        <v>282715454</v>
      </c>
      <c r="L788">
        <v>515202635</v>
      </c>
      <c r="M788">
        <v>1100915896</v>
      </c>
      <c r="N788">
        <v>1462064973</v>
      </c>
      <c r="O788">
        <v>1248615092</v>
      </c>
      <c r="P788">
        <v>336</v>
      </c>
      <c r="Q788" t="s">
        <v>1813</v>
      </c>
    </row>
    <row r="789" spans="1:17" x14ac:dyDescent="0.3">
      <c r="A789" t="s">
        <v>17</v>
      </c>
      <c r="B789" t="str">
        <f>"600896"</f>
        <v>600896</v>
      </c>
      <c r="C789" t="s">
        <v>1814</v>
      </c>
      <c r="D789" t="s">
        <v>1147</v>
      </c>
      <c r="F789">
        <v>19164411</v>
      </c>
      <c r="G789">
        <v>13089503</v>
      </c>
      <c r="H789">
        <v>4496584</v>
      </c>
      <c r="I789">
        <v>6695252</v>
      </c>
      <c r="J789">
        <v>0</v>
      </c>
      <c r="K789">
        <v>0</v>
      </c>
      <c r="L789">
        <v>97845657</v>
      </c>
      <c r="M789">
        <v>161234697</v>
      </c>
      <c r="N789">
        <v>129655554</v>
      </c>
      <c r="O789">
        <v>118156400</v>
      </c>
      <c r="P789">
        <v>93</v>
      </c>
      <c r="Q789" t="s">
        <v>1815</v>
      </c>
    </row>
    <row r="790" spans="1:17" x14ac:dyDescent="0.3">
      <c r="A790" t="s">
        <v>17</v>
      </c>
      <c r="B790" t="str">
        <f>"600897"</f>
        <v>600897</v>
      </c>
      <c r="C790" t="s">
        <v>1816</v>
      </c>
      <c r="D790" t="s">
        <v>22</v>
      </c>
      <c r="F790">
        <v>149614036</v>
      </c>
      <c r="G790">
        <v>249442201</v>
      </c>
      <c r="H790">
        <v>238743156</v>
      </c>
      <c r="I790">
        <v>251096468</v>
      </c>
      <c r="J790">
        <v>287665587</v>
      </c>
      <c r="K790">
        <v>214778663</v>
      </c>
      <c r="L790">
        <v>186638032</v>
      </c>
      <c r="M790">
        <v>186430584</v>
      </c>
      <c r="N790">
        <v>181773475</v>
      </c>
      <c r="O790">
        <v>171920680</v>
      </c>
      <c r="P790">
        <v>479</v>
      </c>
      <c r="Q790" t="s">
        <v>1817</v>
      </c>
    </row>
    <row r="791" spans="1:17" x14ac:dyDescent="0.3">
      <c r="A791" t="s">
        <v>17</v>
      </c>
      <c r="B791" t="str">
        <f>"600898"</f>
        <v>600898</v>
      </c>
      <c r="C791" t="s">
        <v>1818</v>
      </c>
      <c r="D791" t="s">
        <v>313</v>
      </c>
      <c r="F791">
        <v>96341060</v>
      </c>
      <c r="G791">
        <v>42696930</v>
      </c>
      <c r="H791">
        <v>763406640</v>
      </c>
      <c r="I791">
        <v>1030228457</v>
      </c>
      <c r="J791">
        <v>918316433</v>
      </c>
      <c r="K791">
        <v>482480021</v>
      </c>
      <c r="L791">
        <v>40235816</v>
      </c>
      <c r="M791">
        <v>38968660</v>
      </c>
      <c r="N791">
        <v>21750043</v>
      </c>
      <c r="O791">
        <v>21862537</v>
      </c>
      <c r="P791">
        <v>57</v>
      </c>
      <c r="Q791" t="s">
        <v>1819</v>
      </c>
    </row>
    <row r="792" spans="1:17" x14ac:dyDescent="0.3">
      <c r="A792" t="s">
        <v>17</v>
      </c>
      <c r="B792" t="str">
        <f>"600900"</f>
        <v>600900</v>
      </c>
      <c r="C792" t="s">
        <v>1820</v>
      </c>
      <c r="D792" t="s">
        <v>66</v>
      </c>
      <c r="F792">
        <v>3768258804</v>
      </c>
      <c r="G792">
        <v>3650048603</v>
      </c>
      <c r="H792">
        <v>2944436814</v>
      </c>
      <c r="I792">
        <v>2626073800</v>
      </c>
      <c r="J792">
        <v>3213100307</v>
      </c>
      <c r="K792">
        <v>3110657083</v>
      </c>
      <c r="L792">
        <v>1648153422</v>
      </c>
      <c r="M792">
        <v>1816250436</v>
      </c>
      <c r="N792">
        <v>1406423880</v>
      </c>
      <c r="O792">
        <v>1446769674</v>
      </c>
      <c r="P792">
        <v>5902</v>
      </c>
      <c r="Q792" t="s">
        <v>1821</v>
      </c>
    </row>
    <row r="793" spans="1:17" x14ac:dyDescent="0.3">
      <c r="A793" t="s">
        <v>17</v>
      </c>
      <c r="B793" t="str">
        <f>"600901"</f>
        <v>600901</v>
      </c>
      <c r="C793" t="s">
        <v>1822</v>
      </c>
      <c r="D793" t="s">
        <v>336</v>
      </c>
      <c r="F793">
        <v>0</v>
      </c>
      <c r="G793">
        <v>0</v>
      </c>
      <c r="H793">
        <v>10200050</v>
      </c>
      <c r="I793">
        <v>12285350</v>
      </c>
      <c r="J793">
        <v>211095819400</v>
      </c>
      <c r="K793">
        <v>0</v>
      </c>
      <c r="L793">
        <v>0</v>
      </c>
      <c r="M793">
        <v>0</v>
      </c>
      <c r="P793">
        <v>475</v>
      </c>
      <c r="Q793" t="s">
        <v>1823</v>
      </c>
    </row>
    <row r="794" spans="1:17" x14ac:dyDescent="0.3">
      <c r="A794" t="s">
        <v>17</v>
      </c>
      <c r="B794" t="str">
        <f>"600903"</f>
        <v>600903</v>
      </c>
      <c r="C794" t="s">
        <v>1824</v>
      </c>
      <c r="D794" t="s">
        <v>749</v>
      </c>
      <c r="F794">
        <v>1061996624</v>
      </c>
      <c r="G794">
        <v>936504365</v>
      </c>
      <c r="H794">
        <v>738857982</v>
      </c>
      <c r="I794">
        <v>619738554</v>
      </c>
      <c r="J794">
        <v>493158954</v>
      </c>
      <c r="K794">
        <v>488791469</v>
      </c>
      <c r="L794">
        <v>407501601</v>
      </c>
      <c r="M794">
        <v>349429842</v>
      </c>
      <c r="P794">
        <v>186</v>
      </c>
      <c r="Q794" t="s">
        <v>1825</v>
      </c>
    </row>
    <row r="795" spans="1:17" x14ac:dyDescent="0.3">
      <c r="A795" t="s">
        <v>17</v>
      </c>
      <c r="B795" t="str">
        <f>"600905"</f>
        <v>600905</v>
      </c>
      <c r="C795" t="s">
        <v>1826</v>
      </c>
      <c r="D795" t="s">
        <v>383</v>
      </c>
      <c r="F795">
        <v>18970494099</v>
      </c>
      <c r="G795">
        <v>12362494654</v>
      </c>
      <c r="H795">
        <v>9818333462</v>
      </c>
      <c r="I795">
        <v>7188160017</v>
      </c>
      <c r="J795">
        <v>5014101892</v>
      </c>
      <c r="P795">
        <v>657</v>
      </c>
      <c r="Q795" t="s">
        <v>1827</v>
      </c>
    </row>
    <row r="796" spans="1:17" x14ac:dyDescent="0.3">
      <c r="A796" t="s">
        <v>17</v>
      </c>
      <c r="B796" t="str">
        <f>"600906"</f>
        <v>600906</v>
      </c>
      <c r="C796" t="s">
        <v>1828</v>
      </c>
      <c r="D796" t="s">
        <v>80</v>
      </c>
      <c r="F796">
        <v>0</v>
      </c>
      <c r="G796">
        <v>0</v>
      </c>
      <c r="H796">
        <v>0</v>
      </c>
      <c r="I796">
        <v>0</v>
      </c>
      <c r="J796">
        <v>0</v>
      </c>
      <c r="P796">
        <v>131</v>
      </c>
      <c r="Q796" t="s">
        <v>1829</v>
      </c>
    </row>
    <row r="797" spans="1:17" x14ac:dyDescent="0.3">
      <c r="A797" t="s">
        <v>17</v>
      </c>
      <c r="B797" t="str">
        <f>"600908"</f>
        <v>600908</v>
      </c>
      <c r="C797" t="s">
        <v>1830</v>
      </c>
      <c r="D797" t="s">
        <v>1831</v>
      </c>
      <c r="P797">
        <v>897</v>
      </c>
      <c r="Q797" t="s">
        <v>1832</v>
      </c>
    </row>
    <row r="798" spans="1:17" x14ac:dyDescent="0.3">
      <c r="A798" t="s">
        <v>17</v>
      </c>
      <c r="B798" t="str">
        <f>"600909"</f>
        <v>600909</v>
      </c>
      <c r="C798" t="s">
        <v>1833</v>
      </c>
      <c r="D798" t="s">
        <v>80</v>
      </c>
      <c r="F798">
        <v>279757909</v>
      </c>
      <c r="G798">
        <v>351752103</v>
      </c>
      <c r="H798">
        <v>313699547</v>
      </c>
      <c r="I798">
        <v>215696847</v>
      </c>
      <c r="J798">
        <v>339430435</v>
      </c>
      <c r="K798">
        <v>126646415</v>
      </c>
      <c r="L798">
        <v>0</v>
      </c>
      <c r="M798">
        <v>0</v>
      </c>
      <c r="N798">
        <v>0</v>
      </c>
      <c r="O798">
        <v>13688182.52</v>
      </c>
      <c r="P798">
        <v>832</v>
      </c>
      <c r="Q798" t="s">
        <v>1834</v>
      </c>
    </row>
    <row r="799" spans="1:17" x14ac:dyDescent="0.3">
      <c r="A799" t="s">
        <v>17</v>
      </c>
      <c r="B799" t="str">
        <f>"600916"</f>
        <v>600916</v>
      </c>
      <c r="C799" t="s">
        <v>1835</v>
      </c>
      <c r="D799" t="s">
        <v>1238</v>
      </c>
      <c r="F799">
        <v>1123624600</v>
      </c>
      <c r="G799">
        <v>762556216</v>
      </c>
      <c r="H799">
        <v>965100525</v>
      </c>
      <c r="I799">
        <v>1095850973</v>
      </c>
      <c r="J799">
        <v>367382304</v>
      </c>
      <c r="P799">
        <v>97</v>
      </c>
      <c r="Q799" t="s">
        <v>1836</v>
      </c>
    </row>
    <row r="800" spans="1:17" x14ac:dyDescent="0.3">
      <c r="A800" t="s">
        <v>17</v>
      </c>
      <c r="B800" t="str">
        <f>"600917"</f>
        <v>600917</v>
      </c>
      <c r="C800" t="s">
        <v>1837</v>
      </c>
      <c r="D800" t="s">
        <v>749</v>
      </c>
      <c r="F800">
        <v>218905324</v>
      </c>
      <c r="G800">
        <v>149381729</v>
      </c>
      <c r="H800">
        <v>163550273</v>
      </c>
      <c r="I800">
        <v>197141081</v>
      </c>
      <c r="J800">
        <v>239661259</v>
      </c>
      <c r="K800">
        <v>255864321</v>
      </c>
      <c r="L800">
        <v>289811575</v>
      </c>
      <c r="M800">
        <v>193135226</v>
      </c>
      <c r="N800">
        <v>163313321</v>
      </c>
      <c r="O800">
        <v>201983265</v>
      </c>
      <c r="P800">
        <v>176</v>
      </c>
      <c r="Q800" t="s">
        <v>1838</v>
      </c>
    </row>
    <row r="801" spans="1:17" x14ac:dyDescent="0.3">
      <c r="A801" t="s">
        <v>17</v>
      </c>
      <c r="B801" t="str">
        <f>"600918"</f>
        <v>600918</v>
      </c>
      <c r="C801" t="s">
        <v>1839</v>
      </c>
      <c r="D801" t="s">
        <v>80</v>
      </c>
      <c r="F801">
        <v>1572351957</v>
      </c>
      <c r="G801">
        <v>1008821124</v>
      </c>
      <c r="H801">
        <v>682845874</v>
      </c>
      <c r="I801">
        <v>416942767</v>
      </c>
      <c r="J801">
        <v>280518435</v>
      </c>
      <c r="K801">
        <v>978104093</v>
      </c>
      <c r="L801">
        <v>506778974</v>
      </c>
      <c r="M801">
        <v>133815400</v>
      </c>
      <c r="N801">
        <v>47945800</v>
      </c>
      <c r="O801">
        <v>44262900</v>
      </c>
      <c r="P801">
        <v>568</v>
      </c>
      <c r="Q801" t="s">
        <v>1840</v>
      </c>
    </row>
    <row r="802" spans="1:17" x14ac:dyDescent="0.3">
      <c r="A802" t="s">
        <v>17</v>
      </c>
      <c r="B802" t="str">
        <f>"600919"</f>
        <v>600919</v>
      </c>
      <c r="C802" t="s">
        <v>1841</v>
      </c>
      <c r="D802" t="s">
        <v>1842</v>
      </c>
      <c r="P802">
        <v>1465</v>
      </c>
      <c r="Q802" t="s">
        <v>1843</v>
      </c>
    </row>
    <row r="803" spans="1:17" x14ac:dyDescent="0.3">
      <c r="A803" t="s">
        <v>17</v>
      </c>
      <c r="B803" t="str">
        <f>"600926"</f>
        <v>600926</v>
      </c>
      <c r="C803" t="s">
        <v>1844</v>
      </c>
      <c r="D803" t="s">
        <v>1842</v>
      </c>
      <c r="P803">
        <v>1141</v>
      </c>
      <c r="Q803" t="s">
        <v>1845</v>
      </c>
    </row>
    <row r="804" spans="1:17" x14ac:dyDescent="0.3">
      <c r="A804" t="s">
        <v>17</v>
      </c>
      <c r="B804" t="str">
        <f>"600927"</f>
        <v>600927</v>
      </c>
      <c r="C804" t="s">
        <v>1846</v>
      </c>
      <c r="D804" t="s">
        <v>1847</v>
      </c>
      <c r="F804">
        <v>0</v>
      </c>
      <c r="G804">
        <v>0</v>
      </c>
      <c r="H804">
        <v>0</v>
      </c>
      <c r="I804">
        <v>0</v>
      </c>
      <c r="J804">
        <v>0</v>
      </c>
      <c r="P804">
        <v>22</v>
      </c>
      <c r="Q804" t="s">
        <v>1848</v>
      </c>
    </row>
    <row r="805" spans="1:17" x14ac:dyDescent="0.3">
      <c r="A805" t="s">
        <v>17</v>
      </c>
      <c r="B805" t="str">
        <f>"600928"</f>
        <v>600928</v>
      </c>
      <c r="C805" t="s">
        <v>1849</v>
      </c>
      <c r="D805" t="s">
        <v>1842</v>
      </c>
      <c r="P805">
        <v>409</v>
      </c>
      <c r="Q805" t="s">
        <v>1850</v>
      </c>
    </row>
    <row r="806" spans="1:17" x14ac:dyDescent="0.3">
      <c r="A806" t="s">
        <v>17</v>
      </c>
      <c r="B806" t="str">
        <f>"600929"</f>
        <v>600929</v>
      </c>
      <c r="C806" t="s">
        <v>1851</v>
      </c>
      <c r="D806" t="s">
        <v>736</v>
      </c>
      <c r="F806">
        <v>104042992</v>
      </c>
      <c r="G806">
        <v>81993128</v>
      </c>
      <c r="H806">
        <v>79490004</v>
      </c>
      <c r="I806">
        <v>60828356</v>
      </c>
      <c r="J806">
        <v>58866682</v>
      </c>
      <c r="K806">
        <v>84385099</v>
      </c>
      <c r="L806">
        <v>109139582</v>
      </c>
      <c r="P806">
        <v>133</v>
      </c>
      <c r="Q806" t="s">
        <v>1852</v>
      </c>
    </row>
    <row r="807" spans="1:17" x14ac:dyDescent="0.3">
      <c r="A807" t="s">
        <v>17</v>
      </c>
      <c r="B807" t="str">
        <f>"600933"</f>
        <v>600933</v>
      </c>
      <c r="C807" t="s">
        <v>1853</v>
      </c>
      <c r="D807" t="s">
        <v>348</v>
      </c>
      <c r="F807">
        <v>801709076</v>
      </c>
      <c r="G807">
        <v>767690359</v>
      </c>
      <c r="H807">
        <v>640995282</v>
      </c>
      <c r="I807">
        <v>619652143</v>
      </c>
      <c r="J807">
        <v>543419442</v>
      </c>
      <c r="K807">
        <v>423947054</v>
      </c>
      <c r="L807">
        <v>319812253</v>
      </c>
      <c r="M807">
        <v>263946321</v>
      </c>
      <c r="P807">
        <v>176</v>
      </c>
      <c r="Q807" t="s">
        <v>1854</v>
      </c>
    </row>
    <row r="808" spans="1:17" x14ac:dyDescent="0.3">
      <c r="A808" t="s">
        <v>17</v>
      </c>
      <c r="B808" t="str">
        <f>"600935"</f>
        <v>600935</v>
      </c>
      <c r="C808" t="s">
        <v>1855</v>
      </c>
      <c r="D808" t="s">
        <v>175</v>
      </c>
      <c r="F808">
        <v>22701994</v>
      </c>
      <c r="G808">
        <v>29160405</v>
      </c>
      <c r="H808">
        <v>27148775</v>
      </c>
      <c r="I808">
        <v>71358414</v>
      </c>
      <c r="J808">
        <v>97156883</v>
      </c>
      <c r="P808">
        <v>16</v>
      </c>
      <c r="Q808" t="s">
        <v>1856</v>
      </c>
    </row>
    <row r="809" spans="1:17" x14ac:dyDescent="0.3">
      <c r="A809" t="s">
        <v>17</v>
      </c>
      <c r="B809" t="str">
        <f>"600936"</f>
        <v>600936</v>
      </c>
      <c r="C809" t="s">
        <v>1857</v>
      </c>
      <c r="D809" t="s">
        <v>95</v>
      </c>
      <c r="F809">
        <v>589277999</v>
      </c>
      <c r="G809">
        <v>607567194</v>
      </c>
      <c r="H809">
        <v>518715071</v>
      </c>
      <c r="I809">
        <v>433123862</v>
      </c>
      <c r="J809">
        <v>472870352</v>
      </c>
      <c r="K809">
        <v>284361898</v>
      </c>
      <c r="L809">
        <v>127277273</v>
      </c>
      <c r="M809">
        <v>105688474</v>
      </c>
      <c r="N809">
        <v>53996848</v>
      </c>
      <c r="P809">
        <v>80</v>
      </c>
      <c r="Q809" t="s">
        <v>1858</v>
      </c>
    </row>
    <row r="810" spans="1:17" x14ac:dyDescent="0.3">
      <c r="A810" t="s">
        <v>17</v>
      </c>
      <c r="B810" t="str">
        <f>"600938"</f>
        <v>600938</v>
      </c>
      <c r="C810" t="s">
        <v>1859</v>
      </c>
      <c r="F810">
        <v>26444000000</v>
      </c>
      <c r="G810">
        <v>18401281100</v>
      </c>
      <c r="H810">
        <v>24708200600</v>
      </c>
      <c r="I810">
        <v>21860137300</v>
      </c>
      <c r="P810">
        <v>26</v>
      </c>
      <c r="Q810" t="s">
        <v>1860</v>
      </c>
    </row>
    <row r="811" spans="1:17" x14ac:dyDescent="0.3">
      <c r="A811" t="s">
        <v>17</v>
      </c>
      <c r="B811" t="str">
        <f>"600939"</f>
        <v>600939</v>
      </c>
      <c r="C811" t="s">
        <v>1861</v>
      </c>
      <c r="D811" t="s">
        <v>398</v>
      </c>
      <c r="F811">
        <v>17292617926</v>
      </c>
      <c r="G811">
        <v>13260339939</v>
      </c>
      <c r="H811">
        <v>15306948308</v>
      </c>
      <c r="I811">
        <v>15105127351</v>
      </c>
      <c r="J811">
        <v>14193823234</v>
      </c>
      <c r="K811">
        <v>13291383047</v>
      </c>
      <c r="L811">
        <v>12731486610</v>
      </c>
      <c r="M811">
        <v>10389500423</v>
      </c>
      <c r="N811">
        <v>9293598922</v>
      </c>
      <c r="P811">
        <v>125</v>
      </c>
      <c r="Q811" t="s">
        <v>1862</v>
      </c>
    </row>
    <row r="812" spans="1:17" x14ac:dyDescent="0.3">
      <c r="A812" t="s">
        <v>17</v>
      </c>
      <c r="B812" t="str">
        <f>"600941"</f>
        <v>600941</v>
      </c>
      <c r="C812" t="s">
        <v>1863</v>
      </c>
      <c r="D812" t="s">
        <v>107</v>
      </c>
      <c r="F812">
        <v>37185000000</v>
      </c>
      <c r="G812">
        <v>39690000000</v>
      </c>
      <c r="H812">
        <v>34044000000</v>
      </c>
      <c r="I812">
        <v>27110000000</v>
      </c>
      <c r="P812">
        <v>114</v>
      </c>
      <c r="Q812" t="s">
        <v>1864</v>
      </c>
    </row>
    <row r="813" spans="1:17" x14ac:dyDescent="0.3">
      <c r="A813" t="s">
        <v>17</v>
      </c>
      <c r="B813" t="str">
        <f>"600955"</f>
        <v>600955</v>
      </c>
      <c r="C813" t="s">
        <v>1865</v>
      </c>
      <c r="D813" t="s">
        <v>1233</v>
      </c>
      <c r="F813">
        <v>0</v>
      </c>
      <c r="G813">
        <v>0</v>
      </c>
      <c r="H813">
        <v>0</v>
      </c>
      <c r="I813">
        <v>0</v>
      </c>
      <c r="J813">
        <v>275030</v>
      </c>
      <c r="P813">
        <v>46</v>
      </c>
      <c r="Q813" t="s">
        <v>1866</v>
      </c>
    </row>
    <row r="814" spans="1:17" x14ac:dyDescent="0.3">
      <c r="A814" t="s">
        <v>17</v>
      </c>
      <c r="B814" t="str">
        <f>"600956"</f>
        <v>600956</v>
      </c>
      <c r="C814" t="s">
        <v>1867</v>
      </c>
      <c r="D814" t="s">
        <v>383</v>
      </c>
      <c r="F814">
        <v>6657415202</v>
      </c>
      <c r="G814">
        <v>4866274732</v>
      </c>
      <c r="H814">
        <v>3514087017</v>
      </c>
      <c r="I814">
        <v>2804601307</v>
      </c>
      <c r="J814">
        <v>2110736995</v>
      </c>
      <c r="P814">
        <v>204</v>
      </c>
      <c r="Q814" t="s">
        <v>1868</v>
      </c>
    </row>
    <row r="815" spans="1:17" x14ac:dyDescent="0.3">
      <c r="A815" t="s">
        <v>17</v>
      </c>
      <c r="B815" t="str">
        <f>"600958"</f>
        <v>600958</v>
      </c>
      <c r="C815" t="s">
        <v>1869</v>
      </c>
      <c r="D815" t="s">
        <v>80</v>
      </c>
      <c r="F815">
        <v>1011537448</v>
      </c>
      <c r="G815">
        <v>874405553</v>
      </c>
      <c r="H815">
        <v>1019919667</v>
      </c>
      <c r="I815">
        <v>0</v>
      </c>
      <c r="J815">
        <v>962844440</v>
      </c>
      <c r="K815">
        <v>1748220158</v>
      </c>
      <c r="L815">
        <v>0</v>
      </c>
      <c r="M815">
        <v>0</v>
      </c>
      <c r="N815">
        <v>0</v>
      </c>
      <c r="O815">
        <v>0</v>
      </c>
      <c r="P815">
        <v>1248</v>
      </c>
      <c r="Q815" t="s">
        <v>1870</v>
      </c>
    </row>
    <row r="816" spans="1:17" x14ac:dyDescent="0.3">
      <c r="A816" t="s">
        <v>17</v>
      </c>
      <c r="B816" t="str">
        <f>"600959"</f>
        <v>600959</v>
      </c>
      <c r="C816" t="s">
        <v>1871</v>
      </c>
      <c r="D816" t="s">
        <v>95</v>
      </c>
      <c r="F816">
        <v>861961688</v>
      </c>
      <c r="G816">
        <v>874925762</v>
      </c>
      <c r="H816">
        <v>757172489</v>
      </c>
      <c r="I816">
        <v>774041252</v>
      </c>
      <c r="J816">
        <v>717839663</v>
      </c>
      <c r="K816">
        <v>513721945</v>
      </c>
      <c r="L816">
        <v>282671471</v>
      </c>
      <c r="M816">
        <v>210050744</v>
      </c>
      <c r="N816">
        <v>179636462</v>
      </c>
      <c r="O816">
        <v>133151946</v>
      </c>
      <c r="P816">
        <v>150</v>
      </c>
      <c r="Q816" t="s">
        <v>1872</v>
      </c>
    </row>
    <row r="817" spans="1:17" x14ac:dyDescent="0.3">
      <c r="A817" t="s">
        <v>17</v>
      </c>
      <c r="B817" t="str">
        <f>"600960"</f>
        <v>600960</v>
      </c>
      <c r="C817" t="s">
        <v>1873</v>
      </c>
      <c r="D817" t="s">
        <v>348</v>
      </c>
      <c r="F817">
        <v>815542235</v>
      </c>
      <c r="G817">
        <v>807440843</v>
      </c>
      <c r="H817">
        <v>862448063</v>
      </c>
      <c r="I817">
        <v>1063294442</v>
      </c>
      <c r="J817">
        <v>717457808</v>
      </c>
      <c r="K817">
        <v>456110552</v>
      </c>
      <c r="L817">
        <v>241972356</v>
      </c>
      <c r="M817">
        <v>255490799</v>
      </c>
      <c r="N817">
        <v>301980128</v>
      </c>
      <c r="O817">
        <v>239378312</v>
      </c>
      <c r="P817">
        <v>91</v>
      </c>
      <c r="Q817" t="s">
        <v>1874</v>
      </c>
    </row>
    <row r="818" spans="1:17" x14ac:dyDescent="0.3">
      <c r="A818" t="s">
        <v>17</v>
      </c>
      <c r="B818" t="str">
        <f>"600961"</f>
        <v>600961</v>
      </c>
      <c r="C818" t="s">
        <v>1875</v>
      </c>
      <c r="D818" t="s">
        <v>744</v>
      </c>
      <c r="F818">
        <v>188796292</v>
      </c>
      <c r="G818">
        <v>192607149</v>
      </c>
      <c r="H818">
        <v>211521473</v>
      </c>
      <c r="I818">
        <v>128644417</v>
      </c>
      <c r="J818">
        <v>94390072</v>
      </c>
      <c r="K818">
        <v>65359024</v>
      </c>
      <c r="L818">
        <v>92969568</v>
      </c>
      <c r="M818">
        <v>169935986</v>
      </c>
      <c r="N818">
        <v>169741326</v>
      </c>
      <c r="O818">
        <v>98872765</v>
      </c>
      <c r="P818">
        <v>127</v>
      </c>
      <c r="Q818" t="s">
        <v>1876</v>
      </c>
    </row>
    <row r="819" spans="1:17" x14ac:dyDescent="0.3">
      <c r="A819" t="s">
        <v>17</v>
      </c>
      <c r="B819" t="str">
        <f>"600962"</f>
        <v>600962</v>
      </c>
      <c r="C819" t="s">
        <v>1877</v>
      </c>
      <c r="D819" t="s">
        <v>574</v>
      </c>
      <c r="F819">
        <v>473700163</v>
      </c>
      <c r="G819">
        <v>340288435</v>
      </c>
      <c r="H819">
        <v>533504452</v>
      </c>
      <c r="I819">
        <v>248129401</v>
      </c>
      <c r="J819">
        <v>270918863</v>
      </c>
      <c r="K819">
        <v>214952613</v>
      </c>
      <c r="L819">
        <v>253133035</v>
      </c>
      <c r="M819">
        <v>121449476</v>
      </c>
      <c r="N819">
        <v>262491450</v>
      </c>
      <c r="O819">
        <v>200934604</v>
      </c>
      <c r="P819">
        <v>94</v>
      </c>
      <c r="Q819" t="s">
        <v>1878</v>
      </c>
    </row>
    <row r="820" spans="1:17" x14ac:dyDescent="0.3">
      <c r="A820" t="s">
        <v>17</v>
      </c>
      <c r="B820" t="str">
        <f>"600963"</f>
        <v>600963</v>
      </c>
      <c r="C820" t="s">
        <v>1879</v>
      </c>
      <c r="D820" t="s">
        <v>694</v>
      </c>
      <c r="F820">
        <v>729654372</v>
      </c>
      <c r="G820">
        <v>610512873</v>
      </c>
      <c r="H820">
        <v>979501443</v>
      </c>
      <c r="I820">
        <v>780085919</v>
      </c>
      <c r="J820">
        <v>900429185</v>
      </c>
      <c r="K820">
        <v>808473129</v>
      </c>
      <c r="L820">
        <v>988164692</v>
      </c>
      <c r="M820">
        <v>828127941</v>
      </c>
      <c r="N820">
        <v>751166074</v>
      </c>
      <c r="O820">
        <v>867619230</v>
      </c>
      <c r="P820">
        <v>201</v>
      </c>
      <c r="Q820" t="s">
        <v>1880</v>
      </c>
    </row>
    <row r="821" spans="1:17" x14ac:dyDescent="0.3">
      <c r="A821" t="s">
        <v>17</v>
      </c>
      <c r="B821" t="str">
        <f>"600965"</f>
        <v>600965</v>
      </c>
      <c r="C821" t="s">
        <v>1881</v>
      </c>
      <c r="D821" t="s">
        <v>1882</v>
      </c>
      <c r="F821">
        <v>143352224</v>
      </c>
      <c r="G821">
        <v>147506601</v>
      </c>
      <c r="H821">
        <v>176300264</v>
      </c>
      <c r="I821">
        <v>165004676</v>
      </c>
      <c r="J821">
        <v>140872241</v>
      </c>
      <c r="K821">
        <v>121950966</v>
      </c>
      <c r="L821">
        <v>112372454</v>
      </c>
      <c r="M821">
        <v>116868377</v>
      </c>
      <c r="N821">
        <v>86546568</v>
      </c>
      <c r="O821">
        <v>78560558</v>
      </c>
      <c r="P821">
        <v>113</v>
      </c>
      <c r="Q821" t="s">
        <v>1883</v>
      </c>
    </row>
    <row r="822" spans="1:17" x14ac:dyDescent="0.3">
      <c r="A822" t="s">
        <v>17</v>
      </c>
      <c r="B822" t="str">
        <f>"600966"</f>
        <v>600966</v>
      </c>
      <c r="C822" t="s">
        <v>1884</v>
      </c>
      <c r="D822" t="s">
        <v>694</v>
      </c>
      <c r="F822">
        <v>641707287</v>
      </c>
      <c r="G822">
        <v>619512530</v>
      </c>
      <c r="H822">
        <v>1016197656</v>
      </c>
      <c r="I822">
        <v>963426441</v>
      </c>
      <c r="J822">
        <v>905258170</v>
      </c>
      <c r="K822">
        <v>839283786</v>
      </c>
      <c r="L822">
        <v>876111383</v>
      </c>
      <c r="M822">
        <v>612116219</v>
      </c>
      <c r="N822">
        <v>634774811</v>
      </c>
      <c r="O822">
        <v>374282735</v>
      </c>
      <c r="P822">
        <v>396</v>
      </c>
      <c r="Q822" t="s">
        <v>1885</v>
      </c>
    </row>
    <row r="823" spans="1:17" x14ac:dyDescent="0.3">
      <c r="A823" t="s">
        <v>17</v>
      </c>
      <c r="B823" t="str">
        <f>"600967"</f>
        <v>600967</v>
      </c>
      <c r="C823" t="s">
        <v>1886</v>
      </c>
      <c r="D823" t="s">
        <v>428</v>
      </c>
      <c r="F823">
        <v>682631326</v>
      </c>
      <c r="G823">
        <v>557527569</v>
      </c>
      <c r="H823">
        <v>671896481</v>
      </c>
      <c r="I823">
        <v>820317764</v>
      </c>
      <c r="J823">
        <v>871518110</v>
      </c>
      <c r="K823">
        <v>937462525</v>
      </c>
      <c r="L823">
        <v>487101000</v>
      </c>
      <c r="M823">
        <v>334344818</v>
      </c>
      <c r="N823">
        <v>326319015</v>
      </c>
      <c r="O823">
        <v>386358416</v>
      </c>
      <c r="P823">
        <v>286</v>
      </c>
      <c r="Q823" t="s">
        <v>1887</v>
      </c>
    </row>
    <row r="824" spans="1:17" x14ac:dyDescent="0.3">
      <c r="A824" t="s">
        <v>17</v>
      </c>
      <c r="B824" t="str">
        <f>"600968"</f>
        <v>600968</v>
      </c>
      <c r="C824" t="s">
        <v>1888</v>
      </c>
      <c r="D824" t="s">
        <v>1762</v>
      </c>
      <c r="F824">
        <v>10931970466</v>
      </c>
      <c r="G824">
        <v>8944552247</v>
      </c>
      <c r="H824">
        <v>10242248376</v>
      </c>
      <c r="I824">
        <v>0</v>
      </c>
      <c r="J824">
        <v>0</v>
      </c>
      <c r="K824">
        <v>0</v>
      </c>
      <c r="P824">
        <v>189</v>
      </c>
      <c r="Q824" t="s">
        <v>1889</v>
      </c>
    </row>
    <row r="825" spans="1:17" x14ac:dyDescent="0.3">
      <c r="A825" t="s">
        <v>17</v>
      </c>
      <c r="B825" t="str">
        <f>"600969"</f>
        <v>600969</v>
      </c>
      <c r="C825" t="s">
        <v>1890</v>
      </c>
      <c r="D825" t="s">
        <v>239</v>
      </c>
      <c r="F825">
        <v>217626643</v>
      </c>
      <c r="G825">
        <v>203653167</v>
      </c>
      <c r="H825">
        <v>232428406</v>
      </c>
      <c r="I825">
        <v>206409439</v>
      </c>
      <c r="J825">
        <v>222841364</v>
      </c>
      <c r="K825">
        <v>252340727</v>
      </c>
      <c r="L825">
        <v>187345914</v>
      </c>
      <c r="M825">
        <v>177998102</v>
      </c>
      <c r="N825">
        <v>130182550</v>
      </c>
      <c r="O825">
        <v>99137656</v>
      </c>
      <c r="P825">
        <v>77</v>
      </c>
      <c r="Q825" t="s">
        <v>1891</v>
      </c>
    </row>
    <row r="826" spans="1:17" x14ac:dyDescent="0.3">
      <c r="A826" t="s">
        <v>17</v>
      </c>
      <c r="B826" t="str">
        <f>"600970"</f>
        <v>600970</v>
      </c>
      <c r="C826" t="s">
        <v>1892</v>
      </c>
      <c r="D826" t="s">
        <v>1893</v>
      </c>
      <c r="F826">
        <v>5019046221</v>
      </c>
      <c r="G826">
        <v>3175420398</v>
      </c>
      <c r="H826">
        <v>3823052965</v>
      </c>
      <c r="I826">
        <v>3165706204</v>
      </c>
      <c r="J826">
        <v>2898697567</v>
      </c>
      <c r="K826">
        <v>3399908400</v>
      </c>
      <c r="L826">
        <v>3729834779</v>
      </c>
      <c r="M826">
        <v>3196371872</v>
      </c>
      <c r="N826">
        <v>3441787680</v>
      </c>
      <c r="O826">
        <v>3212462182</v>
      </c>
      <c r="P826">
        <v>853</v>
      </c>
      <c r="Q826" t="s">
        <v>1894</v>
      </c>
    </row>
    <row r="827" spans="1:17" x14ac:dyDescent="0.3">
      <c r="A827" t="s">
        <v>17</v>
      </c>
      <c r="B827" t="str">
        <f>"600971"</f>
        <v>600971</v>
      </c>
      <c r="C827" t="s">
        <v>1895</v>
      </c>
      <c r="D827" t="s">
        <v>292</v>
      </c>
      <c r="F827">
        <v>108808526</v>
      </c>
      <c r="G827">
        <v>166228668</v>
      </c>
      <c r="H827">
        <v>161748864</v>
      </c>
      <c r="I827">
        <v>158592069</v>
      </c>
      <c r="J827">
        <v>188353470</v>
      </c>
      <c r="K827">
        <v>283360518</v>
      </c>
      <c r="L827">
        <v>593335089</v>
      </c>
      <c r="M827">
        <v>421205804</v>
      </c>
      <c r="N827">
        <v>275691305</v>
      </c>
      <c r="O827">
        <v>232292247</v>
      </c>
      <c r="P827">
        <v>1522</v>
      </c>
      <c r="Q827" t="s">
        <v>1896</v>
      </c>
    </row>
    <row r="828" spans="1:17" x14ac:dyDescent="0.3">
      <c r="A828" t="s">
        <v>17</v>
      </c>
      <c r="B828" t="str">
        <f>"600973"</f>
        <v>600973</v>
      </c>
      <c r="C828" t="s">
        <v>1897</v>
      </c>
      <c r="D828" t="s">
        <v>1164</v>
      </c>
      <c r="F828">
        <v>4728408592</v>
      </c>
      <c r="G828">
        <v>3502277947</v>
      </c>
      <c r="H828">
        <v>4441503131</v>
      </c>
      <c r="I828">
        <v>4353779156</v>
      </c>
      <c r="J828">
        <v>4504643727</v>
      </c>
      <c r="K828">
        <v>3653409001</v>
      </c>
      <c r="L828">
        <v>3368039329</v>
      </c>
      <c r="M828">
        <v>3265022633</v>
      </c>
      <c r="N828">
        <v>2708992370</v>
      </c>
      <c r="O828">
        <v>2271797467</v>
      </c>
      <c r="P828">
        <v>116</v>
      </c>
      <c r="Q828" t="s">
        <v>1898</v>
      </c>
    </row>
    <row r="829" spans="1:17" x14ac:dyDescent="0.3">
      <c r="A829" t="s">
        <v>17</v>
      </c>
      <c r="B829" t="str">
        <f>"600975"</f>
        <v>600975</v>
      </c>
      <c r="C829" t="s">
        <v>1899</v>
      </c>
      <c r="D829" t="s">
        <v>1900</v>
      </c>
      <c r="F829">
        <v>92755376</v>
      </c>
      <c r="G829">
        <v>34119243</v>
      </c>
      <c r="H829">
        <v>23855677</v>
      </c>
      <c r="I829">
        <v>35407145</v>
      </c>
      <c r="J829">
        <v>55786069</v>
      </c>
      <c r="K829">
        <v>27470770</v>
      </c>
      <c r="L829">
        <v>80676191</v>
      </c>
      <c r="M829">
        <v>109236816</v>
      </c>
      <c r="N829">
        <v>24387604</v>
      </c>
      <c r="O829">
        <v>26375913</v>
      </c>
      <c r="P829">
        <v>305</v>
      </c>
      <c r="Q829" t="s">
        <v>1901</v>
      </c>
    </row>
    <row r="830" spans="1:17" x14ac:dyDescent="0.3">
      <c r="A830" t="s">
        <v>17</v>
      </c>
      <c r="B830" t="str">
        <f>"600976"</f>
        <v>600976</v>
      </c>
      <c r="C830" t="s">
        <v>1902</v>
      </c>
      <c r="D830" t="s">
        <v>188</v>
      </c>
      <c r="F830">
        <v>474628721</v>
      </c>
      <c r="G830">
        <v>332075296</v>
      </c>
      <c r="H830">
        <v>332008436</v>
      </c>
      <c r="I830">
        <v>311192663</v>
      </c>
      <c r="J830">
        <v>489708793</v>
      </c>
      <c r="K830">
        <v>431366120</v>
      </c>
      <c r="L830">
        <v>343845758</v>
      </c>
      <c r="M830">
        <v>308061782</v>
      </c>
      <c r="N830">
        <v>283655329</v>
      </c>
      <c r="O830">
        <v>165316599</v>
      </c>
      <c r="P830">
        <v>249</v>
      </c>
      <c r="Q830" t="s">
        <v>1903</v>
      </c>
    </row>
    <row r="831" spans="1:17" x14ac:dyDescent="0.3">
      <c r="A831" t="s">
        <v>17</v>
      </c>
      <c r="B831" t="str">
        <f>"600977"</f>
        <v>600977</v>
      </c>
      <c r="C831" t="s">
        <v>1904</v>
      </c>
      <c r="D831" t="s">
        <v>113</v>
      </c>
      <c r="F831">
        <v>2687564951</v>
      </c>
      <c r="G831">
        <v>2339543585</v>
      </c>
      <c r="H831">
        <v>1612297021</v>
      </c>
      <c r="I831">
        <v>1473535703</v>
      </c>
      <c r="J831">
        <v>1488954507</v>
      </c>
      <c r="K831">
        <v>1220923638</v>
      </c>
      <c r="L831">
        <v>1366672961</v>
      </c>
      <c r="M831">
        <v>1362327199</v>
      </c>
      <c r="N831">
        <v>1085144842</v>
      </c>
      <c r="P831">
        <v>554</v>
      </c>
      <c r="Q831" t="s">
        <v>1905</v>
      </c>
    </row>
    <row r="832" spans="1:17" x14ac:dyDescent="0.3">
      <c r="A832" t="s">
        <v>17</v>
      </c>
      <c r="B832" t="str">
        <f>"600978"</f>
        <v>600978</v>
      </c>
      <c r="C832" t="s">
        <v>1906</v>
      </c>
      <c r="H832">
        <v>2615221533</v>
      </c>
      <c r="I832">
        <v>2347470272</v>
      </c>
      <c r="J832">
        <v>1828907187</v>
      </c>
      <c r="K832">
        <v>1657763591</v>
      </c>
      <c r="L832">
        <v>1237772883</v>
      </c>
      <c r="M832">
        <v>1177933586</v>
      </c>
      <c r="N832">
        <v>925302821</v>
      </c>
      <c r="O832">
        <v>971201994</v>
      </c>
      <c r="P832">
        <v>167</v>
      </c>
      <c r="Q832" t="s">
        <v>1907</v>
      </c>
    </row>
    <row r="833" spans="1:17" x14ac:dyDescent="0.3">
      <c r="A833" t="s">
        <v>17</v>
      </c>
      <c r="B833" t="str">
        <f>"600979"</f>
        <v>600979</v>
      </c>
      <c r="C833" t="s">
        <v>1908</v>
      </c>
      <c r="D833" t="s">
        <v>239</v>
      </c>
      <c r="F833">
        <v>342305422</v>
      </c>
      <c r="G833">
        <v>255250979</v>
      </c>
      <c r="H833">
        <v>254842039</v>
      </c>
      <c r="I833">
        <v>232524091</v>
      </c>
      <c r="J833">
        <v>202805142</v>
      </c>
      <c r="K833">
        <v>156513603</v>
      </c>
      <c r="L833">
        <v>136227012</v>
      </c>
      <c r="M833">
        <v>113886571</v>
      </c>
      <c r="N833">
        <v>72782576</v>
      </c>
      <c r="O833">
        <v>46945280</v>
      </c>
      <c r="P833">
        <v>117</v>
      </c>
      <c r="Q833" t="s">
        <v>1909</v>
      </c>
    </row>
    <row r="834" spans="1:17" x14ac:dyDescent="0.3">
      <c r="A834" t="s">
        <v>17</v>
      </c>
      <c r="B834" t="str">
        <f>"600980"</f>
        <v>600980</v>
      </c>
      <c r="C834" t="s">
        <v>1910</v>
      </c>
      <c r="D834" t="s">
        <v>808</v>
      </c>
      <c r="F834">
        <v>150477316</v>
      </c>
      <c r="G834">
        <v>130116918</v>
      </c>
      <c r="H834">
        <v>136912309</v>
      </c>
      <c r="I834">
        <v>129401517</v>
      </c>
      <c r="J834">
        <v>165976358</v>
      </c>
      <c r="K834">
        <v>210259733</v>
      </c>
      <c r="L834">
        <v>166101648</v>
      </c>
      <c r="M834">
        <v>39190276</v>
      </c>
      <c r="N834">
        <v>44753735</v>
      </c>
      <c r="O834">
        <v>30714548</v>
      </c>
      <c r="P834">
        <v>97</v>
      </c>
      <c r="Q834" t="s">
        <v>1911</v>
      </c>
    </row>
    <row r="835" spans="1:17" x14ac:dyDescent="0.3">
      <c r="A835" t="s">
        <v>17</v>
      </c>
      <c r="B835" t="str">
        <f>"600981"</f>
        <v>600981</v>
      </c>
      <c r="C835" t="s">
        <v>1912</v>
      </c>
      <c r="D835" t="s">
        <v>131</v>
      </c>
      <c r="F835">
        <v>3242743543</v>
      </c>
      <c r="G835">
        <v>3095002279</v>
      </c>
      <c r="H835">
        <v>3204391742</v>
      </c>
      <c r="I835">
        <v>3380615255</v>
      </c>
      <c r="J835">
        <v>3492251672</v>
      </c>
      <c r="K835">
        <v>4840516113</v>
      </c>
      <c r="L835">
        <v>5408233082</v>
      </c>
      <c r="M835">
        <v>1042249138</v>
      </c>
      <c r="N835">
        <v>1139888152</v>
      </c>
      <c r="O835">
        <v>709611822</v>
      </c>
      <c r="P835">
        <v>99</v>
      </c>
      <c r="Q835" t="s">
        <v>1913</v>
      </c>
    </row>
    <row r="836" spans="1:17" x14ac:dyDescent="0.3">
      <c r="A836" t="s">
        <v>17</v>
      </c>
      <c r="B836" t="str">
        <f>"600982"</f>
        <v>600982</v>
      </c>
      <c r="C836" t="s">
        <v>1914</v>
      </c>
      <c r="D836" t="s">
        <v>351</v>
      </c>
      <c r="F836">
        <v>560596095</v>
      </c>
      <c r="G836">
        <v>189552275</v>
      </c>
      <c r="H836">
        <v>199067002</v>
      </c>
      <c r="I836">
        <v>101451772</v>
      </c>
      <c r="J836">
        <v>108600629</v>
      </c>
      <c r="K836">
        <v>93417620</v>
      </c>
      <c r="L836">
        <v>44907996</v>
      </c>
      <c r="M836">
        <v>43915571</v>
      </c>
      <c r="N836">
        <v>45469364</v>
      </c>
      <c r="O836">
        <v>70468121</v>
      </c>
      <c r="P836">
        <v>135</v>
      </c>
      <c r="Q836" t="s">
        <v>1915</v>
      </c>
    </row>
    <row r="837" spans="1:17" x14ac:dyDescent="0.3">
      <c r="A837" t="s">
        <v>17</v>
      </c>
      <c r="B837" t="str">
        <f>"600983"</f>
        <v>600983</v>
      </c>
      <c r="C837" t="s">
        <v>1916</v>
      </c>
      <c r="D837" t="s">
        <v>754</v>
      </c>
      <c r="F837">
        <v>1650131812</v>
      </c>
      <c r="G837">
        <v>1564571883</v>
      </c>
      <c r="H837">
        <v>1282396192</v>
      </c>
      <c r="I837">
        <v>1521159350</v>
      </c>
      <c r="J837">
        <v>1272768929</v>
      </c>
      <c r="K837">
        <v>1385825949</v>
      </c>
      <c r="L837">
        <v>1293072430</v>
      </c>
      <c r="M837">
        <v>921950824</v>
      </c>
      <c r="N837">
        <v>288746976</v>
      </c>
      <c r="O837">
        <v>280913517</v>
      </c>
      <c r="P837">
        <v>128</v>
      </c>
      <c r="Q837" t="s">
        <v>1917</v>
      </c>
    </row>
    <row r="838" spans="1:17" x14ac:dyDescent="0.3">
      <c r="A838" t="s">
        <v>17</v>
      </c>
      <c r="B838" t="str">
        <f>"600984"</f>
        <v>600984</v>
      </c>
      <c r="C838" t="s">
        <v>1918</v>
      </c>
      <c r="D838" t="s">
        <v>83</v>
      </c>
      <c r="F838">
        <v>5048139100</v>
      </c>
      <c r="G838">
        <v>3700327795</v>
      </c>
      <c r="H838">
        <v>2600349149</v>
      </c>
      <c r="I838">
        <v>1869612875</v>
      </c>
      <c r="J838">
        <v>1718582360</v>
      </c>
      <c r="K838">
        <v>1390087348</v>
      </c>
      <c r="L838">
        <v>1303293306</v>
      </c>
      <c r="M838">
        <v>415476515</v>
      </c>
      <c r="N838">
        <v>483555552</v>
      </c>
      <c r="O838">
        <v>422522002</v>
      </c>
      <c r="P838">
        <v>279</v>
      </c>
      <c r="Q838" t="s">
        <v>1919</v>
      </c>
    </row>
    <row r="839" spans="1:17" x14ac:dyDescent="0.3">
      <c r="A839" t="s">
        <v>17</v>
      </c>
      <c r="B839" t="str">
        <f>"600985"</f>
        <v>600985</v>
      </c>
      <c r="C839" t="s">
        <v>1920</v>
      </c>
      <c r="D839" t="s">
        <v>298</v>
      </c>
      <c r="F839">
        <v>1761927814</v>
      </c>
      <c r="G839">
        <v>1556989381</v>
      </c>
      <c r="H839">
        <v>1417530150</v>
      </c>
      <c r="I839">
        <v>1090305926</v>
      </c>
      <c r="J839">
        <v>213097081</v>
      </c>
      <c r="K839">
        <v>184474424</v>
      </c>
      <c r="L839">
        <v>180824889</v>
      </c>
      <c r="M839">
        <v>117088204</v>
      </c>
      <c r="N839">
        <v>72412271</v>
      </c>
      <c r="O839">
        <v>78933791</v>
      </c>
      <c r="P839">
        <v>1007</v>
      </c>
      <c r="Q839" t="s">
        <v>1921</v>
      </c>
    </row>
    <row r="840" spans="1:17" x14ac:dyDescent="0.3">
      <c r="A840" t="s">
        <v>17</v>
      </c>
      <c r="B840" t="str">
        <f>"600986"</f>
        <v>600986</v>
      </c>
      <c r="C840" t="s">
        <v>1922</v>
      </c>
      <c r="D840" t="s">
        <v>207</v>
      </c>
      <c r="F840">
        <v>4059664575</v>
      </c>
      <c r="G840">
        <v>3287449043</v>
      </c>
      <c r="H840">
        <v>3938071351</v>
      </c>
      <c r="I840">
        <v>3753281413</v>
      </c>
      <c r="J840">
        <v>2911553737</v>
      </c>
      <c r="K840">
        <v>1917548032</v>
      </c>
      <c r="L840">
        <v>1365496831</v>
      </c>
      <c r="M840">
        <v>682737060</v>
      </c>
      <c r="N840">
        <v>652286112</v>
      </c>
      <c r="O840">
        <v>575962427</v>
      </c>
      <c r="P840">
        <v>239</v>
      </c>
      <c r="Q840" t="s">
        <v>1923</v>
      </c>
    </row>
    <row r="841" spans="1:17" x14ac:dyDescent="0.3">
      <c r="A841" t="s">
        <v>17</v>
      </c>
      <c r="B841" t="str">
        <f>"600987"</f>
        <v>600987</v>
      </c>
      <c r="C841" t="s">
        <v>1924</v>
      </c>
      <c r="D841" t="s">
        <v>817</v>
      </c>
      <c r="F841">
        <v>305495565</v>
      </c>
      <c r="G841">
        <v>220215368</v>
      </c>
      <c r="H841">
        <v>266968851</v>
      </c>
      <c r="I841">
        <v>238505437</v>
      </c>
      <c r="J841">
        <v>211227901</v>
      </c>
      <c r="K841">
        <v>196315706</v>
      </c>
      <c r="L841">
        <v>182527841</v>
      </c>
      <c r="M841">
        <v>188364921</v>
      </c>
      <c r="N841">
        <v>182372136</v>
      </c>
      <c r="O841">
        <v>155984915</v>
      </c>
      <c r="P841">
        <v>4846</v>
      </c>
      <c r="Q841" t="s">
        <v>1925</v>
      </c>
    </row>
    <row r="842" spans="1:17" x14ac:dyDescent="0.3">
      <c r="A842" t="s">
        <v>17</v>
      </c>
      <c r="B842" t="str">
        <f>"600988"</f>
        <v>600988</v>
      </c>
      <c r="C842" t="s">
        <v>1926</v>
      </c>
      <c r="D842" t="s">
        <v>701</v>
      </c>
      <c r="F842">
        <v>25260051</v>
      </c>
      <c r="G842">
        <v>8043737</v>
      </c>
      <c r="H842">
        <v>139340995</v>
      </c>
      <c r="I842">
        <v>138011894</v>
      </c>
      <c r="J842">
        <v>77794344</v>
      </c>
      <c r="K842">
        <v>30744441</v>
      </c>
      <c r="L842">
        <v>43539400</v>
      </c>
      <c r="M842">
        <v>0</v>
      </c>
      <c r="N842">
        <v>0</v>
      </c>
      <c r="O842">
        <v>133743665</v>
      </c>
      <c r="P842">
        <v>487</v>
      </c>
      <c r="Q842" t="s">
        <v>1927</v>
      </c>
    </row>
    <row r="843" spans="1:17" x14ac:dyDescent="0.3">
      <c r="A843" t="s">
        <v>17</v>
      </c>
      <c r="B843" t="str">
        <f>"600989"</f>
        <v>600989</v>
      </c>
      <c r="C843" t="s">
        <v>1928</v>
      </c>
      <c r="D843" t="s">
        <v>914</v>
      </c>
      <c r="F843">
        <v>38334918</v>
      </c>
      <c r="G843">
        <v>19949791</v>
      </c>
      <c r="H843">
        <v>15458363</v>
      </c>
      <c r="I843">
        <v>0</v>
      </c>
      <c r="J843">
        <v>0</v>
      </c>
      <c r="K843">
        <v>0</v>
      </c>
      <c r="P843">
        <v>769</v>
      </c>
      <c r="Q843" t="s">
        <v>1929</v>
      </c>
    </row>
    <row r="844" spans="1:17" x14ac:dyDescent="0.3">
      <c r="A844" t="s">
        <v>17</v>
      </c>
      <c r="B844" t="str">
        <f>"600990"</f>
        <v>600990</v>
      </c>
      <c r="C844" t="s">
        <v>1930</v>
      </c>
      <c r="D844" t="s">
        <v>1136</v>
      </c>
      <c r="F844">
        <v>1614210515</v>
      </c>
      <c r="G844">
        <v>2043149061</v>
      </c>
      <c r="H844">
        <v>1436356757</v>
      </c>
      <c r="I844">
        <v>0</v>
      </c>
      <c r="J844">
        <v>1426736932</v>
      </c>
      <c r="K844">
        <v>645660887</v>
      </c>
      <c r="L844">
        <v>787295267</v>
      </c>
      <c r="M844">
        <v>546168775</v>
      </c>
      <c r="N844">
        <v>443922996</v>
      </c>
      <c r="O844">
        <v>429286938</v>
      </c>
      <c r="P844">
        <v>166</v>
      </c>
      <c r="Q844" t="s">
        <v>1931</v>
      </c>
    </row>
    <row r="845" spans="1:17" x14ac:dyDescent="0.3">
      <c r="A845" t="s">
        <v>17</v>
      </c>
      <c r="B845" t="str">
        <f>"600992"</f>
        <v>600992</v>
      </c>
      <c r="C845" t="s">
        <v>1932</v>
      </c>
      <c r="D845" t="s">
        <v>274</v>
      </c>
      <c r="F845">
        <v>462280067</v>
      </c>
      <c r="G845">
        <v>323945984</v>
      </c>
      <c r="H845">
        <v>240573880</v>
      </c>
      <c r="I845">
        <v>228409150</v>
      </c>
      <c r="J845">
        <v>253681308</v>
      </c>
      <c r="K845">
        <v>253080932</v>
      </c>
      <c r="L845">
        <v>288182101</v>
      </c>
      <c r="M845">
        <v>261022949</v>
      </c>
      <c r="N845">
        <v>215669984</v>
      </c>
      <c r="O845">
        <v>154847440</v>
      </c>
      <c r="P845">
        <v>57</v>
      </c>
      <c r="Q845" t="s">
        <v>1933</v>
      </c>
    </row>
    <row r="846" spans="1:17" x14ac:dyDescent="0.3">
      <c r="A846" t="s">
        <v>17</v>
      </c>
      <c r="B846" t="str">
        <f>"600993"</f>
        <v>600993</v>
      </c>
      <c r="C846" t="s">
        <v>1934</v>
      </c>
      <c r="D846" t="s">
        <v>188</v>
      </c>
      <c r="F846">
        <v>123437725</v>
      </c>
      <c r="G846">
        <v>101629927</v>
      </c>
      <c r="H846">
        <v>84376718</v>
      </c>
      <c r="I846">
        <v>102436607</v>
      </c>
      <c r="J846">
        <v>127682916</v>
      </c>
      <c r="K846">
        <v>181850670</v>
      </c>
      <c r="L846">
        <v>192180493</v>
      </c>
      <c r="M846">
        <v>192499303</v>
      </c>
      <c r="N846">
        <v>184996254</v>
      </c>
      <c r="O846">
        <v>143092932</v>
      </c>
      <c r="P846">
        <v>942</v>
      </c>
      <c r="Q846" t="s">
        <v>1935</v>
      </c>
    </row>
    <row r="847" spans="1:17" x14ac:dyDescent="0.3">
      <c r="A847" t="s">
        <v>17</v>
      </c>
      <c r="B847" t="str">
        <f>"600995"</f>
        <v>600995</v>
      </c>
      <c r="C847" t="s">
        <v>1936</v>
      </c>
      <c r="D847" t="s">
        <v>239</v>
      </c>
      <c r="F847">
        <v>281161436</v>
      </c>
      <c r="G847">
        <v>200245543</v>
      </c>
      <c r="H847">
        <v>210115083</v>
      </c>
      <c r="I847">
        <v>47516846</v>
      </c>
      <c r="J847">
        <v>25243434</v>
      </c>
      <c r="K847">
        <v>1670155</v>
      </c>
      <c r="L847">
        <v>60637972</v>
      </c>
      <c r="M847">
        <v>45911006</v>
      </c>
      <c r="N847">
        <v>10941276</v>
      </c>
      <c r="O847">
        <v>40884836</v>
      </c>
      <c r="P847">
        <v>267</v>
      </c>
      <c r="Q847" t="s">
        <v>1937</v>
      </c>
    </row>
    <row r="848" spans="1:17" x14ac:dyDescent="0.3">
      <c r="A848" t="s">
        <v>17</v>
      </c>
      <c r="B848" t="str">
        <f>"600996"</f>
        <v>600996</v>
      </c>
      <c r="C848" t="s">
        <v>1938</v>
      </c>
      <c r="D848" t="s">
        <v>95</v>
      </c>
      <c r="F848">
        <v>2641338349</v>
      </c>
      <c r="G848">
        <v>2273425486</v>
      </c>
      <c r="H848">
        <v>2208526237</v>
      </c>
      <c r="I848">
        <v>1559567653</v>
      </c>
      <c r="J848">
        <v>946898565</v>
      </c>
      <c r="K848">
        <v>294282310</v>
      </c>
      <c r="L848">
        <v>163939556</v>
      </c>
      <c r="M848">
        <v>108450447</v>
      </c>
      <c r="N848">
        <v>79933200</v>
      </c>
      <c r="P848">
        <v>244</v>
      </c>
      <c r="Q848" t="s">
        <v>1939</v>
      </c>
    </row>
    <row r="849" spans="1:17" x14ac:dyDescent="0.3">
      <c r="A849" t="s">
        <v>17</v>
      </c>
      <c r="B849" t="str">
        <f>"600997"</f>
        <v>600997</v>
      </c>
      <c r="C849" t="s">
        <v>1940</v>
      </c>
      <c r="D849" t="s">
        <v>885</v>
      </c>
      <c r="F849">
        <v>1589255355</v>
      </c>
      <c r="G849">
        <v>1778218500</v>
      </c>
      <c r="H849">
        <v>1707508631</v>
      </c>
      <c r="I849">
        <v>2073284976</v>
      </c>
      <c r="J849">
        <v>1996215480</v>
      </c>
      <c r="K849">
        <v>1578356675</v>
      </c>
      <c r="L849">
        <v>1485221798</v>
      </c>
      <c r="M849">
        <v>1827974031</v>
      </c>
      <c r="N849">
        <v>1508000096</v>
      </c>
      <c r="O849">
        <v>1122762101</v>
      </c>
      <c r="P849">
        <v>729</v>
      </c>
      <c r="Q849" t="s">
        <v>1941</v>
      </c>
    </row>
    <row r="850" spans="1:17" x14ac:dyDescent="0.3">
      <c r="A850" t="s">
        <v>17</v>
      </c>
      <c r="B850" t="str">
        <f>"600998"</f>
        <v>600998</v>
      </c>
      <c r="C850" t="s">
        <v>1942</v>
      </c>
      <c r="D850" t="s">
        <v>125</v>
      </c>
      <c r="F850">
        <v>26406280353</v>
      </c>
      <c r="G850">
        <v>25077003038</v>
      </c>
      <c r="H850">
        <v>22913201150</v>
      </c>
      <c r="I850">
        <v>20715491963</v>
      </c>
      <c r="J850">
        <v>14106308681</v>
      </c>
      <c r="K850">
        <v>9076016849</v>
      </c>
      <c r="L850">
        <v>7798088573</v>
      </c>
      <c r="M850">
        <v>5100219552</v>
      </c>
      <c r="N850">
        <v>2753015260</v>
      </c>
      <c r="O850">
        <v>1679744156</v>
      </c>
      <c r="P850">
        <v>612</v>
      </c>
      <c r="Q850" t="s">
        <v>1943</v>
      </c>
    </row>
    <row r="851" spans="1:17" x14ac:dyDescent="0.3">
      <c r="A851" t="s">
        <v>17</v>
      </c>
      <c r="B851" t="str">
        <f>"600999"</f>
        <v>600999</v>
      </c>
      <c r="C851" t="s">
        <v>1944</v>
      </c>
      <c r="D851" t="s">
        <v>80</v>
      </c>
      <c r="F851">
        <v>1055546712</v>
      </c>
      <c r="G851">
        <v>1003638701</v>
      </c>
      <c r="H851">
        <v>763703284</v>
      </c>
      <c r="I851">
        <v>708465722</v>
      </c>
      <c r="J851">
        <v>784164590</v>
      </c>
      <c r="K851">
        <v>724870674</v>
      </c>
      <c r="L851">
        <v>0</v>
      </c>
      <c r="M851">
        <v>0</v>
      </c>
      <c r="N851">
        <v>0</v>
      </c>
      <c r="O851">
        <v>0</v>
      </c>
      <c r="P851">
        <v>2820</v>
      </c>
      <c r="Q851" t="s">
        <v>1945</v>
      </c>
    </row>
    <row r="852" spans="1:17" x14ac:dyDescent="0.3">
      <c r="A852" t="s">
        <v>17</v>
      </c>
      <c r="B852" t="str">
        <f>"601000"</f>
        <v>601000</v>
      </c>
      <c r="C852" t="s">
        <v>1946</v>
      </c>
      <c r="D852" t="s">
        <v>51</v>
      </c>
      <c r="F852">
        <v>909971278</v>
      </c>
      <c r="G852">
        <v>458088762</v>
      </c>
      <c r="H852">
        <v>882576555</v>
      </c>
      <c r="I852">
        <v>828564699</v>
      </c>
      <c r="J852">
        <v>731053523</v>
      </c>
      <c r="K852">
        <v>770793687</v>
      </c>
      <c r="L852">
        <v>680375121</v>
      </c>
      <c r="M852">
        <v>362711529</v>
      </c>
      <c r="N852">
        <v>140299467</v>
      </c>
      <c r="O852">
        <v>133038090</v>
      </c>
      <c r="P852">
        <v>892</v>
      </c>
      <c r="Q852" t="s">
        <v>1947</v>
      </c>
    </row>
    <row r="853" spans="1:17" x14ac:dyDescent="0.3">
      <c r="A853" t="s">
        <v>17</v>
      </c>
      <c r="B853" t="str">
        <f>"601001"</f>
        <v>601001</v>
      </c>
      <c r="C853" t="s">
        <v>1948</v>
      </c>
      <c r="D853" t="s">
        <v>292</v>
      </c>
      <c r="F853">
        <v>1092091173</v>
      </c>
      <c r="G853">
        <v>704378780</v>
      </c>
      <c r="H853">
        <v>900950879</v>
      </c>
      <c r="I853">
        <v>998025051</v>
      </c>
      <c r="J853">
        <v>1455726189</v>
      </c>
      <c r="K853">
        <v>1728326802</v>
      </c>
      <c r="L853">
        <v>2137726586</v>
      </c>
      <c r="M853">
        <v>1354186488</v>
      </c>
      <c r="N853">
        <v>1968470000</v>
      </c>
      <c r="O853">
        <v>3125765710</v>
      </c>
      <c r="P853">
        <v>289</v>
      </c>
      <c r="Q853" t="s">
        <v>1949</v>
      </c>
    </row>
    <row r="854" spans="1:17" x14ac:dyDescent="0.3">
      <c r="A854" t="s">
        <v>17</v>
      </c>
      <c r="B854" t="str">
        <f>"601002"</f>
        <v>601002</v>
      </c>
      <c r="C854" t="s">
        <v>1950</v>
      </c>
      <c r="D854" t="s">
        <v>274</v>
      </c>
      <c r="F854">
        <v>630289521</v>
      </c>
      <c r="G854">
        <v>667130275</v>
      </c>
      <c r="H854">
        <v>566674495</v>
      </c>
      <c r="I854">
        <v>727910569</v>
      </c>
      <c r="J854">
        <v>663272394</v>
      </c>
      <c r="K854">
        <v>547218572</v>
      </c>
      <c r="L854">
        <v>599112300</v>
      </c>
      <c r="M854">
        <v>604439136</v>
      </c>
      <c r="N854">
        <v>753576057</v>
      </c>
      <c r="O854">
        <v>677237830</v>
      </c>
      <c r="P854">
        <v>146</v>
      </c>
      <c r="Q854" t="s">
        <v>1951</v>
      </c>
    </row>
    <row r="855" spans="1:17" x14ac:dyDescent="0.3">
      <c r="A855" t="s">
        <v>17</v>
      </c>
      <c r="B855" t="str">
        <f>"601003"</f>
        <v>601003</v>
      </c>
      <c r="C855" t="s">
        <v>1952</v>
      </c>
      <c r="D855" t="s">
        <v>38</v>
      </c>
      <c r="F855">
        <v>780625227</v>
      </c>
      <c r="G855">
        <v>153280621</v>
      </c>
      <c r="H855">
        <v>199214456</v>
      </c>
      <c r="I855">
        <v>178251564</v>
      </c>
      <c r="J855">
        <v>238631760</v>
      </c>
      <c r="K855">
        <v>179488776</v>
      </c>
      <c r="L855">
        <v>235132849</v>
      </c>
      <c r="M855">
        <v>641155521</v>
      </c>
      <c r="N855">
        <v>161093371</v>
      </c>
      <c r="O855">
        <v>115382947</v>
      </c>
      <c r="P855">
        <v>1021</v>
      </c>
      <c r="Q855" t="s">
        <v>1953</v>
      </c>
    </row>
    <row r="856" spans="1:17" x14ac:dyDescent="0.3">
      <c r="A856" t="s">
        <v>17</v>
      </c>
      <c r="B856" t="str">
        <f>"601005"</f>
        <v>601005</v>
      </c>
      <c r="C856" t="s">
        <v>1954</v>
      </c>
      <c r="D856" t="s">
        <v>38</v>
      </c>
      <c r="F856">
        <v>53885000</v>
      </c>
      <c r="G856">
        <v>35041000</v>
      </c>
      <c r="H856">
        <v>5610000</v>
      </c>
      <c r="I856">
        <v>30340000</v>
      </c>
      <c r="J856">
        <v>44038000</v>
      </c>
      <c r="K856">
        <v>256258000</v>
      </c>
      <c r="L856">
        <v>503202000</v>
      </c>
      <c r="M856">
        <v>469025000</v>
      </c>
      <c r="N856">
        <v>535906000</v>
      </c>
      <c r="O856">
        <v>1057179000</v>
      </c>
      <c r="P856">
        <v>249</v>
      </c>
      <c r="Q856" t="s">
        <v>1955</v>
      </c>
    </row>
    <row r="857" spans="1:17" x14ac:dyDescent="0.3">
      <c r="A857" t="s">
        <v>17</v>
      </c>
      <c r="B857" t="str">
        <f>"601006"</f>
        <v>601006</v>
      </c>
      <c r="C857" t="s">
        <v>1956</v>
      </c>
      <c r="D857" t="s">
        <v>301</v>
      </c>
      <c r="F857">
        <v>6198022453</v>
      </c>
      <c r="G857">
        <v>6438825718</v>
      </c>
      <c r="H857">
        <v>5974803454</v>
      </c>
      <c r="I857">
        <v>6253279312</v>
      </c>
      <c r="J857">
        <v>5344344049</v>
      </c>
      <c r="K857">
        <v>4509622064</v>
      </c>
      <c r="L857">
        <v>2710223049</v>
      </c>
      <c r="M857">
        <v>2316828381</v>
      </c>
      <c r="N857">
        <v>2080795737</v>
      </c>
      <c r="O857">
        <v>2041066447</v>
      </c>
      <c r="P857">
        <v>4202</v>
      </c>
      <c r="Q857" t="s">
        <v>1957</v>
      </c>
    </row>
    <row r="858" spans="1:17" x14ac:dyDescent="0.3">
      <c r="A858" t="s">
        <v>17</v>
      </c>
      <c r="B858" t="str">
        <f>"601007"</f>
        <v>601007</v>
      </c>
      <c r="C858" t="s">
        <v>1958</v>
      </c>
      <c r="D858" t="s">
        <v>590</v>
      </c>
      <c r="F858">
        <v>54933286</v>
      </c>
      <c r="G858">
        <v>43945299</v>
      </c>
      <c r="H858">
        <v>33012346</v>
      </c>
      <c r="I858">
        <v>37739216</v>
      </c>
      <c r="J858">
        <v>53347639</v>
      </c>
      <c r="K858">
        <v>52517440</v>
      </c>
      <c r="L858">
        <v>54757084</v>
      </c>
      <c r="M858">
        <v>50074861</v>
      </c>
      <c r="N858">
        <v>55430817</v>
      </c>
      <c r="O858">
        <v>58907793</v>
      </c>
      <c r="P858">
        <v>111</v>
      </c>
      <c r="Q858" t="s">
        <v>1959</v>
      </c>
    </row>
    <row r="859" spans="1:17" x14ac:dyDescent="0.3">
      <c r="A859" t="s">
        <v>17</v>
      </c>
      <c r="B859" t="str">
        <f>"601008"</f>
        <v>601008</v>
      </c>
      <c r="C859" t="s">
        <v>1960</v>
      </c>
      <c r="D859" t="s">
        <v>51</v>
      </c>
      <c r="F859">
        <v>111330901</v>
      </c>
      <c r="G859">
        <v>174869534</v>
      </c>
      <c r="H859">
        <v>169069841</v>
      </c>
      <c r="I859">
        <v>266192764</v>
      </c>
      <c r="J859">
        <v>257920148</v>
      </c>
      <c r="K859">
        <v>136300814</v>
      </c>
      <c r="L859">
        <v>95897476</v>
      </c>
      <c r="M859">
        <v>121309375</v>
      </c>
      <c r="N859">
        <v>117625685</v>
      </c>
      <c r="O859">
        <v>121053878</v>
      </c>
      <c r="P859">
        <v>131</v>
      </c>
      <c r="Q859" t="s">
        <v>1961</v>
      </c>
    </row>
    <row r="860" spans="1:17" x14ac:dyDescent="0.3">
      <c r="A860" t="s">
        <v>17</v>
      </c>
      <c r="B860" t="str">
        <f>"601009"</f>
        <v>601009</v>
      </c>
      <c r="C860" t="s">
        <v>1962</v>
      </c>
      <c r="D860" t="s">
        <v>1842</v>
      </c>
      <c r="P860">
        <v>44247</v>
      </c>
      <c r="Q860" t="s">
        <v>1963</v>
      </c>
    </row>
    <row r="861" spans="1:17" x14ac:dyDescent="0.3">
      <c r="A861" t="s">
        <v>17</v>
      </c>
      <c r="B861" t="str">
        <f>"601010"</f>
        <v>601010</v>
      </c>
      <c r="C861" t="s">
        <v>1964</v>
      </c>
      <c r="D861" t="s">
        <v>1404</v>
      </c>
      <c r="F861">
        <v>17622116</v>
      </c>
      <c r="G861">
        <v>18079180</v>
      </c>
      <c r="H861">
        <v>13717619</v>
      </c>
      <c r="I861">
        <v>10429132</v>
      </c>
      <c r="J861">
        <v>14053781</v>
      </c>
      <c r="K861">
        <v>17052660</v>
      </c>
      <c r="L861">
        <v>16901031</v>
      </c>
      <c r="M861">
        <v>23311908</v>
      </c>
      <c r="N861">
        <v>28096220</v>
      </c>
      <c r="O861">
        <v>18005823</v>
      </c>
      <c r="P861">
        <v>94</v>
      </c>
      <c r="Q861" t="s">
        <v>1965</v>
      </c>
    </row>
    <row r="862" spans="1:17" x14ac:dyDescent="0.3">
      <c r="A862" t="s">
        <v>17</v>
      </c>
      <c r="B862" t="str">
        <f>"601011"</f>
        <v>601011</v>
      </c>
      <c r="C862" t="s">
        <v>1966</v>
      </c>
      <c r="D862" t="s">
        <v>885</v>
      </c>
      <c r="F862">
        <v>53789830</v>
      </c>
      <c r="G862">
        <v>56678851</v>
      </c>
      <c r="H862">
        <v>32384308</v>
      </c>
      <c r="I862">
        <v>33801479</v>
      </c>
      <c r="J862">
        <v>96054696</v>
      </c>
      <c r="K862">
        <v>173996479</v>
      </c>
      <c r="L862">
        <v>307755309</v>
      </c>
      <c r="M862">
        <v>205529431</v>
      </c>
      <c r="N862">
        <v>150240036</v>
      </c>
      <c r="O862">
        <v>68392011</v>
      </c>
      <c r="P862">
        <v>134</v>
      </c>
      <c r="Q862" t="s">
        <v>1967</v>
      </c>
    </row>
    <row r="863" spans="1:17" x14ac:dyDescent="0.3">
      <c r="A863" t="s">
        <v>17</v>
      </c>
      <c r="B863" t="str">
        <f>"601012"</f>
        <v>601012</v>
      </c>
      <c r="C863" t="s">
        <v>1968</v>
      </c>
      <c r="D863" t="s">
        <v>929</v>
      </c>
      <c r="F863">
        <v>7853446464</v>
      </c>
      <c r="G863">
        <v>7270501798</v>
      </c>
      <c r="H863">
        <v>3825745271</v>
      </c>
      <c r="I863">
        <v>4362641672</v>
      </c>
      <c r="J863">
        <v>3925763776</v>
      </c>
      <c r="K863">
        <v>2299698675</v>
      </c>
      <c r="L863">
        <v>1708421672</v>
      </c>
      <c r="M863">
        <v>507478980</v>
      </c>
      <c r="N863">
        <v>236121369</v>
      </c>
      <c r="O863">
        <v>369578776</v>
      </c>
      <c r="P863">
        <v>6941</v>
      </c>
      <c r="Q863" t="s">
        <v>1969</v>
      </c>
    </row>
    <row r="864" spans="1:17" x14ac:dyDescent="0.3">
      <c r="A864" t="s">
        <v>17</v>
      </c>
      <c r="B864" t="str">
        <f>"601015"</f>
        <v>601015</v>
      </c>
      <c r="C864" t="s">
        <v>1970</v>
      </c>
      <c r="D864" t="s">
        <v>885</v>
      </c>
      <c r="F864">
        <v>162247934</v>
      </c>
      <c r="G864">
        <v>177897607</v>
      </c>
      <c r="H864">
        <v>283795441</v>
      </c>
      <c r="I864">
        <v>775907941</v>
      </c>
      <c r="J864">
        <v>424394251</v>
      </c>
      <c r="K864">
        <v>981266054</v>
      </c>
      <c r="L864">
        <v>1019198374</v>
      </c>
      <c r="M864">
        <v>258270232</v>
      </c>
      <c r="N864">
        <v>411844269</v>
      </c>
      <c r="O864">
        <v>266982023</v>
      </c>
      <c r="P864">
        <v>212</v>
      </c>
      <c r="Q864" t="s">
        <v>1971</v>
      </c>
    </row>
    <row r="865" spans="1:17" x14ac:dyDescent="0.3">
      <c r="A865" t="s">
        <v>17</v>
      </c>
      <c r="B865" t="str">
        <f>"601016"</f>
        <v>601016</v>
      </c>
      <c r="C865" t="s">
        <v>1972</v>
      </c>
      <c r="D865" t="s">
        <v>383</v>
      </c>
      <c r="F865">
        <v>4737341796</v>
      </c>
      <c r="G865">
        <v>3431020072</v>
      </c>
      <c r="H865">
        <v>2509757408</v>
      </c>
      <c r="I865">
        <v>1881496306</v>
      </c>
      <c r="J865">
        <v>1270160317</v>
      </c>
      <c r="K865">
        <v>729634416</v>
      </c>
      <c r="L865">
        <v>439019683</v>
      </c>
      <c r="M865">
        <v>540716173</v>
      </c>
      <c r="N865">
        <v>473647407</v>
      </c>
      <c r="O865">
        <v>538517479</v>
      </c>
      <c r="P865">
        <v>542</v>
      </c>
      <c r="Q865" t="s">
        <v>1973</v>
      </c>
    </row>
    <row r="866" spans="1:17" x14ac:dyDescent="0.3">
      <c r="A866" t="s">
        <v>17</v>
      </c>
      <c r="B866" t="str">
        <f>"601018"</f>
        <v>601018</v>
      </c>
      <c r="C866" t="s">
        <v>1974</v>
      </c>
      <c r="D866" t="s">
        <v>51</v>
      </c>
      <c r="F866">
        <v>2775881000</v>
      </c>
      <c r="G866">
        <v>2337279000</v>
      </c>
      <c r="H866">
        <v>2248794000</v>
      </c>
      <c r="I866">
        <v>2280983000</v>
      </c>
      <c r="J866">
        <v>2280474000</v>
      </c>
      <c r="K866">
        <v>2057485000</v>
      </c>
      <c r="L866">
        <v>2044541000</v>
      </c>
      <c r="M866">
        <v>1483809000</v>
      </c>
      <c r="N866">
        <v>1255110000</v>
      </c>
      <c r="O866">
        <v>891926000</v>
      </c>
      <c r="P866">
        <v>335</v>
      </c>
      <c r="Q866" t="s">
        <v>1975</v>
      </c>
    </row>
    <row r="867" spans="1:17" x14ac:dyDescent="0.3">
      <c r="A867" t="s">
        <v>17</v>
      </c>
      <c r="B867" t="str">
        <f>"601019"</f>
        <v>601019</v>
      </c>
      <c r="C867" t="s">
        <v>1976</v>
      </c>
      <c r="D867" t="s">
        <v>1536</v>
      </c>
      <c r="F867">
        <v>1640480199</v>
      </c>
      <c r="G867">
        <v>1772009824</v>
      </c>
      <c r="H867">
        <v>1521137418</v>
      </c>
      <c r="I867">
        <v>1252076086</v>
      </c>
      <c r="J867">
        <v>1204277880</v>
      </c>
      <c r="K867">
        <v>824177611</v>
      </c>
      <c r="L867">
        <v>772903636</v>
      </c>
      <c r="M867">
        <v>905105150</v>
      </c>
      <c r="P867">
        <v>401</v>
      </c>
      <c r="Q867" t="s">
        <v>1977</v>
      </c>
    </row>
    <row r="868" spans="1:17" x14ac:dyDescent="0.3">
      <c r="A868" t="s">
        <v>17</v>
      </c>
      <c r="B868" t="str">
        <f>"601020"</f>
        <v>601020</v>
      </c>
      <c r="C868" t="s">
        <v>1978</v>
      </c>
      <c r="D868" t="s">
        <v>701</v>
      </c>
      <c r="F868">
        <v>678265</v>
      </c>
      <c r="G868">
        <v>110792881</v>
      </c>
      <c r="H868">
        <v>277484671</v>
      </c>
      <c r="I868">
        <v>271450846</v>
      </c>
      <c r="J868">
        <v>91179773</v>
      </c>
      <c r="K868">
        <v>55575827</v>
      </c>
      <c r="L868">
        <v>83578197</v>
      </c>
      <c r="M868">
        <v>68311314</v>
      </c>
      <c r="N868">
        <v>34517302</v>
      </c>
      <c r="P868">
        <v>180</v>
      </c>
      <c r="Q868" t="s">
        <v>1979</v>
      </c>
    </row>
    <row r="869" spans="1:17" x14ac:dyDescent="0.3">
      <c r="A869" t="s">
        <v>17</v>
      </c>
      <c r="B869" t="str">
        <f>"601021"</f>
        <v>601021</v>
      </c>
      <c r="C869" t="s">
        <v>1980</v>
      </c>
      <c r="D869" t="s">
        <v>77</v>
      </c>
      <c r="F869">
        <v>98461479</v>
      </c>
      <c r="G869">
        <v>62733881</v>
      </c>
      <c r="H869">
        <v>120854641</v>
      </c>
      <c r="I869">
        <v>122852452</v>
      </c>
      <c r="J869">
        <v>85207227</v>
      </c>
      <c r="K869">
        <v>127179890</v>
      </c>
      <c r="L869">
        <v>101768693</v>
      </c>
      <c r="M869">
        <v>73275342</v>
      </c>
      <c r="N869">
        <v>63100632</v>
      </c>
      <c r="O869">
        <v>33449062</v>
      </c>
      <c r="P869">
        <v>1019</v>
      </c>
      <c r="Q869" t="s">
        <v>1981</v>
      </c>
    </row>
    <row r="870" spans="1:17" x14ac:dyDescent="0.3">
      <c r="A870" t="s">
        <v>17</v>
      </c>
      <c r="B870" t="str">
        <f>"601028"</f>
        <v>601028</v>
      </c>
      <c r="C870" t="s">
        <v>1982</v>
      </c>
      <c r="D870" t="s">
        <v>131</v>
      </c>
      <c r="F870">
        <v>437556156</v>
      </c>
      <c r="G870">
        <v>480833294</v>
      </c>
      <c r="H870">
        <v>30029043</v>
      </c>
      <c r="I870">
        <v>247872392</v>
      </c>
      <c r="J870">
        <v>166157392</v>
      </c>
      <c r="K870">
        <v>249316567</v>
      </c>
      <c r="L870">
        <v>404334618</v>
      </c>
      <c r="M870">
        <v>666883145</v>
      </c>
      <c r="N870">
        <v>453845153</v>
      </c>
      <c r="O870">
        <v>333563997</v>
      </c>
      <c r="P870">
        <v>87</v>
      </c>
      <c r="Q870" t="s">
        <v>1983</v>
      </c>
    </row>
    <row r="871" spans="1:17" x14ac:dyDescent="0.3">
      <c r="A871" t="s">
        <v>17</v>
      </c>
      <c r="B871" t="str">
        <f>"601038"</f>
        <v>601038</v>
      </c>
      <c r="C871" t="s">
        <v>1984</v>
      </c>
      <c r="D871" t="s">
        <v>1985</v>
      </c>
      <c r="F871">
        <v>301661736</v>
      </c>
      <c r="G871">
        <v>376202671</v>
      </c>
      <c r="H871">
        <v>406586835</v>
      </c>
      <c r="I871">
        <v>405771306</v>
      </c>
      <c r="J871">
        <v>1238285604</v>
      </c>
      <c r="K871">
        <v>674313323</v>
      </c>
      <c r="L871">
        <v>846592058</v>
      </c>
      <c r="M871">
        <v>879355044</v>
      </c>
      <c r="N871">
        <v>1052136528</v>
      </c>
      <c r="O871">
        <v>976393622</v>
      </c>
      <c r="P871">
        <v>179</v>
      </c>
      <c r="Q871" t="s">
        <v>1986</v>
      </c>
    </row>
    <row r="872" spans="1:17" x14ac:dyDescent="0.3">
      <c r="A872" t="s">
        <v>17</v>
      </c>
      <c r="B872" t="str">
        <f>"601058"</f>
        <v>601058</v>
      </c>
      <c r="C872" t="s">
        <v>1987</v>
      </c>
      <c r="D872" t="s">
        <v>422</v>
      </c>
      <c r="F872">
        <v>2359463698</v>
      </c>
      <c r="G872">
        <v>1889139738</v>
      </c>
      <c r="H872">
        <v>1565241713</v>
      </c>
      <c r="I872">
        <v>1469864679</v>
      </c>
      <c r="J872">
        <v>1527950939</v>
      </c>
      <c r="K872">
        <v>1515354366</v>
      </c>
      <c r="L872">
        <v>1176641638</v>
      </c>
      <c r="M872">
        <v>1595604712</v>
      </c>
      <c r="N872">
        <v>1041174142</v>
      </c>
      <c r="O872">
        <v>693340949</v>
      </c>
      <c r="P872">
        <v>589</v>
      </c>
      <c r="Q872" t="s">
        <v>1988</v>
      </c>
    </row>
    <row r="873" spans="1:17" x14ac:dyDescent="0.3">
      <c r="A873" t="s">
        <v>17</v>
      </c>
      <c r="B873" t="str">
        <f>"601066"</f>
        <v>601066</v>
      </c>
      <c r="C873" t="s">
        <v>1989</v>
      </c>
      <c r="D873" t="s">
        <v>80</v>
      </c>
      <c r="F873">
        <v>23075171660</v>
      </c>
      <c r="G873">
        <v>8018152843</v>
      </c>
      <c r="H873">
        <v>2136865676</v>
      </c>
      <c r="I873">
        <v>1440037506</v>
      </c>
      <c r="J873">
        <v>1369856123</v>
      </c>
      <c r="K873">
        <v>378467575</v>
      </c>
      <c r="L873">
        <v>153324963</v>
      </c>
      <c r="M873">
        <v>164469600</v>
      </c>
      <c r="N873">
        <v>37027413</v>
      </c>
      <c r="O873">
        <v>0</v>
      </c>
      <c r="P873">
        <v>1825</v>
      </c>
      <c r="Q873" t="s">
        <v>1990</v>
      </c>
    </row>
    <row r="874" spans="1:17" x14ac:dyDescent="0.3">
      <c r="A874" t="s">
        <v>17</v>
      </c>
      <c r="B874" t="str">
        <f>"601068"</f>
        <v>601068</v>
      </c>
      <c r="C874" t="s">
        <v>1991</v>
      </c>
      <c r="D874" t="s">
        <v>1992</v>
      </c>
      <c r="F874">
        <v>15284893472</v>
      </c>
      <c r="G874">
        <v>16311690918</v>
      </c>
      <c r="H874">
        <v>14284215820</v>
      </c>
      <c r="I874">
        <v>14297624926</v>
      </c>
      <c r="J874">
        <v>11796738118</v>
      </c>
      <c r="K874">
        <v>12851597195</v>
      </c>
      <c r="L874">
        <v>9362931278</v>
      </c>
      <c r="P874">
        <v>109</v>
      </c>
      <c r="Q874" t="s">
        <v>1993</v>
      </c>
    </row>
    <row r="875" spans="1:17" x14ac:dyDescent="0.3">
      <c r="A875" t="s">
        <v>17</v>
      </c>
      <c r="B875" t="str">
        <f>"601069"</f>
        <v>601069</v>
      </c>
      <c r="C875" t="s">
        <v>1994</v>
      </c>
      <c r="D875" t="s">
        <v>701</v>
      </c>
      <c r="F875">
        <v>2654496</v>
      </c>
      <c r="G875">
        <v>4480387</v>
      </c>
      <c r="H875">
        <v>12249132</v>
      </c>
      <c r="I875">
        <v>5527854</v>
      </c>
      <c r="J875">
        <v>11181357</v>
      </c>
      <c r="K875">
        <v>1724496</v>
      </c>
      <c r="L875">
        <v>13464242</v>
      </c>
      <c r="M875">
        <v>14080246</v>
      </c>
      <c r="N875">
        <v>536268</v>
      </c>
      <c r="O875">
        <v>61257</v>
      </c>
      <c r="P875">
        <v>142</v>
      </c>
      <c r="Q875" t="s">
        <v>1995</v>
      </c>
    </row>
    <row r="876" spans="1:17" x14ac:dyDescent="0.3">
      <c r="A876" t="s">
        <v>17</v>
      </c>
      <c r="B876" t="str">
        <f>"601077"</f>
        <v>601077</v>
      </c>
      <c r="C876" t="s">
        <v>1996</v>
      </c>
      <c r="D876" t="s">
        <v>1831</v>
      </c>
      <c r="P876">
        <v>509</v>
      </c>
      <c r="Q876" t="s">
        <v>1997</v>
      </c>
    </row>
    <row r="877" spans="1:17" x14ac:dyDescent="0.3">
      <c r="A877" t="s">
        <v>17</v>
      </c>
      <c r="B877" t="str">
        <f>"601086"</f>
        <v>601086</v>
      </c>
      <c r="C877" t="s">
        <v>1998</v>
      </c>
      <c r="D877" t="s">
        <v>633</v>
      </c>
      <c r="F877">
        <v>4820747</v>
      </c>
      <c r="G877">
        <v>1497827</v>
      </c>
      <c r="H877">
        <v>2298134</v>
      </c>
      <c r="I877">
        <v>2688498</v>
      </c>
      <c r="J877">
        <v>9128271</v>
      </c>
      <c r="K877">
        <v>10943215</v>
      </c>
      <c r="L877">
        <v>3262315</v>
      </c>
      <c r="M877">
        <v>955617</v>
      </c>
      <c r="P877">
        <v>79</v>
      </c>
      <c r="Q877" t="s">
        <v>1999</v>
      </c>
    </row>
    <row r="878" spans="1:17" x14ac:dyDescent="0.3">
      <c r="A878" t="s">
        <v>17</v>
      </c>
      <c r="B878" t="str">
        <f>"601088"</f>
        <v>601088</v>
      </c>
      <c r="C878" t="s">
        <v>2000</v>
      </c>
      <c r="D878" t="s">
        <v>292</v>
      </c>
      <c r="F878">
        <v>10258000000</v>
      </c>
      <c r="G878">
        <v>7798000000</v>
      </c>
      <c r="H878">
        <v>7847000000</v>
      </c>
      <c r="I878">
        <v>8488000000</v>
      </c>
      <c r="J878">
        <v>13319000000</v>
      </c>
      <c r="K878">
        <v>16179000000</v>
      </c>
      <c r="L878">
        <v>23370000000</v>
      </c>
      <c r="M878">
        <v>23746000000</v>
      </c>
      <c r="N878">
        <v>22043000000</v>
      </c>
      <c r="O878">
        <v>19120000000</v>
      </c>
      <c r="P878">
        <v>3939</v>
      </c>
      <c r="Q878" t="s">
        <v>2001</v>
      </c>
    </row>
    <row r="879" spans="1:17" x14ac:dyDescent="0.3">
      <c r="A879" t="s">
        <v>17</v>
      </c>
      <c r="B879" t="str">
        <f>"601098"</f>
        <v>601098</v>
      </c>
      <c r="C879" t="s">
        <v>2002</v>
      </c>
      <c r="D879" t="s">
        <v>1536</v>
      </c>
      <c r="F879">
        <v>1002031961</v>
      </c>
      <c r="G879">
        <v>1140521675</v>
      </c>
      <c r="H879">
        <v>1288531485</v>
      </c>
      <c r="I879">
        <v>1277208715</v>
      </c>
      <c r="J879">
        <v>1237961858</v>
      </c>
      <c r="K879">
        <v>1194651591</v>
      </c>
      <c r="L879">
        <v>967031270</v>
      </c>
      <c r="M879">
        <v>833302317</v>
      </c>
      <c r="N879">
        <v>658283859</v>
      </c>
      <c r="O879">
        <v>480571871</v>
      </c>
      <c r="P879">
        <v>882</v>
      </c>
      <c r="Q879" t="s">
        <v>2003</v>
      </c>
    </row>
    <row r="880" spans="1:17" x14ac:dyDescent="0.3">
      <c r="A880" t="s">
        <v>17</v>
      </c>
      <c r="B880" t="str">
        <f>"601099"</f>
        <v>601099</v>
      </c>
      <c r="C880" t="s">
        <v>2004</v>
      </c>
      <c r="D880" t="s">
        <v>80</v>
      </c>
      <c r="F880">
        <v>499529704</v>
      </c>
      <c r="G880">
        <v>651268145</v>
      </c>
      <c r="H880">
        <v>0</v>
      </c>
      <c r="I880">
        <v>118697428</v>
      </c>
      <c r="J880">
        <v>62911650</v>
      </c>
      <c r="K880">
        <v>80583892</v>
      </c>
      <c r="L880">
        <v>0</v>
      </c>
      <c r="M880">
        <v>0</v>
      </c>
      <c r="N880">
        <v>0</v>
      </c>
      <c r="O880">
        <v>0</v>
      </c>
      <c r="P880">
        <v>738</v>
      </c>
      <c r="Q880" t="s">
        <v>2005</v>
      </c>
    </row>
    <row r="881" spans="1:17" x14ac:dyDescent="0.3">
      <c r="A881" t="s">
        <v>17</v>
      </c>
      <c r="B881" t="str">
        <f>"601100"</f>
        <v>601100</v>
      </c>
      <c r="C881" t="s">
        <v>2006</v>
      </c>
      <c r="D881" t="s">
        <v>2007</v>
      </c>
      <c r="F881">
        <v>1112123572</v>
      </c>
      <c r="G881">
        <v>963728549</v>
      </c>
      <c r="H881">
        <v>677318814</v>
      </c>
      <c r="I881">
        <v>543997536</v>
      </c>
      <c r="J881">
        <v>437309185</v>
      </c>
      <c r="K881">
        <v>349695031</v>
      </c>
      <c r="L881">
        <v>231825951</v>
      </c>
      <c r="M881">
        <v>198085110</v>
      </c>
      <c r="N881">
        <v>237662711</v>
      </c>
      <c r="O881">
        <v>227598989</v>
      </c>
      <c r="P881">
        <v>1782</v>
      </c>
      <c r="Q881" t="s">
        <v>2008</v>
      </c>
    </row>
    <row r="882" spans="1:17" x14ac:dyDescent="0.3">
      <c r="A882" t="s">
        <v>17</v>
      </c>
      <c r="B882" t="str">
        <f>"601101"</f>
        <v>601101</v>
      </c>
      <c r="C882" t="s">
        <v>2009</v>
      </c>
      <c r="D882" t="s">
        <v>292</v>
      </c>
      <c r="F882">
        <v>291100732</v>
      </c>
      <c r="G882">
        <v>213103343</v>
      </c>
      <c r="H882">
        <v>165561263</v>
      </c>
      <c r="I882">
        <v>139524890</v>
      </c>
      <c r="J882">
        <v>201102752</v>
      </c>
      <c r="K882">
        <v>325772457</v>
      </c>
      <c r="L882">
        <v>532030118</v>
      </c>
      <c r="M882">
        <v>413353353</v>
      </c>
      <c r="N882">
        <v>355443524</v>
      </c>
      <c r="O882">
        <v>223773671</v>
      </c>
      <c r="P882">
        <v>281</v>
      </c>
      <c r="Q882" t="s">
        <v>2010</v>
      </c>
    </row>
    <row r="883" spans="1:17" x14ac:dyDescent="0.3">
      <c r="A883" t="s">
        <v>17</v>
      </c>
      <c r="B883" t="str">
        <f>"601106"</f>
        <v>601106</v>
      </c>
      <c r="C883" t="s">
        <v>2011</v>
      </c>
      <c r="D883" t="s">
        <v>395</v>
      </c>
      <c r="F883">
        <v>3937964253</v>
      </c>
      <c r="G883">
        <v>3508703156</v>
      </c>
      <c r="H883">
        <v>6994068844</v>
      </c>
      <c r="I883">
        <v>8990345928</v>
      </c>
      <c r="J883">
        <v>9418814946</v>
      </c>
      <c r="K883">
        <v>10062213152</v>
      </c>
      <c r="L883">
        <v>13019417872</v>
      </c>
      <c r="M883">
        <v>11552280107</v>
      </c>
      <c r="N883">
        <v>9540249717</v>
      </c>
      <c r="O883">
        <v>11329452663</v>
      </c>
      <c r="P883">
        <v>175</v>
      </c>
      <c r="Q883" t="s">
        <v>2012</v>
      </c>
    </row>
    <row r="884" spans="1:17" x14ac:dyDescent="0.3">
      <c r="A884" t="s">
        <v>17</v>
      </c>
      <c r="B884" t="str">
        <f>"601107"</f>
        <v>601107</v>
      </c>
      <c r="C884" t="s">
        <v>2013</v>
      </c>
      <c r="D884" t="s">
        <v>44</v>
      </c>
      <c r="F884">
        <v>252006827</v>
      </c>
      <c r="G884">
        <v>297720086</v>
      </c>
      <c r="H884">
        <v>469433510</v>
      </c>
      <c r="I884">
        <v>191338017</v>
      </c>
      <c r="J884">
        <v>205247254</v>
      </c>
      <c r="K884">
        <v>669116090</v>
      </c>
      <c r="L884">
        <v>369724527</v>
      </c>
      <c r="M884">
        <v>561975068</v>
      </c>
      <c r="N884">
        <v>398482518</v>
      </c>
      <c r="O884">
        <v>113607211</v>
      </c>
      <c r="P884">
        <v>231</v>
      </c>
      <c r="Q884" t="s">
        <v>2014</v>
      </c>
    </row>
    <row r="885" spans="1:17" x14ac:dyDescent="0.3">
      <c r="A885" t="s">
        <v>17</v>
      </c>
      <c r="B885" t="str">
        <f>"601108"</f>
        <v>601108</v>
      </c>
      <c r="C885" t="s">
        <v>2015</v>
      </c>
      <c r="D885" t="s">
        <v>80</v>
      </c>
      <c r="F885">
        <v>866517066</v>
      </c>
      <c r="G885">
        <v>258105399</v>
      </c>
      <c r="H885">
        <v>226557307</v>
      </c>
      <c r="I885">
        <v>805376154</v>
      </c>
      <c r="J885">
        <v>194589454</v>
      </c>
      <c r="K885">
        <v>546258922</v>
      </c>
      <c r="L885">
        <v>254115500</v>
      </c>
      <c r="M885">
        <v>74328340</v>
      </c>
      <c r="N885">
        <v>36140500</v>
      </c>
      <c r="O885">
        <v>4714000</v>
      </c>
      <c r="P885">
        <v>980</v>
      </c>
      <c r="Q885" t="s">
        <v>2016</v>
      </c>
    </row>
    <row r="886" spans="1:17" x14ac:dyDescent="0.3">
      <c r="A886" t="s">
        <v>17</v>
      </c>
      <c r="B886" t="str">
        <f>"601111"</f>
        <v>601111</v>
      </c>
      <c r="C886" t="s">
        <v>2017</v>
      </c>
      <c r="D886" t="s">
        <v>77</v>
      </c>
      <c r="F886">
        <v>2991037000</v>
      </c>
      <c r="G886">
        <v>2942799000</v>
      </c>
      <c r="H886">
        <v>5997690000</v>
      </c>
      <c r="I886">
        <v>5590112000</v>
      </c>
      <c r="J886">
        <v>3490427000</v>
      </c>
      <c r="K886">
        <v>3286091000</v>
      </c>
      <c r="L886">
        <v>3661354000</v>
      </c>
      <c r="M886">
        <v>2984209000</v>
      </c>
      <c r="N886">
        <v>3100584000</v>
      </c>
      <c r="O886">
        <v>2967150000</v>
      </c>
      <c r="P886">
        <v>1106</v>
      </c>
      <c r="Q886" t="s">
        <v>2018</v>
      </c>
    </row>
    <row r="887" spans="1:17" x14ac:dyDescent="0.3">
      <c r="A887" t="s">
        <v>17</v>
      </c>
      <c r="B887" t="str">
        <f>"601113"</f>
        <v>601113</v>
      </c>
      <c r="C887" t="s">
        <v>2019</v>
      </c>
      <c r="D887" t="s">
        <v>2020</v>
      </c>
      <c r="F887">
        <v>633832590</v>
      </c>
      <c r="G887">
        <v>1029039280</v>
      </c>
      <c r="H887">
        <v>966696652</v>
      </c>
      <c r="I887">
        <v>773224736</v>
      </c>
      <c r="J887">
        <v>356987737</v>
      </c>
      <c r="K887">
        <v>315067247</v>
      </c>
      <c r="L887">
        <v>185072942</v>
      </c>
      <c r="M887">
        <v>254825524</v>
      </c>
      <c r="N887">
        <v>194876843</v>
      </c>
      <c r="O887">
        <v>166964589</v>
      </c>
      <c r="P887">
        <v>68</v>
      </c>
      <c r="Q887" t="s">
        <v>2021</v>
      </c>
    </row>
    <row r="888" spans="1:17" x14ac:dyDescent="0.3">
      <c r="A888" t="s">
        <v>17</v>
      </c>
      <c r="B888" t="str">
        <f>"601116"</f>
        <v>601116</v>
      </c>
      <c r="C888" t="s">
        <v>2022</v>
      </c>
      <c r="D888" t="s">
        <v>798</v>
      </c>
      <c r="F888">
        <v>13494529</v>
      </c>
      <c r="G888">
        <v>8809207</v>
      </c>
      <c r="H888">
        <v>7254570</v>
      </c>
      <c r="I888">
        <v>0</v>
      </c>
      <c r="J888">
        <v>4727978</v>
      </c>
      <c r="K888">
        <v>5159619</v>
      </c>
      <c r="L888">
        <v>3881464</v>
      </c>
      <c r="M888">
        <v>2318194</v>
      </c>
      <c r="N888">
        <v>2357043</v>
      </c>
      <c r="O888">
        <v>3734538</v>
      </c>
      <c r="P888">
        <v>124</v>
      </c>
      <c r="Q888" t="s">
        <v>2023</v>
      </c>
    </row>
    <row r="889" spans="1:17" x14ac:dyDescent="0.3">
      <c r="A889" t="s">
        <v>17</v>
      </c>
      <c r="B889" t="str">
        <f>"601117"</f>
        <v>601117</v>
      </c>
      <c r="C889" t="s">
        <v>2024</v>
      </c>
      <c r="D889" t="s">
        <v>2025</v>
      </c>
      <c r="F889">
        <v>21805174587</v>
      </c>
      <c r="G889">
        <v>17557813549</v>
      </c>
      <c r="H889">
        <v>22115764161</v>
      </c>
      <c r="I889">
        <v>17349728014</v>
      </c>
      <c r="J889">
        <v>16219029180</v>
      </c>
      <c r="K889">
        <v>14073862315</v>
      </c>
      <c r="L889">
        <v>11042113020</v>
      </c>
      <c r="M889">
        <v>8397810748</v>
      </c>
      <c r="N889">
        <v>6791532577</v>
      </c>
      <c r="O889">
        <v>4991637895</v>
      </c>
      <c r="P889">
        <v>717</v>
      </c>
      <c r="Q889" t="s">
        <v>2026</v>
      </c>
    </row>
    <row r="890" spans="1:17" x14ac:dyDescent="0.3">
      <c r="A890" t="s">
        <v>17</v>
      </c>
      <c r="B890" t="str">
        <f>"601118"</f>
        <v>601118</v>
      </c>
      <c r="C890" t="s">
        <v>2027</v>
      </c>
      <c r="D890" t="s">
        <v>258</v>
      </c>
      <c r="F890">
        <v>754552412</v>
      </c>
      <c r="G890">
        <v>750611130</v>
      </c>
      <c r="H890">
        <v>895065657</v>
      </c>
      <c r="I890">
        <v>400315143</v>
      </c>
      <c r="J890">
        <v>277626093</v>
      </c>
      <c r="K890">
        <v>322186105</v>
      </c>
      <c r="L890">
        <v>506188870</v>
      </c>
      <c r="M890">
        <v>1338358654</v>
      </c>
      <c r="N890">
        <v>489754089</v>
      </c>
      <c r="O890">
        <v>1051588498</v>
      </c>
      <c r="P890">
        <v>199</v>
      </c>
      <c r="Q890" t="s">
        <v>2028</v>
      </c>
    </row>
    <row r="891" spans="1:17" x14ac:dyDescent="0.3">
      <c r="A891" t="s">
        <v>17</v>
      </c>
      <c r="B891" t="str">
        <f>"601126"</f>
        <v>601126</v>
      </c>
      <c r="C891" t="s">
        <v>2029</v>
      </c>
      <c r="D891" t="s">
        <v>610</v>
      </c>
      <c r="F891">
        <v>916604357</v>
      </c>
      <c r="G891">
        <v>1063618868</v>
      </c>
      <c r="H891">
        <v>2312594314</v>
      </c>
      <c r="I891">
        <v>2701628067</v>
      </c>
      <c r="J891">
        <v>2675696338</v>
      </c>
      <c r="K891">
        <v>2706679831</v>
      </c>
      <c r="L891">
        <v>2782046112</v>
      </c>
      <c r="M891">
        <v>2490451018</v>
      </c>
      <c r="N891">
        <v>2147763469</v>
      </c>
      <c r="O891">
        <v>1582857489</v>
      </c>
      <c r="P891">
        <v>279</v>
      </c>
      <c r="Q891" t="s">
        <v>2030</v>
      </c>
    </row>
    <row r="892" spans="1:17" x14ac:dyDescent="0.3">
      <c r="A892" t="s">
        <v>17</v>
      </c>
      <c r="B892" t="str">
        <f>"601127"</f>
        <v>601127</v>
      </c>
      <c r="C892" t="s">
        <v>2031</v>
      </c>
      <c r="D892" t="s">
        <v>247</v>
      </c>
      <c r="F892">
        <v>996687692</v>
      </c>
      <c r="G892">
        <v>671744618</v>
      </c>
      <c r="H892">
        <v>1597495061</v>
      </c>
      <c r="I892">
        <v>1497789386</v>
      </c>
      <c r="J892">
        <v>956997283</v>
      </c>
      <c r="K892">
        <v>393041899</v>
      </c>
      <c r="L892">
        <v>347945649</v>
      </c>
      <c r="M892">
        <v>206989296</v>
      </c>
      <c r="N892">
        <v>103497646</v>
      </c>
      <c r="P892">
        <v>476</v>
      </c>
      <c r="Q892" t="s">
        <v>2032</v>
      </c>
    </row>
    <row r="893" spans="1:17" x14ac:dyDescent="0.3">
      <c r="A893" t="s">
        <v>17</v>
      </c>
      <c r="B893" t="str">
        <f>"601128"</f>
        <v>601128</v>
      </c>
      <c r="C893" t="s">
        <v>2033</v>
      </c>
      <c r="D893" t="s">
        <v>1831</v>
      </c>
      <c r="P893">
        <v>939</v>
      </c>
      <c r="Q893" t="s">
        <v>2034</v>
      </c>
    </row>
    <row r="894" spans="1:17" x14ac:dyDescent="0.3">
      <c r="A894" t="s">
        <v>17</v>
      </c>
      <c r="B894" t="str">
        <f>"601137"</f>
        <v>601137</v>
      </c>
      <c r="C894" t="s">
        <v>2035</v>
      </c>
      <c r="D894" t="s">
        <v>581</v>
      </c>
      <c r="F894">
        <v>1153197469</v>
      </c>
      <c r="G894">
        <v>963528703</v>
      </c>
      <c r="H894">
        <v>854877083</v>
      </c>
      <c r="I894">
        <v>549774659</v>
      </c>
      <c r="J894">
        <v>526346369</v>
      </c>
      <c r="K894">
        <v>440133755</v>
      </c>
      <c r="L894">
        <v>307730161</v>
      </c>
      <c r="M894">
        <v>304421223</v>
      </c>
      <c r="N894">
        <v>260205799</v>
      </c>
      <c r="O894">
        <v>237101623</v>
      </c>
      <c r="P894">
        <v>283</v>
      </c>
      <c r="Q894" t="s">
        <v>2036</v>
      </c>
    </row>
    <row r="895" spans="1:17" x14ac:dyDescent="0.3">
      <c r="A895" t="s">
        <v>17</v>
      </c>
      <c r="B895" t="str">
        <f>"601138"</f>
        <v>601138</v>
      </c>
      <c r="C895" t="s">
        <v>2037</v>
      </c>
      <c r="D895" t="s">
        <v>313</v>
      </c>
      <c r="F895">
        <v>87029697000</v>
      </c>
      <c r="G895">
        <v>86827495000</v>
      </c>
      <c r="H895">
        <v>84643735000</v>
      </c>
      <c r="I895">
        <v>86116982000</v>
      </c>
      <c r="J895">
        <v>78513196000</v>
      </c>
      <c r="K895">
        <v>54573777000</v>
      </c>
      <c r="L895">
        <v>47009364000</v>
      </c>
      <c r="P895">
        <v>1318</v>
      </c>
      <c r="Q895" t="s">
        <v>2038</v>
      </c>
    </row>
    <row r="896" spans="1:17" x14ac:dyDescent="0.3">
      <c r="A896" t="s">
        <v>17</v>
      </c>
      <c r="B896" t="str">
        <f>"601139"</f>
        <v>601139</v>
      </c>
      <c r="C896" t="s">
        <v>2039</v>
      </c>
      <c r="D896" t="s">
        <v>749</v>
      </c>
      <c r="F896">
        <v>2825167870</v>
      </c>
      <c r="G896">
        <v>782446828</v>
      </c>
      <c r="H896">
        <v>669959287</v>
      </c>
      <c r="I896">
        <v>438518477</v>
      </c>
      <c r="J896">
        <v>388183213</v>
      </c>
      <c r="K896">
        <v>391898408</v>
      </c>
      <c r="L896">
        <v>320919595</v>
      </c>
      <c r="M896">
        <v>286956241</v>
      </c>
      <c r="N896">
        <v>305749650</v>
      </c>
      <c r="O896">
        <v>265508992</v>
      </c>
      <c r="P896">
        <v>476</v>
      </c>
      <c r="Q896" t="s">
        <v>2040</v>
      </c>
    </row>
    <row r="897" spans="1:17" x14ac:dyDescent="0.3">
      <c r="A897" t="s">
        <v>17</v>
      </c>
      <c r="B897" t="str">
        <f>"601155"</f>
        <v>601155</v>
      </c>
      <c r="C897" t="s">
        <v>2041</v>
      </c>
      <c r="D897" t="s">
        <v>30</v>
      </c>
      <c r="F897">
        <v>451418091</v>
      </c>
      <c r="G897">
        <v>349048406</v>
      </c>
      <c r="H897">
        <v>466730398</v>
      </c>
      <c r="I897">
        <v>216919923</v>
      </c>
      <c r="J897">
        <v>68875921</v>
      </c>
      <c r="K897">
        <v>25912671</v>
      </c>
      <c r="L897">
        <v>5605670</v>
      </c>
      <c r="M897">
        <v>11375913</v>
      </c>
      <c r="N897">
        <v>2261544</v>
      </c>
      <c r="O897">
        <v>3276885</v>
      </c>
      <c r="P897">
        <v>7593</v>
      </c>
      <c r="Q897" t="s">
        <v>2042</v>
      </c>
    </row>
    <row r="898" spans="1:17" x14ac:dyDescent="0.3">
      <c r="A898" t="s">
        <v>17</v>
      </c>
      <c r="B898" t="str">
        <f>"601156"</f>
        <v>601156</v>
      </c>
      <c r="C898" t="s">
        <v>2043</v>
      </c>
      <c r="D898" t="s">
        <v>287</v>
      </c>
      <c r="F898">
        <v>2219896719</v>
      </c>
      <c r="G898">
        <v>1723243021</v>
      </c>
      <c r="H898">
        <v>1445216029</v>
      </c>
      <c r="I898">
        <v>1580338377</v>
      </c>
      <c r="J898">
        <v>1444475538</v>
      </c>
      <c r="P898">
        <v>104</v>
      </c>
      <c r="Q898" t="s">
        <v>2044</v>
      </c>
    </row>
    <row r="899" spans="1:17" x14ac:dyDescent="0.3">
      <c r="A899" t="s">
        <v>17</v>
      </c>
      <c r="B899" t="str">
        <f>"601158"</f>
        <v>601158</v>
      </c>
      <c r="C899" t="s">
        <v>2045</v>
      </c>
      <c r="D899" t="s">
        <v>33</v>
      </c>
      <c r="F899">
        <v>1197157802</v>
      </c>
      <c r="G899">
        <v>1100500910</v>
      </c>
      <c r="H899">
        <v>968998839</v>
      </c>
      <c r="I899">
        <v>904569214</v>
      </c>
      <c r="J899">
        <v>813672601</v>
      </c>
      <c r="K899">
        <v>952214358</v>
      </c>
      <c r="L899">
        <v>1017005131</v>
      </c>
      <c r="M899">
        <v>792163149</v>
      </c>
      <c r="N899">
        <v>663855718</v>
      </c>
      <c r="O899">
        <v>558017911</v>
      </c>
      <c r="P899">
        <v>587</v>
      </c>
      <c r="Q899" t="s">
        <v>2046</v>
      </c>
    </row>
    <row r="900" spans="1:17" x14ac:dyDescent="0.3">
      <c r="A900" t="s">
        <v>17</v>
      </c>
      <c r="B900" t="str">
        <f>"601162"</f>
        <v>601162</v>
      </c>
      <c r="C900" t="s">
        <v>2047</v>
      </c>
      <c r="D900" t="s">
        <v>80</v>
      </c>
      <c r="F900">
        <v>2624388255</v>
      </c>
      <c r="G900">
        <v>1395310400</v>
      </c>
      <c r="H900">
        <v>0</v>
      </c>
      <c r="I900">
        <v>429088919</v>
      </c>
      <c r="J900">
        <v>301580447</v>
      </c>
      <c r="K900">
        <v>198916990</v>
      </c>
      <c r="L900">
        <v>25909325</v>
      </c>
      <c r="M900">
        <v>6965810</v>
      </c>
      <c r="N900">
        <v>0</v>
      </c>
      <c r="O900">
        <v>0</v>
      </c>
      <c r="P900">
        <v>897</v>
      </c>
      <c r="Q900" t="s">
        <v>2048</v>
      </c>
    </row>
    <row r="901" spans="1:17" x14ac:dyDescent="0.3">
      <c r="A901" t="s">
        <v>17</v>
      </c>
      <c r="B901" t="str">
        <f>"601163"</f>
        <v>601163</v>
      </c>
      <c r="C901" t="s">
        <v>2049</v>
      </c>
      <c r="D901" t="s">
        <v>422</v>
      </c>
      <c r="F901">
        <v>802364597</v>
      </c>
      <c r="G901">
        <v>729379160</v>
      </c>
      <c r="H901">
        <v>637603188</v>
      </c>
      <c r="I901">
        <v>839667085</v>
      </c>
      <c r="J901">
        <v>826785890</v>
      </c>
      <c r="K901">
        <v>584345086</v>
      </c>
      <c r="L901">
        <v>456220648</v>
      </c>
      <c r="M901">
        <v>421386196</v>
      </c>
      <c r="N901">
        <v>483439485</v>
      </c>
      <c r="P901">
        <v>224</v>
      </c>
      <c r="Q901" t="s">
        <v>2050</v>
      </c>
    </row>
    <row r="902" spans="1:17" x14ac:dyDescent="0.3">
      <c r="A902" t="s">
        <v>17</v>
      </c>
      <c r="B902" t="str">
        <f>"601166"</f>
        <v>601166</v>
      </c>
      <c r="C902" t="s">
        <v>2051</v>
      </c>
      <c r="D902" t="s">
        <v>19</v>
      </c>
      <c r="P902">
        <v>24372</v>
      </c>
      <c r="Q902" t="s">
        <v>2052</v>
      </c>
    </row>
    <row r="903" spans="1:17" x14ac:dyDescent="0.3">
      <c r="A903" t="s">
        <v>17</v>
      </c>
      <c r="B903" t="str">
        <f>"601168"</f>
        <v>601168</v>
      </c>
      <c r="C903" t="s">
        <v>2053</v>
      </c>
      <c r="D903" t="s">
        <v>263</v>
      </c>
      <c r="F903">
        <v>382263265</v>
      </c>
      <c r="G903">
        <v>325258376</v>
      </c>
      <c r="H903">
        <v>265526446</v>
      </c>
      <c r="I903">
        <v>52450875</v>
      </c>
      <c r="J903">
        <v>65253123</v>
      </c>
      <c r="K903">
        <v>27378809</v>
      </c>
      <c r="L903">
        <v>116410314</v>
      </c>
      <c r="M903">
        <v>613516789</v>
      </c>
      <c r="N903">
        <v>1988366124</v>
      </c>
      <c r="O903">
        <v>2774786717</v>
      </c>
      <c r="P903">
        <v>392</v>
      </c>
      <c r="Q903" t="s">
        <v>2054</v>
      </c>
    </row>
    <row r="904" spans="1:17" x14ac:dyDescent="0.3">
      <c r="A904" t="s">
        <v>17</v>
      </c>
      <c r="B904" t="str">
        <f>"601169"</f>
        <v>601169</v>
      </c>
      <c r="C904" t="s">
        <v>2055</v>
      </c>
      <c r="D904" t="s">
        <v>1842</v>
      </c>
      <c r="P904">
        <v>16385</v>
      </c>
      <c r="Q904" t="s">
        <v>2056</v>
      </c>
    </row>
    <row r="905" spans="1:17" x14ac:dyDescent="0.3">
      <c r="A905" t="s">
        <v>17</v>
      </c>
      <c r="B905" t="str">
        <f>"601177"</f>
        <v>601177</v>
      </c>
      <c r="C905" t="s">
        <v>2057</v>
      </c>
      <c r="D905" t="s">
        <v>274</v>
      </c>
      <c r="F905">
        <v>361473266</v>
      </c>
      <c r="G905">
        <v>314017314</v>
      </c>
      <c r="H905">
        <v>344933007</v>
      </c>
      <c r="I905">
        <v>396473992</v>
      </c>
      <c r="J905">
        <v>447829567</v>
      </c>
      <c r="K905">
        <v>486295744</v>
      </c>
      <c r="L905">
        <v>466525988</v>
      </c>
      <c r="M905">
        <v>400799246</v>
      </c>
      <c r="N905">
        <v>280730688</v>
      </c>
      <c r="O905">
        <v>251810930</v>
      </c>
      <c r="P905">
        <v>74</v>
      </c>
      <c r="Q905" t="s">
        <v>2058</v>
      </c>
    </row>
    <row r="906" spans="1:17" x14ac:dyDescent="0.3">
      <c r="A906" t="s">
        <v>17</v>
      </c>
      <c r="B906" t="str">
        <f>"601179"</f>
        <v>601179</v>
      </c>
      <c r="C906" t="s">
        <v>2059</v>
      </c>
      <c r="D906" t="s">
        <v>210</v>
      </c>
      <c r="F906">
        <v>7881963445</v>
      </c>
      <c r="G906">
        <v>7618158966</v>
      </c>
      <c r="H906">
        <v>10060511122</v>
      </c>
      <c r="I906">
        <v>8563113937</v>
      </c>
      <c r="J906">
        <v>8349276492</v>
      </c>
      <c r="K906">
        <v>7619136654</v>
      </c>
      <c r="L906">
        <v>7511509919</v>
      </c>
      <c r="M906">
        <v>7068749180</v>
      </c>
      <c r="N906">
        <v>6637998434</v>
      </c>
      <c r="O906">
        <v>7124792929</v>
      </c>
      <c r="P906">
        <v>329</v>
      </c>
      <c r="Q906" t="s">
        <v>2060</v>
      </c>
    </row>
    <row r="907" spans="1:17" x14ac:dyDescent="0.3">
      <c r="A907" t="s">
        <v>17</v>
      </c>
      <c r="B907" t="str">
        <f>"601186"</f>
        <v>601186</v>
      </c>
      <c r="C907" t="s">
        <v>2061</v>
      </c>
      <c r="D907" t="s">
        <v>101</v>
      </c>
      <c r="F907">
        <v>155677298000</v>
      </c>
      <c r="G907">
        <v>125696204000</v>
      </c>
      <c r="H907">
        <v>112138537000</v>
      </c>
      <c r="I907">
        <v>99382305000</v>
      </c>
      <c r="J907">
        <v>146503891000</v>
      </c>
      <c r="K907">
        <v>133427609000</v>
      </c>
      <c r="L907">
        <v>128028443000</v>
      </c>
      <c r="M907">
        <v>115414242000</v>
      </c>
      <c r="N907">
        <v>87797722000</v>
      </c>
      <c r="O907">
        <v>71711636000</v>
      </c>
      <c r="P907">
        <v>1361</v>
      </c>
      <c r="Q907" t="s">
        <v>2062</v>
      </c>
    </row>
    <row r="908" spans="1:17" x14ac:dyDescent="0.3">
      <c r="A908" t="s">
        <v>17</v>
      </c>
      <c r="B908" t="str">
        <f>"601187"</f>
        <v>601187</v>
      </c>
      <c r="C908" t="s">
        <v>2063</v>
      </c>
      <c r="D908" t="s">
        <v>1842</v>
      </c>
      <c r="P908">
        <v>177</v>
      </c>
      <c r="Q908" t="s">
        <v>2064</v>
      </c>
    </row>
    <row r="909" spans="1:17" x14ac:dyDescent="0.3">
      <c r="A909" t="s">
        <v>17</v>
      </c>
      <c r="B909" t="str">
        <f>"601188"</f>
        <v>601188</v>
      </c>
      <c r="C909" t="s">
        <v>2065</v>
      </c>
      <c r="D909" t="s">
        <v>44</v>
      </c>
      <c r="F909">
        <v>7988618</v>
      </c>
      <c r="G909">
        <v>8883327</v>
      </c>
      <c r="H909">
        <v>3393311</v>
      </c>
      <c r="I909">
        <v>4481644</v>
      </c>
      <c r="J909">
        <v>3291868</v>
      </c>
      <c r="K909">
        <v>4671687</v>
      </c>
      <c r="L909">
        <v>6952216</v>
      </c>
      <c r="M909">
        <v>8299488</v>
      </c>
      <c r="N909">
        <v>12699276</v>
      </c>
      <c r="O909">
        <v>9458433</v>
      </c>
      <c r="P909">
        <v>124</v>
      </c>
      <c r="Q909" t="s">
        <v>2066</v>
      </c>
    </row>
    <row r="910" spans="1:17" x14ac:dyDescent="0.3">
      <c r="A910" t="s">
        <v>17</v>
      </c>
      <c r="B910" t="str">
        <f>"601198"</f>
        <v>601198</v>
      </c>
      <c r="C910" t="s">
        <v>2067</v>
      </c>
      <c r="D910" t="s">
        <v>80</v>
      </c>
      <c r="F910">
        <v>431819019</v>
      </c>
      <c r="G910">
        <v>181889230</v>
      </c>
      <c r="H910">
        <v>0</v>
      </c>
      <c r="I910">
        <v>253546956</v>
      </c>
      <c r="J910">
        <v>176035989</v>
      </c>
      <c r="K910">
        <v>80131402</v>
      </c>
      <c r="L910">
        <v>0</v>
      </c>
      <c r="M910">
        <v>0</v>
      </c>
      <c r="N910">
        <v>0</v>
      </c>
      <c r="O910">
        <v>0</v>
      </c>
      <c r="P910">
        <v>814</v>
      </c>
      <c r="Q910" t="s">
        <v>2068</v>
      </c>
    </row>
    <row r="911" spans="1:17" x14ac:dyDescent="0.3">
      <c r="A911" t="s">
        <v>17</v>
      </c>
      <c r="B911" t="str">
        <f>"601199"</f>
        <v>601199</v>
      </c>
      <c r="C911" t="s">
        <v>2069</v>
      </c>
      <c r="D911" t="s">
        <v>33</v>
      </c>
      <c r="F911">
        <v>181671148</v>
      </c>
      <c r="G911">
        <v>41008645</v>
      </c>
      <c r="H911">
        <v>144869683</v>
      </c>
      <c r="I911">
        <v>219920769</v>
      </c>
      <c r="J911">
        <v>139778484</v>
      </c>
      <c r="K911">
        <v>64966164</v>
      </c>
      <c r="L911">
        <v>15223752</v>
      </c>
      <c r="M911">
        <v>15730806</v>
      </c>
      <c r="N911">
        <v>15419530</v>
      </c>
      <c r="O911">
        <v>28239937</v>
      </c>
      <c r="P911">
        <v>186</v>
      </c>
      <c r="Q911" t="s">
        <v>2070</v>
      </c>
    </row>
    <row r="912" spans="1:17" x14ac:dyDescent="0.3">
      <c r="A912" t="s">
        <v>17</v>
      </c>
      <c r="B912" t="str">
        <f>"601200"</f>
        <v>601200</v>
      </c>
      <c r="C912" t="s">
        <v>2071</v>
      </c>
      <c r="D912" t="s">
        <v>499</v>
      </c>
      <c r="F912">
        <v>2411097920</v>
      </c>
      <c r="G912">
        <v>1455282565</v>
      </c>
      <c r="H912">
        <v>1140663025</v>
      </c>
      <c r="I912">
        <v>764782974</v>
      </c>
      <c r="J912">
        <v>566727541</v>
      </c>
      <c r="K912">
        <v>380130452</v>
      </c>
      <c r="L912">
        <v>0</v>
      </c>
      <c r="P912">
        <v>326</v>
      </c>
      <c r="Q912" t="s">
        <v>2072</v>
      </c>
    </row>
    <row r="913" spans="1:17" x14ac:dyDescent="0.3">
      <c r="A913" t="s">
        <v>17</v>
      </c>
      <c r="B913" t="str">
        <f>"601206"</f>
        <v>601206</v>
      </c>
      <c r="C913" t="s">
        <v>2073</v>
      </c>
      <c r="D913" t="s">
        <v>2074</v>
      </c>
      <c r="L913">
        <v>610100616</v>
      </c>
      <c r="M913">
        <v>468393774</v>
      </c>
      <c r="N913">
        <v>333239885</v>
      </c>
      <c r="P913">
        <v>19</v>
      </c>
      <c r="Q913" t="s">
        <v>2075</v>
      </c>
    </row>
    <row r="914" spans="1:17" x14ac:dyDescent="0.3">
      <c r="A914" t="s">
        <v>17</v>
      </c>
      <c r="B914" t="str">
        <f>"601208"</f>
        <v>601208</v>
      </c>
      <c r="C914" t="s">
        <v>2076</v>
      </c>
      <c r="D914" t="s">
        <v>324</v>
      </c>
      <c r="F914">
        <v>601776956</v>
      </c>
      <c r="G914">
        <v>349185568</v>
      </c>
      <c r="H914">
        <v>271446188</v>
      </c>
      <c r="I914">
        <v>292832184</v>
      </c>
      <c r="J914">
        <v>308682866</v>
      </c>
      <c r="K914">
        <v>251180790</v>
      </c>
      <c r="L914">
        <v>282653225</v>
      </c>
      <c r="M914">
        <v>290653026</v>
      </c>
      <c r="N914">
        <v>193828643</v>
      </c>
      <c r="O914">
        <v>169654551</v>
      </c>
      <c r="P914">
        <v>3074</v>
      </c>
      <c r="Q914" t="s">
        <v>2077</v>
      </c>
    </row>
    <row r="915" spans="1:17" x14ac:dyDescent="0.3">
      <c r="A915" t="s">
        <v>17</v>
      </c>
      <c r="B915" t="str">
        <f>"601211"</f>
        <v>601211</v>
      </c>
      <c r="C915" t="s">
        <v>2078</v>
      </c>
      <c r="D915" t="s">
        <v>80</v>
      </c>
      <c r="F915">
        <v>10974673759</v>
      </c>
      <c r="G915">
        <v>9290306343</v>
      </c>
      <c r="H915">
        <v>5689249507</v>
      </c>
      <c r="I915">
        <v>7154014044</v>
      </c>
      <c r="J915">
        <v>7184556920</v>
      </c>
      <c r="K915">
        <v>3506000674</v>
      </c>
      <c r="L915">
        <v>0</v>
      </c>
      <c r="M915">
        <v>0</v>
      </c>
      <c r="N915">
        <v>0</v>
      </c>
      <c r="O915">
        <v>0</v>
      </c>
      <c r="P915">
        <v>3571</v>
      </c>
      <c r="Q915" t="s">
        <v>2079</v>
      </c>
    </row>
    <row r="916" spans="1:17" x14ac:dyDescent="0.3">
      <c r="A916" t="s">
        <v>17</v>
      </c>
      <c r="B916" t="str">
        <f>"601212"</f>
        <v>601212</v>
      </c>
      <c r="C916" t="s">
        <v>2080</v>
      </c>
      <c r="D916" t="s">
        <v>2081</v>
      </c>
      <c r="F916">
        <v>871234512</v>
      </c>
      <c r="G916">
        <v>1034972417</v>
      </c>
      <c r="H916">
        <v>763984458</v>
      </c>
      <c r="I916">
        <v>0</v>
      </c>
      <c r="J916">
        <v>536492146</v>
      </c>
      <c r="K916">
        <v>2422016145</v>
      </c>
      <c r="L916">
        <v>5746643363</v>
      </c>
      <c r="M916">
        <v>2692388906</v>
      </c>
      <c r="N916">
        <v>632889219</v>
      </c>
      <c r="P916">
        <v>185</v>
      </c>
      <c r="Q916" t="s">
        <v>2082</v>
      </c>
    </row>
    <row r="917" spans="1:17" x14ac:dyDescent="0.3">
      <c r="A917" t="s">
        <v>17</v>
      </c>
      <c r="B917" t="str">
        <f>"601216"</f>
        <v>601216</v>
      </c>
      <c r="C917" t="s">
        <v>2083</v>
      </c>
      <c r="D917" t="s">
        <v>175</v>
      </c>
      <c r="F917">
        <v>734025270</v>
      </c>
      <c r="G917">
        <v>590313149</v>
      </c>
      <c r="H917">
        <v>782034676</v>
      </c>
      <c r="I917">
        <v>57351107</v>
      </c>
      <c r="J917">
        <v>88727322</v>
      </c>
      <c r="K917">
        <v>147093461</v>
      </c>
      <c r="L917">
        <v>105641953</v>
      </c>
      <c r="M917">
        <v>38435347</v>
      </c>
      <c r="N917">
        <v>62955794</v>
      </c>
      <c r="O917">
        <v>23326881</v>
      </c>
      <c r="P917">
        <v>958</v>
      </c>
      <c r="Q917" t="s">
        <v>2084</v>
      </c>
    </row>
    <row r="918" spans="1:17" x14ac:dyDescent="0.3">
      <c r="A918" t="s">
        <v>17</v>
      </c>
      <c r="B918" t="str">
        <f>"601218"</f>
        <v>601218</v>
      </c>
      <c r="C918" t="s">
        <v>2085</v>
      </c>
      <c r="D918" t="s">
        <v>950</v>
      </c>
      <c r="F918">
        <v>784033256</v>
      </c>
      <c r="G918">
        <v>727033896</v>
      </c>
      <c r="H918">
        <v>605478737</v>
      </c>
      <c r="I918">
        <v>619306122</v>
      </c>
      <c r="J918">
        <v>768132090</v>
      </c>
      <c r="K918">
        <v>711946180</v>
      </c>
      <c r="L918">
        <v>818212890</v>
      </c>
      <c r="M918">
        <v>832628294</v>
      </c>
      <c r="N918">
        <v>774083501</v>
      </c>
      <c r="O918">
        <v>887195349</v>
      </c>
      <c r="P918">
        <v>146</v>
      </c>
      <c r="Q918" t="s">
        <v>2086</v>
      </c>
    </row>
    <row r="919" spans="1:17" x14ac:dyDescent="0.3">
      <c r="A919" t="s">
        <v>17</v>
      </c>
      <c r="B919" t="str">
        <f>"601222"</f>
        <v>601222</v>
      </c>
      <c r="C919" t="s">
        <v>2087</v>
      </c>
      <c r="D919" t="s">
        <v>86</v>
      </c>
      <c r="F919">
        <v>3978702858</v>
      </c>
      <c r="G919">
        <v>3782237504</v>
      </c>
      <c r="H919">
        <v>3005170861</v>
      </c>
      <c r="I919">
        <v>2847213574</v>
      </c>
      <c r="J919">
        <v>1951684775</v>
      </c>
      <c r="K919">
        <v>1586315444</v>
      </c>
      <c r="L919">
        <v>1097677884</v>
      </c>
      <c r="M919">
        <v>1135796443</v>
      </c>
      <c r="N919">
        <v>709181554</v>
      </c>
      <c r="O919">
        <v>716173193</v>
      </c>
      <c r="P919">
        <v>556</v>
      </c>
      <c r="Q919" t="s">
        <v>2088</v>
      </c>
    </row>
    <row r="920" spans="1:17" x14ac:dyDescent="0.3">
      <c r="A920" t="s">
        <v>17</v>
      </c>
      <c r="B920" t="str">
        <f>"601225"</f>
        <v>601225</v>
      </c>
      <c r="C920" t="s">
        <v>2089</v>
      </c>
      <c r="D920" t="s">
        <v>292</v>
      </c>
      <c r="F920">
        <v>7104541211</v>
      </c>
      <c r="G920">
        <v>6918998600</v>
      </c>
      <c r="H920">
        <v>5868488962</v>
      </c>
      <c r="I920">
        <v>4150732488</v>
      </c>
      <c r="J920">
        <v>4619441278</v>
      </c>
      <c r="K920">
        <v>4523474718</v>
      </c>
      <c r="L920">
        <v>5644956445</v>
      </c>
      <c r="M920">
        <v>4804639878</v>
      </c>
      <c r="N920">
        <v>3559502012</v>
      </c>
      <c r="O920">
        <v>3052866401</v>
      </c>
      <c r="P920">
        <v>2634</v>
      </c>
      <c r="Q920" t="s">
        <v>2090</v>
      </c>
    </row>
    <row r="921" spans="1:17" x14ac:dyDescent="0.3">
      <c r="A921" t="s">
        <v>17</v>
      </c>
      <c r="B921" t="str">
        <f>"601226"</f>
        <v>601226</v>
      </c>
      <c r="C921" t="s">
        <v>2091</v>
      </c>
      <c r="D921" t="s">
        <v>1992</v>
      </c>
      <c r="F921">
        <v>1779463402</v>
      </c>
      <c r="G921">
        <v>1589657670</v>
      </c>
      <c r="H921">
        <v>2524065400</v>
      </c>
      <c r="I921">
        <v>2456428125</v>
      </c>
      <c r="J921">
        <v>2191558843</v>
      </c>
      <c r="K921">
        <v>2080056566</v>
      </c>
      <c r="L921">
        <v>1961563434</v>
      </c>
      <c r="M921">
        <v>1610750900</v>
      </c>
      <c r="N921">
        <v>1055815389</v>
      </c>
      <c r="O921">
        <v>947955856</v>
      </c>
      <c r="P921">
        <v>114</v>
      </c>
      <c r="Q921" t="s">
        <v>2092</v>
      </c>
    </row>
    <row r="922" spans="1:17" x14ac:dyDescent="0.3">
      <c r="A922" t="s">
        <v>17</v>
      </c>
      <c r="B922" t="str">
        <f>"601228"</f>
        <v>601228</v>
      </c>
      <c r="C922" t="s">
        <v>2093</v>
      </c>
      <c r="D922" t="s">
        <v>51</v>
      </c>
      <c r="F922">
        <v>566684255</v>
      </c>
      <c r="G922">
        <v>624892931</v>
      </c>
      <c r="H922">
        <v>746762342</v>
      </c>
      <c r="I922">
        <v>709288681</v>
      </c>
      <c r="J922">
        <v>604709718</v>
      </c>
      <c r="K922">
        <v>623648577</v>
      </c>
      <c r="L922">
        <v>526629918</v>
      </c>
      <c r="M922">
        <v>511732832</v>
      </c>
      <c r="P922">
        <v>189</v>
      </c>
      <c r="Q922" t="s">
        <v>2094</v>
      </c>
    </row>
    <row r="923" spans="1:17" x14ac:dyDescent="0.3">
      <c r="A923" t="s">
        <v>17</v>
      </c>
      <c r="B923" t="str">
        <f>"601229"</f>
        <v>601229</v>
      </c>
      <c r="C923" t="s">
        <v>2095</v>
      </c>
      <c r="D923" t="s">
        <v>1842</v>
      </c>
      <c r="P923">
        <v>1546</v>
      </c>
      <c r="Q923" t="s">
        <v>2096</v>
      </c>
    </row>
    <row r="924" spans="1:17" x14ac:dyDescent="0.3">
      <c r="A924" t="s">
        <v>17</v>
      </c>
      <c r="B924" t="str">
        <f>"601231"</f>
        <v>601231</v>
      </c>
      <c r="C924" t="s">
        <v>2097</v>
      </c>
      <c r="D924" t="s">
        <v>313</v>
      </c>
      <c r="F924">
        <v>12459388852</v>
      </c>
      <c r="G924">
        <v>10468619520</v>
      </c>
      <c r="H924">
        <v>7258215591</v>
      </c>
      <c r="I924">
        <v>7588117718</v>
      </c>
      <c r="J924">
        <v>5851927825</v>
      </c>
      <c r="K924">
        <v>4753856864</v>
      </c>
      <c r="L924">
        <v>3472667754</v>
      </c>
      <c r="M924">
        <v>3521476954</v>
      </c>
      <c r="N924">
        <v>3192234372</v>
      </c>
      <c r="O924">
        <v>3684052754</v>
      </c>
      <c r="P924">
        <v>735</v>
      </c>
      <c r="Q924" t="s">
        <v>2098</v>
      </c>
    </row>
    <row r="925" spans="1:17" x14ac:dyDescent="0.3">
      <c r="A925" t="s">
        <v>17</v>
      </c>
      <c r="B925" t="str">
        <f>"601233"</f>
        <v>601233</v>
      </c>
      <c r="C925" t="s">
        <v>2099</v>
      </c>
      <c r="D925" t="s">
        <v>1617</v>
      </c>
      <c r="F925">
        <v>363817415</v>
      </c>
      <c r="G925">
        <v>165987823</v>
      </c>
      <c r="H925">
        <v>264207951</v>
      </c>
      <c r="I925">
        <v>285119820</v>
      </c>
      <c r="J925">
        <v>409942620</v>
      </c>
      <c r="K925">
        <v>622187842</v>
      </c>
      <c r="L925">
        <v>170355663</v>
      </c>
      <c r="M925">
        <v>206263244</v>
      </c>
      <c r="N925">
        <v>156604034</v>
      </c>
      <c r="O925">
        <v>60621514</v>
      </c>
      <c r="P925">
        <v>807</v>
      </c>
      <c r="Q925" t="s">
        <v>2100</v>
      </c>
    </row>
    <row r="926" spans="1:17" x14ac:dyDescent="0.3">
      <c r="A926" t="s">
        <v>17</v>
      </c>
      <c r="B926" t="str">
        <f>"601236"</f>
        <v>601236</v>
      </c>
      <c r="C926" t="s">
        <v>2101</v>
      </c>
      <c r="D926" t="s">
        <v>80</v>
      </c>
      <c r="F926">
        <v>34803500</v>
      </c>
      <c r="G926">
        <v>48630945</v>
      </c>
      <c r="H926">
        <v>83293243</v>
      </c>
      <c r="I926">
        <v>72651986</v>
      </c>
      <c r="J926">
        <v>17253331</v>
      </c>
      <c r="K926">
        <v>14135497</v>
      </c>
      <c r="L926">
        <v>23392000</v>
      </c>
      <c r="M926">
        <v>1141500</v>
      </c>
      <c r="N926">
        <v>24228347</v>
      </c>
      <c r="O926">
        <v>0</v>
      </c>
      <c r="P926">
        <v>879</v>
      </c>
      <c r="Q926" t="s">
        <v>2102</v>
      </c>
    </row>
    <row r="927" spans="1:17" x14ac:dyDescent="0.3">
      <c r="A927" t="s">
        <v>17</v>
      </c>
      <c r="B927" t="str">
        <f>"601238"</f>
        <v>601238</v>
      </c>
      <c r="C927" t="s">
        <v>2103</v>
      </c>
      <c r="D927" t="s">
        <v>247</v>
      </c>
      <c r="F927">
        <v>7222247535</v>
      </c>
      <c r="G927">
        <v>4317202521</v>
      </c>
      <c r="H927">
        <v>3466349324</v>
      </c>
      <c r="I927">
        <v>2158534878</v>
      </c>
      <c r="J927">
        <v>1373809577</v>
      </c>
      <c r="K927">
        <v>1154746159</v>
      </c>
      <c r="L927">
        <v>732467825</v>
      </c>
      <c r="M927">
        <v>1059294431</v>
      </c>
      <c r="N927">
        <v>1024617309</v>
      </c>
      <c r="O927">
        <v>1022991826</v>
      </c>
      <c r="P927">
        <v>1300</v>
      </c>
      <c r="Q927" t="s">
        <v>2104</v>
      </c>
    </row>
    <row r="928" spans="1:17" x14ac:dyDescent="0.3">
      <c r="A928" t="s">
        <v>17</v>
      </c>
      <c r="B928" t="str">
        <f>"601258"</f>
        <v>601258</v>
      </c>
      <c r="C928" t="s">
        <v>2105</v>
      </c>
      <c r="D928" t="s">
        <v>672</v>
      </c>
      <c r="F928">
        <v>318789078</v>
      </c>
      <c r="G928">
        <v>329723514</v>
      </c>
      <c r="H928">
        <v>562400676</v>
      </c>
      <c r="I928">
        <v>878884465</v>
      </c>
      <c r="J928">
        <v>1577611636</v>
      </c>
      <c r="K928">
        <v>1772240772</v>
      </c>
      <c r="L928">
        <v>976065268</v>
      </c>
      <c r="M928">
        <v>841815217</v>
      </c>
      <c r="N928">
        <v>1276598898</v>
      </c>
      <c r="O928">
        <v>1750803683</v>
      </c>
      <c r="P928">
        <v>133</v>
      </c>
      <c r="Q928" t="s">
        <v>2106</v>
      </c>
    </row>
    <row r="929" spans="1:17" x14ac:dyDescent="0.3">
      <c r="A929" t="s">
        <v>17</v>
      </c>
      <c r="B929" t="str">
        <f>"601268"</f>
        <v>601268</v>
      </c>
      <c r="C929" t="s">
        <v>2107</v>
      </c>
      <c r="K929">
        <v>2199617959.3000002</v>
      </c>
      <c r="L929">
        <v>2516625707.1599998</v>
      </c>
      <c r="M929">
        <v>3012131777.5900002</v>
      </c>
      <c r="N929">
        <v>3689828435.6599998</v>
      </c>
      <c r="O929">
        <v>3569719630.5100002</v>
      </c>
      <c r="P929">
        <v>2</v>
      </c>
      <c r="Q929" t="s">
        <v>2108</v>
      </c>
    </row>
    <row r="930" spans="1:17" x14ac:dyDescent="0.3">
      <c r="A930" t="s">
        <v>17</v>
      </c>
      <c r="B930" t="str">
        <f>"601279"</f>
        <v>601279</v>
      </c>
      <c r="C930" t="s">
        <v>2109</v>
      </c>
      <c r="D930" t="s">
        <v>985</v>
      </c>
      <c r="F930">
        <v>858696890</v>
      </c>
      <c r="G930">
        <v>668120092</v>
      </c>
      <c r="H930">
        <v>760456858</v>
      </c>
      <c r="I930">
        <v>860074617</v>
      </c>
      <c r="J930">
        <v>797215473</v>
      </c>
      <c r="K930">
        <v>627412131</v>
      </c>
      <c r="P930">
        <v>43</v>
      </c>
      <c r="Q930" t="s">
        <v>2110</v>
      </c>
    </row>
    <row r="931" spans="1:17" x14ac:dyDescent="0.3">
      <c r="A931" t="s">
        <v>17</v>
      </c>
      <c r="B931" t="str">
        <f>"601288"</f>
        <v>601288</v>
      </c>
      <c r="C931" t="s">
        <v>2111</v>
      </c>
      <c r="D931" t="s">
        <v>2112</v>
      </c>
      <c r="P931">
        <v>9498</v>
      </c>
      <c r="Q931" t="s">
        <v>2113</v>
      </c>
    </row>
    <row r="932" spans="1:17" x14ac:dyDescent="0.3">
      <c r="A932" t="s">
        <v>17</v>
      </c>
      <c r="B932" t="str">
        <f>"601298"</f>
        <v>601298</v>
      </c>
      <c r="C932" t="s">
        <v>2114</v>
      </c>
      <c r="D932" t="s">
        <v>51</v>
      </c>
      <c r="F932">
        <v>1881094561</v>
      </c>
      <c r="G932">
        <v>2982613568</v>
      </c>
      <c r="H932">
        <v>2337733076</v>
      </c>
      <c r="I932">
        <v>2068535326</v>
      </c>
      <c r="J932">
        <v>0</v>
      </c>
      <c r="K932">
        <v>0</v>
      </c>
      <c r="L932">
        <v>0</v>
      </c>
      <c r="P932">
        <v>431</v>
      </c>
      <c r="Q932" t="s">
        <v>2115</v>
      </c>
    </row>
    <row r="933" spans="1:17" x14ac:dyDescent="0.3">
      <c r="A933" t="s">
        <v>17</v>
      </c>
      <c r="B933" t="str">
        <f>"601299"</f>
        <v>601299</v>
      </c>
      <c r="C933" t="s">
        <v>2116</v>
      </c>
      <c r="M933">
        <v>25689985000</v>
      </c>
      <c r="N933">
        <v>30384966000</v>
      </c>
      <c r="O933">
        <v>21829901000</v>
      </c>
      <c r="P933">
        <v>12</v>
      </c>
      <c r="Q933" t="s">
        <v>2117</v>
      </c>
    </row>
    <row r="934" spans="1:17" x14ac:dyDescent="0.3">
      <c r="A934" t="s">
        <v>17</v>
      </c>
      <c r="B934" t="str">
        <f>"601311"</f>
        <v>601311</v>
      </c>
      <c r="C934" t="s">
        <v>2118</v>
      </c>
      <c r="D934" t="s">
        <v>555</v>
      </c>
      <c r="F934">
        <v>1147639465</v>
      </c>
      <c r="G934">
        <v>1012828490</v>
      </c>
      <c r="H934">
        <v>1123076000</v>
      </c>
      <c r="I934">
        <v>1319635955</v>
      </c>
      <c r="J934">
        <v>1426116613</v>
      </c>
      <c r="K934">
        <v>884072428</v>
      </c>
      <c r="L934">
        <v>684590214</v>
      </c>
      <c r="M934">
        <v>652716521</v>
      </c>
      <c r="N934">
        <v>440484637</v>
      </c>
      <c r="O934">
        <v>375052919</v>
      </c>
      <c r="P934">
        <v>339</v>
      </c>
      <c r="Q934" t="s">
        <v>2119</v>
      </c>
    </row>
    <row r="935" spans="1:17" x14ac:dyDescent="0.3">
      <c r="A935" t="s">
        <v>17</v>
      </c>
      <c r="B935" t="str">
        <f>"601313"</f>
        <v>601313</v>
      </c>
      <c r="C935" t="s">
        <v>2120</v>
      </c>
      <c r="J935">
        <v>2437595000</v>
      </c>
      <c r="K935">
        <v>834076222</v>
      </c>
      <c r="L935">
        <v>794674827.33000004</v>
      </c>
      <c r="M935">
        <v>718172230.27999997</v>
      </c>
      <c r="N935">
        <v>567348778.09000003</v>
      </c>
      <c r="O935">
        <v>449562718.08999997</v>
      </c>
      <c r="P935">
        <v>53</v>
      </c>
      <c r="Q935" t="s">
        <v>2121</v>
      </c>
    </row>
    <row r="936" spans="1:17" x14ac:dyDescent="0.3">
      <c r="A936" t="s">
        <v>17</v>
      </c>
      <c r="B936" t="str">
        <f>"601318"</f>
        <v>601318</v>
      </c>
      <c r="C936" t="s">
        <v>2122</v>
      </c>
      <c r="D936" t="s">
        <v>660</v>
      </c>
      <c r="F936">
        <v>26628000000</v>
      </c>
      <c r="G936">
        <v>26176000000</v>
      </c>
      <c r="H936">
        <v>28579000000</v>
      </c>
      <c r="I936">
        <v>22798000000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27844</v>
      </c>
      <c r="Q936" t="s">
        <v>2123</v>
      </c>
    </row>
    <row r="937" spans="1:17" x14ac:dyDescent="0.3">
      <c r="A937" t="s">
        <v>17</v>
      </c>
      <c r="B937" t="str">
        <f>"601319"</f>
        <v>601319</v>
      </c>
      <c r="C937" t="s">
        <v>2124</v>
      </c>
      <c r="D937" t="s">
        <v>660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901</v>
      </c>
      <c r="Q937" t="s">
        <v>2125</v>
      </c>
    </row>
    <row r="938" spans="1:17" x14ac:dyDescent="0.3">
      <c r="A938" t="s">
        <v>17</v>
      </c>
      <c r="B938" t="str">
        <f>"601326"</f>
        <v>601326</v>
      </c>
      <c r="C938" t="s">
        <v>2126</v>
      </c>
      <c r="D938" t="s">
        <v>51</v>
      </c>
      <c r="F938">
        <v>42864847</v>
      </c>
      <c r="G938">
        <v>58344007</v>
      </c>
      <c r="H938">
        <v>81480464</v>
      </c>
      <c r="I938">
        <v>68555391</v>
      </c>
      <c r="J938">
        <v>82993154</v>
      </c>
      <c r="K938">
        <v>150073234</v>
      </c>
      <c r="L938">
        <v>178236586</v>
      </c>
      <c r="M938">
        <v>208103087</v>
      </c>
      <c r="P938">
        <v>127</v>
      </c>
      <c r="Q938" t="s">
        <v>2127</v>
      </c>
    </row>
    <row r="939" spans="1:17" x14ac:dyDescent="0.3">
      <c r="A939" t="s">
        <v>17</v>
      </c>
      <c r="B939" t="str">
        <f>"601328"</f>
        <v>601328</v>
      </c>
      <c r="C939" t="s">
        <v>2128</v>
      </c>
      <c r="D939" t="s">
        <v>2112</v>
      </c>
      <c r="P939">
        <v>4577</v>
      </c>
      <c r="Q939" t="s">
        <v>2129</v>
      </c>
    </row>
    <row r="940" spans="1:17" x14ac:dyDescent="0.3">
      <c r="A940" t="s">
        <v>17</v>
      </c>
      <c r="B940" t="str">
        <f>"601330"</f>
        <v>601330</v>
      </c>
      <c r="C940" t="s">
        <v>2130</v>
      </c>
      <c r="D940" t="s">
        <v>499</v>
      </c>
      <c r="F940">
        <v>1530086535</v>
      </c>
      <c r="G940">
        <v>785699956</v>
      </c>
      <c r="H940">
        <v>452783630</v>
      </c>
      <c r="I940">
        <v>231720898</v>
      </c>
      <c r="J940">
        <v>137882371</v>
      </c>
      <c r="K940">
        <v>113670197</v>
      </c>
      <c r="L940">
        <v>114885661</v>
      </c>
      <c r="P940">
        <v>234</v>
      </c>
      <c r="Q940" t="s">
        <v>2131</v>
      </c>
    </row>
    <row r="941" spans="1:17" x14ac:dyDescent="0.3">
      <c r="A941" t="s">
        <v>17</v>
      </c>
      <c r="B941" t="str">
        <f>"601333"</f>
        <v>601333</v>
      </c>
      <c r="C941" t="s">
        <v>2132</v>
      </c>
      <c r="D941" t="s">
        <v>301</v>
      </c>
      <c r="F941">
        <v>4396173803</v>
      </c>
      <c r="G941">
        <v>3721676955</v>
      </c>
      <c r="H941">
        <v>4402133906</v>
      </c>
      <c r="I941">
        <v>0</v>
      </c>
      <c r="J941">
        <v>4142209628</v>
      </c>
      <c r="K941">
        <v>3364365517</v>
      </c>
      <c r="L941">
        <v>2886065085</v>
      </c>
      <c r="M941">
        <v>2313404994</v>
      </c>
      <c r="N941">
        <v>1554913570</v>
      </c>
      <c r="O941">
        <v>999924979</v>
      </c>
      <c r="P941">
        <v>318</v>
      </c>
      <c r="Q941" t="s">
        <v>2133</v>
      </c>
    </row>
    <row r="942" spans="1:17" x14ac:dyDescent="0.3">
      <c r="A942" t="s">
        <v>17</v>
      </c>
      <c r="B942" t="str">
        <f>"601336"</f>
        <v>601336</v>
      </c>
      <c r="C942" t="s">
        <v>2134</v>
      </c>
      <c r="D942" t="s">
        <v>660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1856</v>
      </c>
      <c r="Q942" t="s">
        <v>2135</v>
      </c>
    </row>
    <row r="943" spans="1:17" x14ac:dyDescent="0.3">
      <c r="A943" t="s">
        <v>17</v>
      </c>
      <c r="B943" t="str">
        <f>"601339"</f>
        <v>601339</v>
      </c>
      <c r="C943" t="s">
        <v>2136</v>
      </c>
      <c r="D943" t="s">
        <v>1009</v>
      </c>
      <c r="F943">
        <v>652659627</v>
      </c>
      <c r="G943">
        <v>658006274</v>
      </c>
      <c r="H943">
        <v>475875351</v>
      </c>
      <c r="I943">
        <v>415476328</v>
      </c>
      <c r="J943">
        <v>466120825</v>
      </c>
      <c r="K943">
        <v>494490167</v>
      </c>
      <c r="L943">
        <v>390610063</v>
      </c>
      <c r="M943">
        <v>334300665</v>
      </c>
      <c r="N943">
        <v>337465462</v>
      </c>
      <c r="O943">
        <v>324218509</v>
      </c>
      <c r="P943">
        <v>207</v>
      </c>
      <c r="Q943" t="s">
        <v>2137</v>
      </c>
    </row>
    <row r="944" spans="1:17" x14ac:dyDescent="0.3">
      <c r="A944" t="s">
        <v>17</v>
      </c>
      <c r="B944" t="str">
        <f>"601360"</f>
        <v>601360</v>
      </c>
      <c r="C944" t="s">
        <v>2138</v>
      </c>
      <c r="D944" t="s">
        <v>1189</v>
      </c>
      <c r="F944">
        <v>2220711000</v>
      </c>
      <c r="G944">
        <v>1950684000</v>
      </c>
      <c r="H944">
        <v>2239828000</v>
      </c>
      <c r="I944">
        <v>2345506000</v>
      </c>
      <c r="J944">
        <v>946479553</v>
      </c>
      <c r="K944">
        <v>834076222</v>
      </c>
      <c r="L944">
        <v>794674827</v>
      </c>
      <c r="M944">
        <v>718172230</v>
      </c>
      <c r="N944">
        <v>567348778</v>
      </c>
      <c r="O944">
        <v>449562718</v>
      </c>
      <c r="P944">
        <v>1010</v>
      </c>
      <c r="Q944" t="s">
        <v>2139</v>
      </c>
    </row>
    <row r="945" spans="1:17" x14ac:dyDescent="0.3">
      <c r="A945" t="s">
        <v>17</v>
      </c>
      <c r="B945" t="str">
        <f>"601366"</f>
        <v>601366</v>
      </c>
      <c r="C945" t="s">
        <v>2140</v>
      </c>
      <c r="D945" t="s">
        <v>1404</v>
      </c>
      <c r="F945">
        <v>268978627</v>
      </c>
      <c r="G945">
        <v>185762604</v>
      </c>
      <c r="H945">
        <v>161777111</v>
      </c>
      <c r="I945">
        <v>150739810</v>
      </c>
      <c r="J945">
        <v>129165714</v>
      </c>
      <c r="K945">
        <v>130622730</v>
      </c>
      <c r="L945">
        <v>108423062</v>
      </c>
      <c r="M945">
        <v>94523338</v>
      </c>
      <c r="P945">
        <v>132</v>
      </c>
      <c r="Q945" t="s">
        <v>2141</v>
      </c>
    </row>
    <row r="946" spans="1:17" x14ac:dyDescent="0.3">
      <c r="A946" t="s">
        <v>17</v>
      </c>
      <c r="B946" t="str">
        <f>"601368"</f>
        <v>601368</v>
      </c>
      <c r="C946" t="s">
        <v>2142</v>
      </c>
      <c r="D946" t="s">
        <v>33</v>
      </c>
      <c r="F946">
        <v>576581828</v>
      </c>
      <c r="G946">
        <v>174098174</v>
      </c>
      <c r="H946">
        <v>164584638</v>
      </c>
      <c r="I946">
        <v>143815929</v>
      </c>
      <c r="J946">
        <v>184004951</v>
      </c>
      <c r="K946">
        <v>172163171</v>
      </c>
      <c r="L946">
        <v>156023269</v>
      </c>
      <c r="M946">
        <v>90513749</v>
      </c>
      <c r="N946">
        <v>74533053</v>
      </c>
      <c r="O946">
        <v>72868737</v>
      </c>
      <c r="P946">
        <v>109</v>
      </c>
      <c r="Q946" t="s">
        <v>2143</v>
      </c>
    </row>
    <row r="947" spans="1:17" x14ac:dyDescent="0.3">
      <c r="A947" t="s">
        <v>17</v>
      </c>
      <c r="B947" t="str">
        <f>"601369"</f>
        <v>601369</v>
      </c>
      <c r="C947" t="s">
        <v>2144</v>
      </c>
      <c r="D947" t="s">
        <v>560</v>
      </c>
      <c r="F947">
        <v>3205187052</v>
      </c>
      <c r="G947">
        <v>2724957701</v>
      </c>
      <c r="H947">
        <v>3354067877</v>
      </c>
      <c r="I947">
        <v>2634010241</v>
      </c>
      <c r="J947">
        <v>2494109051</v>
      </c>
      <c r="K947">
        <v>2320948990</v>
      </c>
      <c r="L947">
        <v>2467716546</v>
      </c>
      <c r="M947">
        <v>2170197158</v>
      </c>
      <c r="N947">
        <v>2303168464</v>
      </c>
      <c r="O947">
        <v>1741306973</v>
      </c>
      <c r="P947">
        <v>217</v>
      </c>
      <c r="Q947" t="s">
        <v>2145</v>
      </c>
    </row>
    <row r="948" spans="1:17" x14ac:dyDescent="0.3">
      <c r="A948" t="s">
        <v>17</v>
      </c>
      <c r="B948" t="str">
        <f>"601375"</f>
        <v>601375</v>
      </c>
      <c r="C948" t="s">
        <v>2146</v>
      </c>
      <c r="D948" t="s">
        <v>80</v>
      </c>
      <c r="F948">
        <v>98055900</v>
      </c>
      <c r="G948">
        <v>169323523</v>
      </c>
      <c r="H948">
        <v>153912302</v>
      </c>
      <c r="I948">
        <v>93242483</v>
      </c>
      <c r="J948">
        <v>100459567</v>
      </c>
      <c r="K948">
        <v>43496698</v>
      </c>
      <c r="L948">
        <v>0</v>
      </c>
      <c r="M948">
        <v>0</v>
      </c>
      <c r="N948">
        <v>0</v>
      </c>
      <c r="O948">
        <v>3309187.59</v>
      </c>
      <c r="P948">
        <v>690</v>
      </c>
      <c r="Q948" t="s">
        <v>2147</v>
      </c>
    </row>
    <row r="949" spans="1:17" x14ac:dyDescent="0.3">
      <c r="A949" t="s">
        <v>17</v>
      </c>
      <c r="B949" t="str">
        <f>"601377"</f>
        <v>601377</v>
      </c>
      <c r="C949" t="s">
        <v>2148</v>
      </c>
      <c r="D949" t="s">
        <v>80</v>
      </c>
      <c r="F949">
        <v>1691381835</v>
      </c>
      <c r="G949">
        <v>1951852143</v>
      </c>
      <c r="H949">
        <v>2412086361</v>
      </c>
      <c r="I949">
        <v>2258413112</v>
      </c>
      <c r="J949">
        <v>1423003736</v>
      </c>
      <c r="K949">
        <v>1095993767</v>
      </c>
      <c r="L949">
        <v>0</v>
      </c>
      <c r="M949">
        <v>0</v>
      </c>
      <c r="N949">
        <v>0</v>
      </c>
      <c r="O949">
        <v>0</v>
      </c>
      <c r="P949">
        <v>1731</v>
      </c>
      <c r="Q949" t="s">
        <v>2149</v>
      </c>
    </row>
    <row r="950" spans="1:17" x14ac:dyDescent="0.3">
      <c r="A950" t="s">
        <v>17</v>
      </c>
      <c r="B950" t="str">
        <f>"601388"</f>
        <v>601388</v>
      </c>
      <c r="C950" t="s">
        <v>2150</v>
      </c>
      <c r="D950" t="s">
        <v>504</v>
      </c>
      <c r="F950">
        <v>918417980</v>
      </c>
      <c r="G950">
        <v>632665357</v>
      </c>
      <c r="H950">
        <v>600824872</v>
      </c>
      <c r="I950">
        <v>646696036</v>
      </c>
      <c r="J950">
        <v>699345962</v>
      </c>
      <c r="K950">
        <v>640129416</v>
      </c>
      <c r="L950">
        <v>342930716</v>
      </c>
      <c r="M950">
        <v>459394150</v>
      </c>
      <c r="N950">
        <v>449427601</v>
      </c>
      <c r="O950">
        <v>388650513</v>
      </c>
      <c r="P950">
        <v>206</v>
      </c>
      <c r="Q950" t="s">
        <v>2151</v>
      </c>
    </row>
    <row r="951" spans="1:17" x14ac:dyDescent="0.3">
      <c r="A951" t="s">
        <v>17</v>
      </c>
      <c r="B951" t="str">
        <f>"601390"</f>
        <v>601390</v>
      </c>
      <c r="C951" t="s">
        <v>2152</v>
      </c>
      <c r="D951" t="s">
        <v>101</v>
      </c>
      <c r="F951">
        <v>122120354000</v>
      </c>
      <c r="G951">
        <v>107876645000</v>
      </c>
      <c r="H951">
        <v>103712103000</v>
      </c>
      <c r="I951">
        <v>105909473000</v>
      </c>
      <c r="J951">
        <v>157804847000</v>
      </c>
      <c r="K951">
        <v>140532460000</v>
      </c>
      <c r="L951">
        <v>131660359000</v>
      </c>
      <c r="M951">
        <v>145830995000</v>
      </c>
      <c r="N951">
        <v>123089507000</v>
      </c>
      <c r="O951">
        <v>100972076000</v>
      </c>
      <c r="P951">
        <v>1323</v>
      </c>
      <c r="Q951" t="s">
        <v>2153</v>
      </c>
    </row>
    <row r="952" spans="1:17" x14ac:dyDescent="0.3">
      <c r="A952" t="s">
        <v>17</v>
      </c>
      <c r="B952" t="str">
        <f>"601398"</f>
        <v>601398</v>
      </c>
      <c r="C952" t="s">
        <v>2154</v>
      </c>
      <c r="D952" t="s">
        <v>2112</v>
      </c>
      <c r="P952">
        <v>20387</v>
      </c>
      <c r="Q952" t="s">
        <v>2155</v>
      </c>
    </row>
    <row r="953" spans="1:17" x14ac:dyDescent="0.3">
      <c r="A953" t="s">
        <v>17</v>
      </c>
      <c r="B953" t="str">
        <f>"601399"</f>
        <v>601399</v>
      </c>
      <c r="C953" t="s">
        <v>2156</v>
      </c>
      <c r="D953" t="s">
        <v>395</v>
      </c>
      <c r="F953">
        <v>4807090398</v>
      </c>
      <c r="G953">
        <v>4162592832</v>
      </c>
      <c r="H953">
        <v>3122866290</v>
      </c>
      <c r="I953">
        <v>3190669300</v>
      </c>
      <c r="J953">
        <v>2764725054</v>
      </c>
      <c r="N953">
        <v>3689828436</v>
      </c>
      <c r="O953">
        <v>3569719631</v>
      </c>
      <c r="P953">
        <v>53</v>
      </c>
      <c r="Q953" t="s">
        <v>2157</v>
      </c>
    </row>
    <row r="954" spans="1:17" x14ac:dyDescent="0.3">
      <c r="A954" t="s">
        <v>17</v>
      </c>
      <c r="B954" t="str">
        <f>"601456"</f>
        <v>601456</v>
      </c>
      <c r="C954" t="s">
        <v>2158</v>
      </c>
      <c r="D954" t="s">
        <v>80</v>
      </c>
      <c r="F954">
        <v>92023768</v>
      </c>
      <c r="G954">
        <v>65402960</v>
      </c>
      <c r="H954">
        <v>92969000</v>
      </c>
      <c r="I954">
        <v>25091000</v>
      </c>
      <c r="J954">
        <v>39385000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310</v>
      </c>
      <c r="Q954" t="s">
        <v>2159</v>
      </c>
    </row>
    <row r="955" spans="1:17" x14ac:dyDescent="0.3">
      <c r="A955" t="s">
        <v>17</v>
      </c>
      <c r="B955" t="str">
        <f>"601500"</f>
        <v>601500</v>
      </c>
      <c r="C955" t="s">
        <v>2160</v>
      </c>
      <c r="D955" t="s">
        <v>422</v>
      </c>
      <c r="F955">
        <v>809988006</v>
      </c>
      <c r="G955">
        <v>555244098</v>
      </c>
      <c r="H955">
        <v>533979591</v>
      </c>
      <c r="I955">
        <v>440267996</v>
      </c>
      <c r="J955">
        <v>277817831</v>
      </c>
      <c r="K955">
        <v>312351072</v>
      </c>
      <c r="L955">
        <v>222942505</v>
      </c>
      <c r="M955">
        <v>220341084</v>
      </c>
      <c r="N955">
        <v>136640575</v>
      </c>
      <c r="P955">
        <v>85</v>
      </c>
      <c r="Q955" t="s">
        <v>2161</v>
      </c>
    </row>
    <row r="956" spans="1:17" x14ac:dyDescent="0.3">
      <c r="A956" t="s">
        <v>17</v>
      </c>
      <c r="B956" t="str">
        <f>"601512"</f>
        <v>601512</v>
      </c>
      <c r="C956" t="s">
        <v>2162</v>
      </c>
      <c r="D956" t="s">
        <v>194</v>
      </c>
      <c r="F956">
        <v>1317291424</v>
      </c>
      <c r="G956">
        <v>982398768</v>
      </c>
      <c r="H956">
        <v>388364467</v>
      </c>
      <c r="I956">
        <v>206800191</v>
      </c>
      <c r="J956">
        <v>355076811</v>
      </c>
      <c r="K956">
        <v>409188978</v>
      </c>
      <c r="P956">
        <v>103</v>
      </c>
      <c r="Q956" t="s">
        <v>2163</v>
      </c>
    </row>
    <row r="957" spans="1:17" x14ac:dyDescent="0.3">
      <c r="A957" t="s">
        <v>17</v>
      </c>
      <c r="B957" t="str">
        <f>"601515"</f>
        <v>601515</v>
      </c>
      <c r="C957" t="s">
        <v>2164</v>
      </c>
      <c r="D957" t="s">
        <v>2165</v>
      </c>
      <c r="F957">
        <v>526696311</v>
      </c>
      <c r="G957">
        <v>531372271</v>
      </c>
      <c r="H957">
        <v>883073607</v>
      </c>
      <c r="I957">
        <v>991680380</v>
      </c>
      <c r="J957">
        <v>611381281</v>
      </c>
      <c r="K957">
        <v>860494751</v>
      </c>
      <c r="L957">
        <v>748855965</v>
      </c>
      <c r="M957">
        <v>532836786</v>
      </c>
      <c r="N957">
        <v>400915227</v>
      </c>
      <c r="O957">
        <v>279921962</v>
      </c>
      <c r="P957">
        <v>28151</v>
      </c>
      <c r="Q957" t="s">
        <v>2166</v>
      </c>
    </row>
    <row r="958" spans="1:17" x14ac:dyDescent="0.3">
      <c r="A958" t="s">
        <v>17</v>
      </c>
      <c r="B958" t="str">
        <f>"601518"</f>
        <v>601518</v>
      </c>
      <c r="C958" t="s">
        <v>2167</v>
      </c>
      <c r="D958" t="s">
        <v>44</v>
      </c>
      <c r="F958">
        <v>106506930</v>
      </c>
      <c r="G958">
        <v>98199569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30151</v>
      </c>
      <c r="P958">
        <v>111</v>
      </c>
      <c r="Q958" t="s">
        <v>2168</v>
      </c>
    </row>
    <row r="959" spans="1:17" x14ac:dyDescent="0.3">
      <c r="A959" t="s">
        <v>17</v>
      </c>
      <c r="B959" t="str">
        <f>"601519"</f>
        <v>601519</v>
      </c>
      <c r="C959" t="s">
        <v>2169</v>
      </c>
      <c r="D959" t="s">
        <v>945</v>
      </c>
      <c r="F959">
        <v>68202640</v>
      </c>
      <c r="G959">
        <v>67202817</v>
      </c>
      <c r="H959">
        <v>78019904</v>
      </c>
      <c r="I959">
        <v>76933024</v>
      </c>
      <c r="J959">
        <v>66366397</v>
      </c>
      <c r="K959">
        <v>72045240</v>
      </c>
      <c r="L959">
        <v>117181116</v>
      </c>
      <c r="M959">
        <v>74958872</v>
      </c>
      <c r="N959">
        <v>66183351</v>
      </c>
      <c r="O959">
        <v>31994353</v>
      </c>
      <c r="P959">
        <v>209</v>
      </c>
      <c r="Q959" t="s">
        <v>2170</v>
      </c>
    </row>
    <row r="960" spans="1:17" x14ac:dyDescent="0.3">
      <c r="A960" t="s">
        <v>17</v>
      </c>
      <c r="B960" t="str">
        <f>"601528"</f>
        <v>601528</v>
      </c>
      <c r="C960" t="s">
        <v>2171</v>
      </c>
      <c r="D960" t="s">
        <v>1831</v>
      </c>
      <c r="P960">
        <v>49</v>
      </c>
      <c r="Q960" t="s">
        <v>2172</v>
      </c>
    </row>
    <row r="961" spans="1:17" x14ac:dyDescent="0.3">
      <c r="A961" t="s">
        <v>17</v>
      </c>
      <c r="B961" t="str">
        <f>"601555"</f>
        <v>601555</v>
      </c>
      <c r="C961" t="s">
        <v>2173</v>
      </c>
      <c r="D961" t="s">
        <v>80</v>
      </c>
      <c r="F961">
        <v>109291388</v>
      </c>
      <c r="G961">
        <v>376891916</v>
      </c>
      <c r="H961">
        <v>157516730</v>
      </c>
      <c r="I961">
        <v>129466290</v>
      </c>
      <c r="J961">
        <v>280450853</v>
      </c>
      <c r="K961">
        <v>218050441</v>
      </c>
      <c r="L961">
        <v>0</v>
      </c>
      <c r="M961">
        <v>0</v>
      </c>
      <c r="N961">
        <v>0</v>
      </c>
      <c r="O961">
        <v>0</v>
      </c>
      <c r="P961">
        <v>937</v>
      </c>
      <c r="Q961" t="s">
        <v>2174</v>
      </c>
    </row>
    <row r="962" spans="1:17" x14ac:dyDescent="0.3">
      <c r="A962" t="s">
        <v>17</v>
      </c>
      <c r="B962" t="str">
        <f>"601558"</f>
        <v>601558</v>
      </c>
      <c r="C962" t="s">
        <v>2175</v>
      </c>
      <c r="H962">
        <v>1147389451</v>
      </c>
      <c r="I962">
        <v>1502054492</v>
      </c>
      <c r="J962">
        <v>2324512471</v>
      </c>
      <c r="K962">
        <v>4084792300</v>
      </c>
      <c r="L962">
        <v>5116592349</v>
      </c>
      <c r="M962">
        <v>6633785321</v>
      </c>
      <c r="N962">
        <v>8903062826</v>
      </c>
      <c r="O962">
        <v>9788122957</v>
      </c>
      <c r="P962">
        <v>47</v>
      </c>
      <c r="Q962" t="s">
        <v>2176</v>
      </c>
    </row>
    <row r="963" spans="1:17" x14ac:dyDescent="0.3">
      <c r="A963" t="s">
        <v>17</v>
      </c>
      <c r="B963" t="str">
        <f>"601566"</f>
        <v>601566</v>
      </c>
      <c r="C963" t="s">
        <v>2177</v>
      </c>
      <c r="D963" t="s">
        <v>255</v>
      </c>
      <c r="F963">
        <v>172732646</v>
      </c>
      <c r="G963">
        <v>163450767</v>
      </c>
      <c r="H963">
        <v>171454063</v>
      </c>
      <c r="I963">
        <v>178492550</v>
      </c>
      <c r="J963">
        <v>149756391</v>
      </c>
      <c r="K963">
        <v>151845010</v>
      </c>
      <c r="L963">
        <v>162108831</v>
      </c>
      <c r="M963">
        <v>176096683</v>
      </c>
      <c r="N963">
        <v>182267244</v>
      </c>
      <c r="O963">
        <v>244266988</v>
      </c>
      <c r="P963">
        <v>426</v>
      </c>
      <c r="Q963" t="s">
        <v>2178</v>
      </c>
    </row>
    <row r="964" spans="1:17" x14ac:dyDescent="0.3">
      <c r="A964" t="s">
        <v>17</v>
      </c>
      <c r="B964" t="str">
        <f>"601567"</f>
        <v>601567</v>
      </c>
      <c r="C964" t="s">
        <v>2179</v>
      </c>
      <c r="D964" t="s">
        <v>2180</v>
      </c>
      <c r="F964">
        <v>1984062269</v>
      </c>
      <c r="G964">
        <v>1805406435</v>
      </c>
      <c r="H964">
        <v>1778648544</v>
      </c>
      <c r="I964">
        <v>1517559781</v>
      </c>
      <c r="J964">
        <v>1495282947</v>
      </c>
      <c r="K964">
        <v>1449261389</v>
      </c>
      <c r="L964">
        <v>1199568299</v>
      </c>
      <c r="M964">
        <v>826025219</v>
      </c>
      <c r="N964">
        <v>582704010</v>
      </c>
      <c r="O964">
        <v>624334737</v>
      </c>
      <c r="P964">
        <v>325</v>
      </c>
      <c r="Q964" t="s">
        <v>2181</v>
      </c>
    </row>
    <row r="965" spans="1:17" x14ac:dyDescent="0.3">
      <c r="A965" t="s">
        <v>17</v>
      </c>
      <c r="B965" t="str">
        <f>"601568"</f>
        <v>601568</v>
      </c>
      <c r="C965" t="s">
        <v>2182</v>
      </c>
      <c r="D965" t="s">
        <v>175</v>
      </c>
      <c r="F965">
        <v>64813251</v>
      </c>
      <c r="G965">
        <v>65754061</v>
      </c>
      <c r="H965">
        <v>54687022</v>
      </c>
      <c r="I965">
        <v>162877546</v>
      </c>
      <c r="J965">
        <v>335161759</v>
      </c>
      <c r="K965">
        <v>144605592</v>
      </c>
      <c r="P965">
        <v>121</v>
      </c>
      <c r="Q965" t="s">
        <v>2183</v>
      </c>
    </row>
    <row r="966" spans="1:17" x14ac:dyDescent="0.3">
      <c r="A966" t="s">
        <v>17</v>
      </c>
      <c r="B966" t="str">
        <f>"601577"</f>
        <v>601577</v>
      </c>
      <c r="C966" t="s">
        <v>2184</v>
      </c>
      <c r="D966" t="s">
        <v>1842</v>
      </c>
      <c r="P966">
        <v>927</v>
      </c>
      <c r="Q966" t="s">
        <v>2185</v>
      </c>
    </row>
    <row r="967" spans="1:17" x14ac:dyDescent="0.3">
      <c r="A967" t="s">
        <v>17</v>
      </c>
      <c r="B967" t="str">
        <f>"601579"</f>
        <v>601579</v>
      </c>
      <c r="C967" t="s">
        <v>2186</v>
      </c>
      <c r="D967" t="s">
        <v>134</v>
      </c>
      <c r="F967">
        <v>78205742</v>
      </c>
      <c r="G967">
        <v>103402051</v>
      </c>
      <c r="H967">
        <v>109383650</v>
      </c>
      <c r="I967">
        <v>142613507</v>
      </c>
      <c r="J967">
        <v>87290148</v>
      </c>
      <c r="K967">
        <v>85876796</v>
      </c>
      <c r="L967">
        <v>85794037</v>
      </c>
      <c r="M967">
        <v>72494756</v>
      </c>
      <c r="N967">
        <v>73877586</v>
      </c>
      <c r="O967">
        <v>60350919</v>
      </c>
      <c r="P967">
        <v>186</v>
      </c>
      <c r="Q967" t="s">
        <v>2187</v>
      </c>
    </row>
    <row r="968" spans="1:17" x14ac:dyDescent="0.3">
      <c r="A968" t="s">
        <v>17</v>
      </c>
      <c r="B968" t="str">
        <f>"601588"</f>
        <v>601588</v>
      </c>
      <c r="C968" t="s">
        <v>2188</v>
      </c>
      <c r="D968" t="s">
        <v>104</v>
      </c>
      <c r="F968">
        <v>54340689</v>
      </c>
      <c r="G968">
        <v>153890739</v>
      </c>
      <c r="H968">
        <v>55241187</v>
      </c>
      <c r="I968">
        <v>70175196</v>
      </c>
      <c r="J968">
        <v>102501156</v>
      </c>
      <c r="K968">
        <v>57848504</v>
      </c>
      <c r="L968">
        <v>58997190</v>
      </c>
      <c r="M968">
        <v>71431917</v>
      </c>
      <c r="N968">
        <v>52453072</v>
      </c>
      <c r="O968">
        <v>51312047</v>
      </c>
      <c r="P968">
        <v>536</v>
      </c>
      <c r="Q968" t="s">
        <v>2189</v>
      </c>
    </row>
    <row r="969" spans="1:17" x14ac:dyDescent="0.3">
      <c r="A969" t="s">
        <v>17</v>
      </c>
      <c r="B969" t="str">
        <f>"601595"</f>
        <v>601595</v>
      </c>
      <c r="C969" t="s">
        <v>2190</v>
      </c>
      <c r="D969" t="s">
        <v>113</v>
      </c>
      <c r="F969">
        <v>154079803</v>
      </c>
      <c r="G969">
        <v>185931868</v>
      </c>
      <c r="H969">
        <v>204843282</v>
      </c>
      <c r="I969">
        <v>198258864</v>
      </c>
      <c r="J969">
        <v>289028871</v>
      </c>
      <c r="K969">
        <v>298219369</v>
      </c>
      <c r="L969">
        <v>216663909</v>
      </c>
      <c r="M969">
        <v>176505781</v>
      </c>
      <c r="N969">
        <v>103059567</v>
      </c>
      <c r="P969">
        <v>158</v>
      </c>
      <c r="Q969" t="s">
        <v>2191</v>
      </c>
    </row>
    <row r="970" spans="1:17" x14ac:dyDescent="0.3">
      <c r="A970" t="s">
        <v>17</v>
      </c>
      <c r="B970" t="str">
        <f>"601598"</f>
        <v>601598</v>
      </c>
      <c r="C970" t="s">
        <v>2192</v>
      </c>
      <c r="D970" t="s">
        <v>287</v>
      </c>
      <c r="F970">
        <v>14187268046</v>
      </c>
      <c r="G970">
        <v>11020529018</v>
      </c>
      <c r="H970">
        <v>10114964015</v>
      </c>
      <c r="I970">
        <v>10417568351</v>
      </c>
      <c r="J970">
        <v>0</v>
      </c>
      <c r="K970">
        <v>0</v>
      </c>
      <c r="L970">
        <v>0</v>
      </c>
      <c r="P970">
        <v>316</v>
      </c>
      <c r="Q970" t="s">
        <v>2193</v>
      </c>
    </row>
    <row r="971" spans="1:17" x14ac:dyDescent="0.3">
      <c r="A971" t="s">
        <v>17</v>
      </c>
      <c r="B971" t="str">
        <f>"601599"</f>
        <v>601599</v>
      </c>
      <c r="C971" t="s">
        <v>2194</v>
      </c>
      <c r="D971" t="s">
        <v>366</v>
      </c>
      <c r="F971">
        <v>343714252</v>
      </c>
      <c r="G971">
        <v>510655750</v>
      </c>
      <c r="H971">
        <v>1693257662</v>
      </c>
      <c r="I971">
        <v>2045408279</v>
      </c>
      <c r="J971">
        <v>1301646320</v>
      </c>
      <c r="K971">
        <v>727016121</v>
      </c>
      <c r="L971">
        <v>419493413</v>
      </c>
      <c r="M971">
        <v>323524786</v>
      </c>
      <c r="N971">
        <v>155291630</v>
      </c>
      <c r="O971">
        <v>162949041</v>
      </c>
      <c r="P971">
        <v>60</v>
      </c>
      <c r="Q971" t="s">
        <v>2195</v>
      </c>
    </row>
    <row r="972" spans="1:17" x14ac:dyDescent="0.3">
      <c r="A972" t="s">
        <v>17</v>
      </c>
      <c r="B972" t="str">
        <f>"601600"</f>
        <v>601600</v>
      </c>
      <c r="C972" t="s">
        <v>2196</v>
      </c>
      <c r="D972" t="s">
        <v>504</v>
      </c>
      <c r="F972">
        <v>3066654000</v>
      </c>
      <c r="G972">
        <v>4746995000</v>
      </c>
      <c r="H972">
        <v>4559112000</v>
      </c>
      <c r="I972">
        <v>0</v>
      </c>
      <c r="J972">
        <v>4311997000</v>
      </c>
      <c r="K972">
        <v>4164154000</v>
      </c>
      <c r="L972">
        <v>3884478000</v>
      </c>
      <c r="M972">
        <v>2979611000</v>
      </c>
      <c r="N972">
        <v>4014152000</v>
      </c>
      <c r="O972">
        <v>1425219000</v>
      </c>
      <c r="P972">
        <v>743</v>
      </c>
      <c r="Q972" t="s">
        <v>2197</v>
      </c>
    </row>
    <row r="973" spans="1:17" x14ac:dyDescent="0.3">
      <c r="A973" t="s">
        <v>17</v>
      </c>
      <c r="B973" t="str">
        <f>"601601"</f>
        <v>601601</v>
      </c>
      <c r="C973" t="s">
        <v>2198</v>
      </c>
      <c r="D973" t="s">
        <v>660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2648</v>
      </c>
      <c r="Q973" t="s">
        <v>2199</v>
      </c>
    </row>
    <row r="974" spans="1:17" x14ac:dyDescent="0.3">
      <c r="A974" t="s">
        <v>17</v>
      </c>
      <c r="B974" t="str">
        <f>"601606"</f>
        <v>601606</v>
      </c>
      <c r="C974" t="s">
        <v>2200</v>
      </c>
      <c r="D974" t="s">
        <v>428</v>
      </c>
      <c r="F974">
        <v>1129946490</v>
      </c>
      <c r="G974">
        <v>923563036</v>
      </c>
      <c r="H974">
        <v>648780326</v>
      </c>
      <c r="I974">
        <v>750579011</v>
      </c>
      <c r="J974">
        <v>639049412</v>
      </c>
      <c r="K974">
        <v>599031278</v>
      </c>
      <c r="L974">
        <v>581400421</v>
      </c>
      <c r="P974">
        <v>180</v>
      </c>
      <c r="Q974" t="s">
        <v>2201</v>
      </c>
    </row>
    <row r="975" spans="1:17" x14ac:dyDescent="0.3">
      <c r="A975" t="s">
        <v>17</v>
      </c>
      <c r="B975" t="str">
        <f>"601607"</f>
        <v>601607</v>
      </c>
      <c r="C975" t="s">
        <v>1716</v>
      </c>
      <c r="D975" t="s">
        <v>125</v>
      </c>
      <c r="F975">
        <v>58107770170</v>
      </c>
      <c r="G975">
        <v>52745905874</v>
      </c>
      <c r="H975">
        <v>47339803537</v>
      </c>
      <c r="I975">
        <v>42152111737</v>
      </c>
      <c r="J975">
        <v>31377360527</v>
      </c>
      <c r="K975">
        <v>27292754755</v>
      </c>
      <c r="L975">
        <v>24214970591</v>
      </c>
      <c r="M975">
        <v>19941255696</v>
      </c>
      <c r="N975">
        <v>15183536842</v>
      </c>
      <c r="O975">
        <v>12604314318</v>
      </c>
      <c r="P975">
        <v>1369</v>
      </c>
      <c r="Q975" t="s">
        <v>2202</v>
      </c>
    </row>
    <row r="976" spans="1:17" x14ac:dyDescent="0.3">
      <c r="A976" t="s">
        <v>17</v>
      </c>
      <c r="B976" t="str">
        <f>"601608"</f>
        <v>601608</v>
      </c>
      <c r="C976" t="s">
        <v>2203</v>
      </c>
      <c r="D976" t="s">
        <v>395</v>
      </c>
      <c r="F976">
        <v>2853549998</v>
      </c>
      <c r="G976">
        <v>2510122019</v>
      </c>
      <c r="H976">
        <v>2665013080</v>
      </c>
      <c r="I976">
        <v>2268096519</v>
      </c>
      <c r="J976">
        <v>2467716708</v>
      </c>
      <c r="K976">
        <v>2765873935</v>
      </c>
      <c r="L976">
        <v>2432916489</v>
      </c>
      <c r="M976">
        <v>2669611619</v>
      </c>
      <c r="N976">
        <v>2513275664</v>
      </c>
      <c r="O976">
        <v>2383505671</v>
      </c>
      <c r="P976">
        <v>178</v>
      </c>
      <c r="Q976" t="s">
        <v>2204</v>
      </c>
    </row>
    <row r="977" spans="1:17" x14ac:dyDescent="0.3">
      <c r="A977" t="s">
        <v>17</v>
      </c>
      <c r="B977" t="str">
        <f>"601609"</f>
        <v>601609</v>
      </c>
      <c r="C977" t="s">
        <v>2205</v>
      </c>
      <c r="D977" t="s">
        <v>263</v>
      </c>
      <c r="F977">
        <v>4208138260</v>
      </c>
      <c r="G977">
        <v>2592050726</v>
      </c>
      <c r="H977">
        <v>1976552706</v>
      </c>
      <c r="I977">
        <v>1591303003</v>
      </c>
      <c r="J977">
        <v>1273289695</v>
      </c>
      <c r="P977">
        <v>106</v>
      </c>
      <c r="Q977" t="s">
        <v>2206</v>
      </c>
    </row>
    <row r="978" spans="1:17" x14ac:dyDescent="0.3">
      <c r="A978" t="s">
        <v>17</v>
      </c>
      <c r="B978" t="str">
        <f>"601611"</f>
        <v>601611</v>
      </c>
      <c r="C978" t="s">
        <v>2207</v>
      </c>
      <c r="D978" t="s">
        <v>101</v>
      </c>
      <c r="F978">
        <v>32791864485</v>
      </c>
      <c r="G978">
        <v>28764431579</v>
      </c>
      <c r="H978">
        <v>24204068059</v>
      </c>
      <c r="I978">
        <v>21593052515</v>
      </c>
      <c r="J978">
        <v>17351801793</v>
      </c>
      <c r="K978">
        <v>14571331515</v>
      </c>
      <c r="L978">
        <v>13088826615</v>
      </c>
      <c r="M978">
        <v>10349846563</v>
      </c>
      <c r="N978">
        <v>6848785951</v>
      </c>
      <c r="P978">
        <v>345</v>
      </c>
      <c r="Q978" t="s">
        <v>2208</v>
      </c>
    </row>
    <row r="979" spans="1:17" x14ac:dyDescent="0.3">
      <c r="A979" t="s">
        <v>17</v>
      </c>
      <c r="B979" t="str">
        <f>"601615"</f>
        <v>601615</v>
      </c>
      <c r="C979" t="s">
        <v>2209</v>
      </c>
      <c r="D979" t="s">
        <v>895</v>
      </c>
      <c r="F979">
        <v>5855787488</v>
      </c>
      <c r="G979">
        <v>3714395386</v>
      </c>
      <c r="H979">
        <v>4751530668</v>
      </c>
      <c r="I979">
        <v>5489399676</v>
      </c>
      <c r="J979">
        <v>0</v>
      </c>
      <c r="K979">
        <v>0</v>
      </c>
      <c r="L979">
        <v>0</v>
      </c>
      <c r="P979">
        <v>1067</v>
      </c>
      <c r="Q979" t="s">
        <v>2210</v>
      </c>
    </row>
    <row r="980" spans="1:17" x14ac:dyDescent="0.3">
      <c r="A980" t="s">
        <v>17</v>
      </c>
      <c r="B980" t="str">
        <f>"601616"</f>
        <v>601616</v>
      </c>
      <c r="C980" t="s">
        <v>2211</v>
      </c>
      <c r="D980" t="s">
        <v>657</v>
      </c>
      <c r="F980">
        <v>443117954</v>
      </c>
      <c r="G980">
        <v>448626828</v>
      </c>
      <c r="H980">
        <v>508008458</v>
      </c>
      <c r="I980">
        <v>358528492</v>
      </c>
      <c r="J980">
        <v>430981467</v>
      </c>
      <c r="K980">
        <v>470719469</v>
      </c>
      <c r="L980">
        <v>650997793</v>
      </c>
      <c r="M980">
        <v>750436755</v>
      </c>
      <c r="N980">
        <v>874805334</v>
      </c>
      <c r="O980">
        <v>825081000</v>
      </c>
      <c r="P980">
        <v>72</v>
      </c>
      <c r="Q980" t="s">
        <v>2212</v>
      </c>
    </row>
    <row r="981" spans="1:17" x14ac:dyDescent="0.3">
      <c r="A981" t="s">
        <v>17</v>
      </c>
      <c r="B981" t="str">
        <f>"601618"</f>
        <v>601618</v>
      </c>
      <c r="C981" t="s">
        <v>2213</v>
      </c>
      <c r="D981" t="s">
        <v>1992</v>
      </c>
      <c r="F981">
        <v>83881695000</v>
      </c>
      <c r="G981">
        <v>69436480000</v>
      </c>
      <c r="H981">
        <v>66026606000</v>
      </c>
      <c r="I981">
        <v>0</v>
      </c>
      <c r="J981">
        <v>73495762000</v>
      </c>
      <c r="K981">
        <v>69544642000</v>
      </c>
      <c r="L981">
        <v>63663109000</v>
      </c>
      <c r="M981">
        <v>55799282000</v>
      </c>
      <c r="N981">
        <v>52597630000</v>
      </c>
      <c r="O981">
        <v>46943639000</v>
      </c>
      <c r="P981">
        <v>584</v>
      </c>
      <c r="Q981" t="s">
        <v>2214</v>
      </c>
    </row>
    <row r="982" spans="1:17" x14ac:dyDescent="0.3">
      <c r="A982" t="s">
        <v>17</v>
      </c>
      <c r="B982" t="str">
        <f>"601619"</f>
        <v>601619</v>
      </c>
      <c r="C982" t="s">
        <v>2215</v>
      </c>
      <c r="D982" t="s">
        <v>383</v>
      </c>
      <c r="F982">
        <v>1496299145</v>
      </c>
      <c r="G982">
        <v>1665876289</v>
      </c>
      <c r="H982">
        <v>1476658593</v>
      </c>
      <c r="I982">
        <v>1114260859</v>
      </c>
      <c r="J982">
        <v>901525998</v>
      </c>
      <c r="K982">
        <v>399024074</v>
      </c>
      <c r="L982">
        <v>107846664</v>
      </c>
      <c r="M982">
        <v>110111950</v>
      </c>
      <c r="P982">
        <v>184</v>
      </c>
      <c r="Q982" t="s">
        <v>2216</v>
      </c>
    </row>
    <row r="983" spans="1:17" x14ac:dyDescent="0.3">
      <c r="A983" t="s">
        <v>17</v>
      </c>
      <c r="B983" t="str">
        <f>"601628"</f>
        <v>601628</v>
      </c>
      <c r="C983" t="s">
        <v>2217</v>
      </c>
      <c r="D983" t="s">
        <v>660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1729</v>
      </c>
      <c r="Q983" t="s">
        <v>2218</v>
      </c>
    </row>
    <row r="984" spans="1:17" x14ac:dyDescent="0.3">
      <c r="A984" t="s">
        <v>17</v>
      </c>
      <c r="B984" t="str">
        <f>"601633"</f>
        <v>601633</v>
      </c>
      <c r="C984" t="s">
        <v>2219</v>
      </c>
      <c r="D984" t="s">
        <v>247</v>
      </c>
      <c r="F984">
        <v>5421996765</v>
      </c>
      <c r="G984">
        <v>3936156909</v>
      </c>
      <c r="H984">
        <v>3193188485</v>
      </c>
      <c r="I984">
        <v>3343220862</v>
      </c>
      <c r="J984">
        <v>873444977</v>
      </c>
      <c r="K984">
        <v>517976747</v>
      </c>
      <c r="L984">
        <v>675922021</v>
      </c>
      <c r="M984">
        <v>730113031</v>
      </c>
      <c r="N984">
        <v>656312755</v>
      </c>
      <c r="O984">
        <v>691488679</v>
      </c>
      <c r="P984">
        <v>2066</v>
      </c>
      <c r="Q984" t="s">
        <v>2220</v>
      </c>
    </row>
    <row r="985" spans="1:17" x14ac:dyDescent="0.3">
      <c r="A985" t="s">
        <v>17</v>
      </c>
      <c r="B985" t="str">
        <f>"601636"</f>
        <v>601636</v>
      </c>
      <c r="C985" t="s">
        <v>2221</v>
      </c>
      <c r="D985" t="s">
        <v>666</v>
      </c>
      <c r="F985">
        <v>250685762</v>
      </c>
      <c r="G985">
        <v>139857195</v>
      </c>
      <c r="H985">
        <v>114635897</v>
      </c>
      <c r="I985">
        <v>86000925</v>
      </c>
      <c r="J985">
        <v>46786379</v>
      </c>
      <c r="K985">
        <v>9782003</v>
      </c>
      <c r="L985">
        <v>10020229</v>
      </c>
      <c r="M985">
        <v>5458020</v>
      </c>
      <c r="N985">
        <v>9259779</v>
      </c>
      <c r="O985">
        <v>27657137</v>
      </c>
      <c r="P985">
        <v>1517</v>
      </c>
      <c r="Q985" t="s">
        <v>2222</v>
      </c>
    </row>
    <row r="986" spans="1:17" x14ac:dyDescent="0.3">
      <c r="A986" t="s">
        <v>17</v>
      </c>
      <c r="B986" t="str">
        <f>"601658"</f>
        <v>601658</v>
      </c>
      <c r="C986" t="s">
        <v>2223</v>
      </c>
      <c r="D986" t="s">
        <v>2112</v>
      </c>
      <c r="P986">
        <v>1193</v>
      </c>
      <c r="Q986" t="s">
        <v>2224</v>
      </c>
    </row>
    <row r="987" spans="1:17" x14ac:dyDescent="0.3">
      <c r="A987" t="s">
        <v>17</v>
      </c>
      <c r="B987" t="str">
        <f>"601665"</f>
        <v>601665</v>
      </c>
      <c r="C987" t="s">
        <v>2225</v>
      </c>
      <c r="D987" t="s">
        <v>1842</v>
      </c>
      <c r="P987">
        <v>52</v>
      </c>
      <c r="Q987" t="s">
        <v>2226</v>
      </c>
    </row>
    <row r="988" spans="1:17" x14ac:dyDescent="0.3">
      <c r="A988" t="s">
        <v>17</v>
      </c>
      <c r="B988" t="str">
        <f>"601666"</f>
        <v>601666</v>
      </c>
      <c r="C988" t="s">
        <v>2227</v>
      </c>
      <c r="D988" t="s">
        <v>298</v>
      </c>
      <c r="F988">
        <v>2028044952</v>
      </c>
      <c r="G988">
        <v>988973869</v>
      </c>
      <c r="H988">
        <v>1718919281</v>
      </c>
      <c r="I988">
        <v>622166787</v>
      </c>
      <c r="J988">
        <v>1928307572</v>
      </c>
      <c r="K988">
        <v>809066170</v>
      </c>
      <c r="L988">
        <v>1262634228</v>
      </c>
      <c r="M988">
        <v>1214010594</v>
      </c>
      <c r="N988">
        <v>516392006</v>
      </c>
      <c r="O988">
        <v>203198110</v>
      </c>
      <c r="P988">
        <v>401</v>
      </c>
      <c r="Q988" t="s">
        <v>2228</v>
      </c>
    </row>
    <row r="989" spans="1:17" x14ac:dyDescent="0.3">
      <c r="A989" t="s">
        <v>17</v>
      </c>
      <c r="B989" t="str">
        <f>"601668"</f>
        <v>601668</v>
      </c>
      <c r="C989" t="s">
        <v>2229</v>
      </c>
      <c r="D989" t="s">
        <v>398</v>
      </c>
      <c r="F989">
        <v>180699591000</v>
      </c>
      <c r="G989">
        <v>160441814000</v>
      </c>
      <c r="H989">
        <v>153961875000</v>
      </c>
      <c r="I989">
        <v>167552941000</v>
      </c>
      <c r="J989">
        <v>137713669000</v>
      </c>
      <c r="K989">
        <v>138649310000</v>
      </c>
      <c r="L989">
        <v>115556903000</v>
      </c>
      <c r="M989">
        <v>118430369000</v>
      </c>
      <c r="N989">
        <v>83593809000</v>
      </c>
      <c r="O989">
        <v>81164495000</v>
      </c>
      <c r="P989">
        <v>10290</v>
      </c>
      <c r="Q989" t="s">
        <v>2230</v>
      </c>
    </row>
    <row r="990" spans="1:17" x14ac:dyDescent="0.3">
      <c r="A990" t="s">
        <v>17</v>
      </c>
      <c r="B990" t="str">
        <f>"601669"</f>
        <v>601669</v>
      </c>
      <c r="C990" t="s">
        <v>2231</v>
      </c>
      <c r="D990" t="s">
        <v>101</v>
      </c>
      <c r="F990">
        <v>72625379911</v>
      </c>
      <c r="G990">
        <v>56071732233</v>
      </c>
      <c r="H990">
        <v>54691929750</v>
      </c>
      <c r="I990">
        <v>43848203306</v>
      </c>
      <c r="J990">
        <v>44404963998</v>
      </c>
      <c r="K990">
        <v>36483338833</v>
      </c>
      <c r="L990">
        <v>29467143352</v>
      </c>
      <c r="M990">
        <v>24002403498</v>
      </c>
      <c r="N990">
        <v>21232786472</v>
      </c>
      <c r="O990">
        <v>18585038998</v>
      </c>
      <c r="P990">
        <v>752</v>
      </c>
      <c r="Q990" t="s">
        <v>2232</v>
      </c>
    </row>
    <row r="991" spans="1:17" x14ac:dyDescent="0.3">
      <c r="A991" t="s">
        <v>17</v>
      </c>
      <c r="B991" t="str">
        <f>"601677"</f>
        <v>601677</v>
      </c>
      <c r="C991" t="s">
        <v>2233</v>
      </c>
      <c r="D991" t="s">
        <v>504</v>
      </c>
      <c r="F991">
        <v>1146358241</v>
      </c>
      <c r="G991">
        <v>796772667</v>
      </c>
      <c r="H991">
        <v>820136883</v>
      </c>
      <c r="I991">
        <v>633642680</v>
      </c>
      <c r="J991">
        <v>615439801</v>
      </c>
      <c r="K991">
        <v>315150238</v>
      </c>
      <c r="L991">
        <v>246080891</v>
      </c>
      <c r="M991">
        <v>360676248</v>
      </c>
      <c r="N991">
        <v>251637672</v>
      </c>
      <c r="O991">
        <v>288232901</v>
      </c>
      <c r="P991">
        <v>370</v>
      </c>
      <c r="Q991" t="s">
        <v>2234</v>
      </c>
    </row>
    <row r="992" spans="1:17" x14ac:dyDescent="0.3">
      <c r="A992" t="s">
        <v>17</v>
      </c>
      <c r="B992" t="str">
        <f>"601678"</f>
        <v>601678</v>
      </c>
      <c r="C992" t="s">
        <v>2235</v>
      </c>
      <c r="D992" t="s">
        <v>175</v>
      </c>
      <c r="F992">
        <v>121722811</v>
      </c>
      <c r="G992">
        <v>110318091</v>
      </c>
      <c r="H992">
        <v>78464282</v>
      </c>
      <c r="I992">
        <v>120123919</v>
      </c>
      <c r="J992">
        <v>109492723</v>
      </c>
      <c r="K992">
        <v>110509025</v>
      </c>
      <c r="L992">
        <v>177318114</v>
      </c>
      <c r="M992">
        <v>198085484</v>
      </c>
      <c r="N992">
        <v>169504341</v>
      </c>
      <c r="O992">
        <v>189486895</v>
      </c>
      <c r="P992">
        <v>353</v>
      </c>
      <c r="Q992" t="s">
        <v>2236</v>
      </c>
    </row>
    <row r="993" spans="1:17" x14ac:dyDescent="0.3">
      <c r="A993" t="s">
        <v>17</v>
      </c>
      <c r="B993" t="str">
        <f>"601686"</f>
        <v>601686</v>
      </c>
      <c r="C993" t="s">
        <v>2237</v>
      </c>
      <c r="D993" t="s">
        <v>2238</v>
      </c>
      <c r="F993">
        <v>601867403</v>
      </c>
      <c r="G993">
        <v>387640516</v>
      </c>
      <c r="H993">
        <v>196649390</v>
      </c>
      <c r="I993">
        <v>263292112</v>
      </c>
      <c r="J993">
        <v>437341998</v>
      </c>
      <c r="K993">
        <v>267359095</v>
      </c>
      <c r="P993">
        <v>57</v>
      </c>
      <c r="Q993" t="s">
        <v>2239</v>
      </c>
    </row>
    <row r="994" spans="1:17" x14ac:dyDescent="0.3">
      <c r="A994" t="s">
        <v>17</v>
      </c>
      <c r="B994" t="str">
        <f>"601688"</f>
        <v>601688</v>
      </c>
      <c r="C994" t="s">
        <v>2240</v>
      </c>
      <c r="D994" t="s">
        <v>80</v>
      </c>
      <c r="F994">
        <v>10287173835</v>
      </c>
      <c r="G994">
        <v>9095560247</v>
      </c>
      <c r="H994">
        <v>5511167782</v>
      </c>
      <c r="I994">
        <v>3090165422</v>
      </c>
      <c r="J994">
        <v>1980336802</v>
      </c>
      <c r="K994">
        <v>991412622</v>
      </c>
      <c r="L994">
        <v>0</v>
      </c>
      <c r="M994">
        <v>0</v>
      </c>
      <c r="N994">
        <v>0</v>
      </c>
      <c r="O994">
        <v>0</v>
      </c>
      <c r="P994">
        <v>6874</v>
      </c>
      <c r="Q994" t="s">
        <v>2241</v>
      </c>
    </row>
    <row r="995" spans="1:17" x14ac:dyDescent="0.3">
      <c r="A995" t="s">
        <v>17</v>
      </c>
      <c r="B995" t="str">
        <f>"601689"</f>
        <v>601689</v>
      </c>
      <c r="C995" t="s">
        <v>2242</v>
      </c>
      <c r="D995" t="s">
        <v>348</v>
      </c>
      <c r="F995">
        <v>3168220805</v>
      </c>
      <c r="G995">
        <v>1783267008</v>
      </c>
      <c r="H995">
        <v>1357020448</v>
      </c>
      <c r="I995">
        <v>1250574758</v>
      </c>
      <c r="J995">
        <v>1317174481</v>
      </c>
      <c r="K995">
        <v>1145508466</v>
      </c>
      <c r="L995">
        <v>678446787</v>
      </c>
      <c r="M995">
        <v>516967286</v>
      </c>
      <c r="N995">
        <v>481865856</v>
      </c>
      <c r="O995">
        <v>344360538</v>
      </c>
      <c r="P995">
        <v>664</v>
      </c>
      <c r="Q995" t="s">
        <v>2243</v>
      </c>
    </row>
    <row r="996" spans="1:17" x14ac:dyDescent="0.3">
      <c r="A996" t="s">
        <v>17</v>
      </c>
      <c r="B996" t="str">
        <f>"601696"</f>
        <v>601696</v>
      </c>
      <c r="C996" t="s">
        <v>2244</v>
      </c>
      <c r="D996" t="s">
        <v>80</v>
      </c>
      <c r="F996">
        <v>255499427</v>
      </c>
      <c r="G996">
        <v>1710584673</v>
      </c>
      <c r="H996">
        <v>2826881765</v>
      </c>
      <c r="I996">
        <v>3053312189</v>
      </c>
      <c r="J996">
        <v>475099948</v>
      </c>
      <c r="K996">
        <v>317074987</v>
      </c>
      <c r="L996">
        <v>315509500</v>
      </c>
      <c r="M996">
        <v>167123425</v>
      </c>
      <c r="N996">
        <v>105914491</v>
      </c>
      <c r="O996">
        <v>0</v>
      </c>
      <c r="P996">
        <v>516</v>
      </c>
      <c r="Q996" t="s">
        <v>2245</v>
      </c>
    </row>
    <row r="997" spans="1:17" x14ac:dyDescent="0.3">
      <c r="A997" t="s">
        <v>17</v>
      </c>
      <c r="B997" t="str">
        <f>"601698"</f>
        <v>601698</v>
      </c>
      <c r="C997" t="s">
        <v>2246</v>
      </c>
      <c r="D997" t="s">
        <v>284</v>
      </c>
      <c r="F997">
        <v>405843032</v>
      </c>
      <c r="G997">
        <v>413805544</v>
      </c>
      <c r="H997">
        <v>314591692</v>
      </c>
      <c r="I997">
        <v>0</v>
      </c>
      <c r="J997">
        <v>0</v>
      </c>
      <c r="K997">
        <v>0</v>
      </c>
      <c r="P997">
        <v>316</v>
      </c>
      <c r="Q997" t="s">
        <v>2247</v>
      </c>
    </row>
    <row r="998" spans="1:17" x14ac:dyDescent="0.3">
      <c r="A998" t="s">
        <v>17</v>
      </c>
      <c r="B998" t="str">
        <f>"601699"</f>
        <v>601699</v>
      </c>
      <c r="C998" t="s">
        <v>2248</v>
      </c>
      <c r="D998" t="s">
        <v>298</v>
      </c>
      <c r="F998">
        <v>3402391352</v>
      </c>
      <c r="G998">
        <v>4251311657</v>
      </c>
      <c r="H998">
        <v>4823325261</v>
      </c>
      <c r="I998">
        <v>3642053353</v>
      </c>
      <c r="J998">
        <v>4129923332</v>
      </c>
      <c r="K998">
        <v>3802601515</v>
      </c>
      <c r="L998">
        <v>3609227523</v>
      </c>
      <c r="M998">
        <v>1663256422</v>
      </c>
      <c r="N998">
        <v>1012379136</v>
      </c>
      <c r="O998">
        <v>431541811</v>
      </c>
      <c r="P998">
        <v>791</v>
      </c>
      <c r="Q998" t="s">
        <v>2249</v>
      </c>
    </row>
    <row r="999" spans="1:17" x14ac:dyDescent="0.3">
      <c r="A999" t="s">
        <v>17</v>
      </c>
      <c r="B999" t="str">
        <f>"601700"</f>
        <v>601700</v>
      </c>
      <c r="C999" t="s">
        <v>2250</v>
      </c>
      <c r="D999" t="s">
        <v>1164</v>
      </c>
      <c r="F999">
        <v>917884153</v>
      </c>
      <c r="G999">
        <v>901248796</v>
      </c>
      <c r="H999">
        <v>1095091328</v>
      </c>
      <c r="I999">
        <v>765109951</v>
      </c>
      <c r="J999">
        <v>887874560</v>
      </c>
      <c r="K999">
        <v>918593964</v>
      </c>
      <c r="L999">
        <v>832996100</v>
      </c>
      <c r="M999">
        <v>761340924</v>
      </c>
      <c r="N999">
        <v>430950316</v>
      </c>
      <c r="O999">
        <v>496813258</v>
      </c>
      <c r="P999">
        <v>126</v>
      </c>
      <c r="Q999" t="s">
        <v>2251</v>
      </c>
    </row>
    <row r="1000" spans="1:17" x14ac:dyDescent="0.3">
      <c r="A1000" t="s">
        <v>17</v>
      </c>
      <c r="B1000" t="str">
        <f>"601702"</f>
        <v>601702</v>
      </c>
      <c r="C1000" t="s">
        <v>2252</v>
      </c>
      <c r="D1000" t="s">
        <v>504</v>
      </c>
      <c r="F1000">
        <v>1120740511</v>
      </c>
      <c r="G1000">
        <v>942314770</v>
      </c>
      <c r="H1000">
        <v>745573226</v>
      </c>
      <c r="I1000">
        <v>637056228</v>
      </c>
      <c r="J1000">
        <v>637300249</v>
      </c>
      <c r="P1000">
        <v>116</v>
      </c>
      <c r="Q1000" t="s">
        <v>2253</v>
      </c>
    </row>
    <row r="1001" spans="1:17" x14ac:dyDescent="0.3">
      <c r="A1001" t="s">
        <v>17</v>
      </c>
      <c r="B1001" t="str">
        <f>"601717"</f>
        <v>601717</v>
      </c>
      <c r="C1001" t="s">
        <v>2254</v>
      </c>
      <c r="D1001" t="s">
        <v>395</v>
      </c>
      <c r="F1001">
        <v>5735935913</v>
      </c>
      <c r="G1001">
        <v>5765895199</v>
      </c>
      <c r="H1001">
        <v>4639898042</v>
      </c>
      <c r="I1001">
        <v>4904982669</v>
      </c>
      <c r="J1001">
        <v>2573540524</v>
      </c>
      <c r="K1001">
        <v>2206772637</v>
      </c>
      <c r="L1001">
        <v>3135307119</v>
      </c>
      <c r="M1001">
        <v>3305364333</v>
      </c>
      <c r="N1001">
        <v>3745228035</v>
      </c>
      <c r="O1001">
        <v>3095617611</v>
      </c>
      <c r="P1001">
        <v>318</v>
      </c>
      <c r="Q1001" t="s">
        <v>2255</v>
      </c>
    </row>
    <row r="1002" spans="1:17" x14ac:dyDescent="0.3">
      <c r="A1002" t="s">
        <v>17</v>
      </c>
      <c r="B1002" t="str">
        <f>"601718"</f>
        <v>601718</v>
      </c>
      <c r="C1002" t="s">
        <v>2256</v>
      </c>
      <c r="D1002" t="s">
        <v>255</v>
      </c>
      <c r="F1002">
        <v>2076624038</v>
      </c>
      <c r="G1002">
        <v>3230114609</v>
      </c>
      <c r="H1002">
        <v>3050075426</v>
      </c>
      <c r="I1002">
        <v>3754255659</v>
      </c>
      <c r="J1002">
        <v>3603642785</v>
      </c>
      <c r="K1002">
        <v>1310844407</v>
      </c>
      <c r="L1002">
        <v>1422098184</v>
      </c>
      <c r="M1002">
        <v>1641283854</v>
      </c>
      <c r="N1002">
        <v>1096264269</v>
      </c>
      <c r="O1002">
        <v>1246504792</v>
      </c>
      <c r="P1002">
        <v>180</v>
      </c>
      <c r="Q1002" t="s">
        <v>2257</v>
      </c>
    </row>
    <row r="1003" spans="1:17" x14ac:dyDescent="0.3">
      <c r="A1003" t="s">
        <v>17</v>
      </c>
      <c r="B1003" t="str">
        <f>"601727"</f>
        <v>601727</v>
      </c>
      <c r="C1003" t="s">
        <v>2258</v>
      </c>
      <c r="D1003" t="s">
        <v>973</v>
      </c>
      <c r="F1003">
        <v>33429218000</v>
      </c>
      <c r="G1003">
        <v>32799102000</v>
      </c>
      <c r="H1003">
        <v>29337049000</v>
      </c>
      <c r="I1003">
        <v>18840593000</v>
      </c>
      <c r="J1003">
        <v>27905847000</v>
      </c>
      <c r="K1003">
        <v>27138909000</v>
      </c>
      <c r="L1003">
        <v>25522785000</v>
      </c>
      <c r="M1003">
        <v>26055777000</v>
      </c>
      <c r="N1003">
        <v>25268380000</v>
      </c>
      <c r="O1003">
        <v>20605697000</v>
      </c>
      <c r="P1003">
        <v>551</v>
      </c>
      <c r="Q1003" t="s">
        <v>2259</v>
      </c>
    </row>
    <row r="1004" spans="1:17" x14ac:dyDescent="0.3">
      <c r="A1004" t="s">
        <v>17</v>
      </c>
      <c r="B1004" t="str">
        <f>"601728"</f>
        <v>601728</v>
      </c>
      <c r="C1004" t="s">
        <v>2260</v>
      </c>
      <c r="D1004" t="s">
        <v>107</v>
      </c>
      <c r="F1004">
        <v>22329026301</v>
      </c>
      <c r="G1004">
        <v>21468000000</v>
      </c>
      <c r="H1004">
        <v>21404000000</v>
      </c>
      <c r="I1004">
        <v>20421000000</v>
      </c>
      <c r="P1004">
        <v>144</v>
      </c>
      <c r="Q1004" t="s">
        <v>2261</v>
      </c>
    </row>
    <row r="1005" spans="1:17" x14ac:dyDescent="0.3">
      <c r="A1005" t="s">
        <v>17</v>
      </c>
      <c r="B1005" t="str">
        <f>"601766"</f>
        <v>601766</v>
      </c>
      <c r="C1005" t="s">
        <v>2262</v>
      </c>
      <c r="D1005" t="s">
        <v>1012</v>
      </c>
      <c r="F1005">
        <v>72985213000</v>
      </c>
      <c r="G1005">
        <v>71969626000</v>
      </c>
      <c r="H1005">
        <v>59712424000</v>
      </c>
      <c r="I1005">
        <v>64205603000</v>
      </c>
      <c r="J1005">
        <v>77672935000</v>
      </c>
      <c r="K1005">
        <v>74052872000</v>
      </c>
      <c r="L1005">
        <v>72514398000</v>
      </c>
      <c r="M1005">
        <v>33541848023</v>
      </c>
      <c r="N1005">
        <v>34120810020</v>
      </c>
      <c r="O1005">
        <v>26618775611</v>
      </c>
      <c r="P1005">
        <v>1205</v>
      </c>
      <c r="Q1005" t="s">
        <v>2263</v>
      </c>
    </row>
    <row r="1006" spans="1:17" x14ac:dyDescent="0.3">
      <c r="A1006" t="s">
        <v>17</v>
      </c>
      <c r="B1006" t="str">
        <f>"601777"</f>
        <v>601777</v>
      </c>
      <c r="C1006" t="s">
        <v>2264</v>
      </c>
      <c r="D1006" t="s">
        <v>1656</v>
      </c>
      <c r="F1006">
        <v>687309887</v>
      </c>
      <c r="G1006">
        <v>529884851</v>
      </c>
      <c r="H1006">
        <v>1532414426</v>
      </c>
      <c r="I1006">
        <v>2537205479</v>
      </c>
      <c r="J1006">
        <v>2947780157</v>
      </c>
      <c r="K1006">
        <v>2482594306</v>
      </c>
      <c r="L1006">
        <v>3614519180</v>
      </c>
      <c r="M1006">
        <v>2362696495</v>
      </c>
      <c r="N1006">
        <v>1339441220</v>
      </c>
      <c r="O1006">
        <v>1344121187</v>
      </c>
      <c r="P1006">
        <v>154</v>
      </c>
      <c r="Q1006" t="s">
        <v>2265</v>
      </c>
    </row>
    <row r="1007" spans="1:17" x14ac:dyDescent="0.3">
      <c r="A1007" t="s">
        <v>17</v>
      </c>
      <c r="B1007" t="str">
        <f>"601778"</f>
        <v>601778</v>
      </c>
      <c r="C1007" t="s">
        <v>2266</v>
      </c>
      <c r="D1007" t="s">
        <v>86</v>
      </c>
      <c r="F1007">
        <v>4887910211</v>
      </c>
      <c r="G1007">
        <v>3883163092</v>
      </c>
      <c r="H1007">
        <v>6304373282</v>
      </c>
      <c r="I1007">
        <v>5887717934</v>
      </c>
      <c r="J1007">
        <v>3353300194</v>
      </c>
      <c r="K1007">
        <v>1421312654</v>
      </c>
      <c r="P1007">
        <v>221</v>
      </c>
      <c r="Q1007" t="s">
        <v>2267</v>
      </c>
    </row>
    <row r="1008" spans="1:17" x14ac:dyDescent="0.3">
      <c r="A1008" t="s">
        <v>17</v>
      </c>
      <c r="B1008" t="str">
        <f>"601788"</f>
        <v>601788</v>
      </c>
      <c r="C1008" t="s">
        <v>2268</v>
      </c>
      <c r="D1008" t="s">
        <v>80</v>
      </c>
      <c r="F1008">
        <v>1939085408</v>
      </c>
      <c r="G1008">
        <v>2850487789</v>
      </c>
      <c r="H1008">
        <v>3077872474</v>
      </c>
      <c r="I1008">
        <v>3211111667</v>
      </c>
      <c r="J1008">
        <v>3113372743</v>
      </c>
      <c r="K1008">
        <v>2484479751</v>
      </c>
      <c r="L1008">
        <v>0</v>
      </c>
      <c r="M1008">
        <v>0</v>
      </c>
      <c r="N1008">
        <v>0</v>
      </c>
      <c r="O1008">
        <v>0</v>
      </c>
      <c r="P1008">
        <v>1149</v>
      </c>
      <c r="Q1008" t="s">
        <v>2269</v>
      </c>
    </row>
    <row r="1009" spans="1:17" x14ac:dyDescent="0.3">
      <c r="A1009" t="s">
        <v>17</v>
      </c>
      <c r="B1009" t="str">
        <f>"601789"</f>
        <v>601789</v>
      </c>
      <c r="C1009" t="s">
        <v>2270</v>
      </c>
      <c r="D1009" t="s">
        <v>398</v>
      </c>
      <c r="F1009">
        <v>3830830288</v>
      </c>
      <c r="G1009">
        <v>3523159844</v>
      </c>
      <c r="H1009">
        <v>4140676173</v>
      </c>
      <c r="I1009">
        <v>3662699245</v>
      </c>
      <c r="J1009">
        <v>3296680782</v>
      </c>
      <c r="K1009">
        <v>3974361502</v>
      </c>
      <c r="L1009">
        <v>3785849094</v>
      </c>
      <c r="M1009">
        <v>3637492827</v>
      </c>
      <c r="N1009">
        <v>3088136092</v>
      </c>
      <c r="O1009">
        <v>2179771794</v>
      </c>
      <c r="P1009">
        <v>147</v>
      </c>
      <c r="Q1009" t="s">
        <v>2271</v>
      </c>
    </row>
    <row r="1010" spans="1:17" x14ac:dyDescent="0.3">
      <c r="A1010" t="s">
        <v>17</v>
      </c>
      <c r="B1010" t="str">
        <f>"601798"</f>
        <v>601798</v>
      </c>
      <c r="C1010" t="s">
        <v>2272</v>
      </c>
      <c r="D1010" t="s">
        <v>395</v>
      </c>
      <c r="F1010">
        <v>721272891</v>
      </c>
      <c r="G1010">
        <v>876528899</v>
      </c>
      <c r="H1010">
        <v>768256102</v>
      </c>
      <c r="I1010">
        <v>732719360</v>
      </c>
      <c r="J1010">
        <v>758217707</v>
      </c>
      <c r="K1010">
        <v>733920150</v>
      </c>
      <c r="L1010">
        <v>791888027</v>
      </c>
      <c r="M1010">
        <v>717395625</v>
      </c>
      <c r="N1010">
        <v>712004090</v>
      </c>
      <c r="O1010">
        <v>628049382</v>
      </c>
      <c r="P1010">
        <v>77</v>
      </c>
      <c r="Q1010" t="s">
        <v>2273</v>
      </c>
    </row>
    <row r="1011" spans="1:17" x14ac:dyDescent="0.3">
      <c r="A1011" t="s">
        <v>17</v>
      </c>
      <c r="B1011" t="str">
        <f>"601799"</f>
        <v>601799</v>
      </c>
      <c r="C1011" t="s">
        <v>2274</v>
      </c>
      <c r="D1011" t="s">
        <v>1415</v>
      </c>
      <c r="F1011">
        <v>1056586619</v>
      </c>
      <c r="G1011">
        <v>862083648</v>
      </c>
      <c r="H1011">
        <v>909684702</v>
      </c>
      <c r="I1011">
        <v>582177707</v>
      </c>
      <c r="J1011">
        <v>456392537</v>
      </c>
      <c r="K1011">
        <v>513774319</v>
      </c>
      <c r="L1011">
        <v>329224475</v>
      </c>
      <c r="M1011">
        <v>294447813</v>
      </c>
      <c r="N1011">
        <v>321554082</v>
      </c>
      <c r="O1011">
        <v>187092080</v>
      </c>
      <c r="P1011">
        <v>1014</v>
      </c>
      <c r="Q1011" t="s">
        <v>2275</v>
      </c>
    </row>
    <row r="1012" spans="1:17" x14ac:dyDescent="0.3">
      <c r="A1012" t="s">
        <v>17</v>
      </c>
      <c r="B1012" t="str">
        <f>"601800"</f>
        <v>601800</v>
      </c>
      <c r="C1012" t="s">
        <v>2276</v>
      </c>
      <c r="D1012" t="s">
        <v>101</v>
      </c>
      <c r="F1012">
        <v>97473320679</v>
      </c>
      <c r="G1012">
        <v>102420974456</v>
      </c>
      <c r="H1012">
        <v>95933386804</v>
      </c>
      <c r="I1012">
        <v>83454839771</v>
      </c>
      <c r="J1012">
        <v>68044732239</v>
      </c>
      <c r="K1012">
        <v>83436913111</v>
      </c>
      <c r="L1012">
        <v>63845777577</v>
      </c>
      <c r="M1012">
        <v>59953717597</v>
      </c>
      <c r="N1012">
        <v>58736889290</v>
      </c>
      <c r="O1012">
        <v>52273037325</v>
      </c>
      <c r="P1012">
        <v>899</v>
      </c>
      <c r="Q1012" t="s">
        <v>2277</v>
      </c>
    </row>
    <row r="1013" spans="1:17" x14ac:dyDescent="0.3">
      <c r="A1013" t="s">
        <v>17</v>
      </c>
      <c r="B1013" t="str">
        <f>"601801"</f>
        <v>601801</v>
      </c>
      <c r="C1013" t="s">
        <v>2278</v>
      </c>
      <c r="D1013" t="s">
        <v>525</v>
      </c>
      <c r="F1013">
        <v>495966093</v>
      </c>
      <c r="G1013">
        <v>691744145</v>
      </c>
      <c r="H1013">
        <v>973579668</v>
      </c>
      <c r="I1013">
        <v>1042001515</v>
      </c>
      <c r="J1013">
        <v>773076573</v>
      </c>
      <c r="K1013">
        <v>480182389</v>
      </c>
      <c r="L1013">
        <v>556766981</v>
      </c>
      <c r="M1013">
        <v>652638491</v>
      </c>
      <c r="N1013">
        <v>392093872</v>
      </c>
      <c r="O1013">
        <v>287343136</v>
      </c>
      <c r="P1013">
        <v>267</v>
      </c>
      <c r="Q1013" t="s">
        <v>2279</v>
      </c>
    </row>
    <row r="1014" spans="1:17" x14ac:dyDescent="0.3">
      <c r="A1014" t="s">
        <v>17</v>
      </c>
      <c r="B1014" t="str">
        <f>"601808"</f>
        <v>601808</v>
      </c>
      <c r="C1014" t="s">
        <v>2280</v>
      </c>
      <c r="D1014" t="s">
        <v>1762</v>
      </c>
      <c r="F1014">
        <v>10511674216</v>
      </c>
      <c r="G1014">
        <v>10212211594</v>
      </c>
      <c r="H1014">
        <v>10305533467</v>
      </c>
      <c r="I1014">
        <v>0</v>
      </c>
      <c r="J1014">
        <v>6218549434</v>
      </c>
      <c r="K1014">
        <v>4795964137</v>
      </c>
      <c r="L1014">
        <v>6652732508</v>
      </c>
      <c r="M1014">
        <v>7230381272</v>
      </c>
      <c r="N1014">
        <v>5872979907</v>
      </c>
      <c r="O1014">
        <v>4145236199</v>
      </c>
      <c r="P1014">
        <v>411</v>
      </c>
      <c r="Q1014" t="s">
        <v>2281</v>
      </c>
    </row>
    <row r="1015" spans="1:17" x14ac:dyDescent="0.3">
      <c r="A1015" t="s">
        <v>17</v>
      </c>
      <c r="B1015" t="str">
        <f>"601811"</f>
        <v>601811</v>
      </c>
      <c r="C1015" t="s">
        <v>2282</v>
      </c>
      <c r="D1015" t="s">
        <v>1536</v>
      </c>
      <c r="F1015">
        <v>1555884148</v>
      </c>
      <c r="G1015">
        <v>1586906259</v>
      </c>
      <c r="H1015">
        <v>1761441147</v>
      </c>
      <c r="I1015">
        <v>1612611248</v>
      </c>
      <c r="J1015">
        <v>1278160855</v>
      </c>
      <c r="K1015">
        <v>801178863</v>
      </c>
      <c r="L1015">
        <v>660051563</v>
      </c>
      <c r="M1015">
        <v>607448299</v>
      </c>
      <c r="N1015">
        <v>643801207</v>
      </c>
      <c r="P1015">
        <v>276</v>
      </c>
      <c r="Q1015" t="s">
        <v>2283</v>
      </c>
    </row>
    <row r="1016" spans="1:17" x14ac:dyDescent="0.3">
      <c r="A1016" t="s">
        <v>17</v>
      </c>
      <c r="B1016" t="str">
        <f>"601816"</f>
        <v>601816</v>
      </c>
      <c r="C1016" t="s">
        <v>2284</v>
      </c>
      <c r="D1016" t="s">
        <v>301</v>
      </c>
      <c r="F1016">
        <v>230774561</v>
      </c>
      <c r="G1016">
        <v>956697125</v>
      </c>
      <c r="H1016">
        <v>1207526241</v>
      </c>
      <c r="I1016">
        <v>1195124525</v>
      </c>
      <c r="J1016">
        <v>1226084545</v>
      </c>
      <c r="K1016">
        <v>1196886257</v>
      </c>
      <c r="P1016">
        <v>977</v>
      </c>
      <c r="Q1016" t="s">
        <v>2285</v>
      </c>
    </row>
    <row r="1017" spans="1:17" x14ac:dyDescent="0.3">
      <c r="A1017" t="s">
        <v>17</v>
      </c>
      <c r="B1017" t="str">
        <f>"601818"</f>
        <v>601818</v>
      </c>
      <c r="C1017" t="s">
        <v>2286</v>
      </c>
      <c r="D1017" t="s">
        <v>19</v>
      </c>
      <c r="P1017">
        <v>15856</v>
      </c>
      <c r="Q1017" t="s">
        <v>2287</v>
      </c>
    </row>
    <row r="1018" spans="1:17" x14ac:dyDescent="0.3">
      <c r="A1018" t="s">
        <v>17</v>
      </c>
      <c r="B1018" t="str">
        <f>"601825"</f>
        <v>601825</v>
      </c>
      <c r="C1018" t="s">
        <v>2288</v>
      </c>
      <c r="D1018" t="s">
        <v>1831</v>
      </c>
      <c r="P1018">
        <v>57</v>
      </c>
      <c r="Q1018" t="s">
        <v>2289</v>
      </c>
    </row>
    <row r="1019" spans="1:17" x14ac:dyDescent="0.3">
      <c r="A1019" t="s">
        <v>17</v>
      </c>
      <c r="B1019" t="str">
        <f>"601827"</f>
        <v>601827</v>
      </c>
      <c r="C1019" t="s">
        <v>2290</v>
      </c>
      <c r="D1019" t="s">
        <v>499</v>
      </c>
      <c r="F1019">
        <v>1516163318</v>
      </c>
      <c r="G1019">
        <v>993541535</v>
      </c>
      <c r="H1019">
        <v>1017940801</v>
      </c>
      <c r="I1019">
        <v>867448191</v>
      </c>
      <c r="J1019">
        <v>620887087</v>
      </c>
      <c r="P1019">
        <v>143</v>
      </c>
      <c r="Q1019" t="s">
        <v>2291</v>
      </c>
    </row>
    <row r="1020" spans="1:17" x14ac:dyDescent="0.3">
      <c r="A1020" t="s">
        <v>17</v>
      </c>
      <c r="B1020" t="str">
        <f>"601828"</f>
        <v>601828</v>
      </c>
      <c r="C1020" t="s">
        <v>2292</v>
      </c>
      <c r="D1020" t="s">
        <v>271</v>
      </c>
      <c r="F1020">
        <v>1957650342</v>
      </c>
      <c r="G1020">
        <v>1934826113</v>
      </c>
      <c r="H1020">
        <v>1805663937</v>
      </c>
      <c r="I1020">
        <v>1687918585</v>
      </c>
      <c r="J1020">
        <v>1167430014</v>
      </c>
      <c r="K1020">
        <v>799810038</v>
      </c>
      <c r="L1020">
        <v>921480439</v>
      </c>
      <c r="M1020">
        <v>573753607</v>
      </c>
      <c r="P1020">
        <v>351</v>
      </c>
      <c r="Q1020" t="s">
        <v>2293</v>
      </c>
    </row>
    <row r="1021" spans="1:17" x14ac:dyDescent="0.3">
      <c r="A1021" t="s">
        <v>17</v>
      </c>
      <c r="B1021" t="str">
        <f>"601838"</f>
        <v>601838</v>
      </c>
      <c r="C1021" t="s">
        <v>2294</v>
      </c>
      <c r="D1021" t="s">
        <v>1842</v>
      </c>
      <c r="P1021">
        <v>1326</v>
      </c>
      <c r="Q1021" t="s">
        <v>2295</v>
      </c>
    </row>
    <row r="1022" spans="1:17" x14ac:dyDescent="0.3">
      <c r="A1022" t="s">
        <v>17</v>
      </c>
      <c r="B1022" t="str">
        <f>"601857"</f>
        <v>601857</v>
      </c>
      <c r="C1022" t="s">
        <v>2296</v>
      </c>
      <c r="D1022" t="s">
        <v>74</v>
      </c>
      <c r="F1022">
        <v>56659000000</v>
      </c>
      <c r="G1022">
        <v>52325000000</v>
      </c>
      <c r="H1022">
        <v>64184000000</v>
      </c>
      <c r="I1022">
        <v>58507000000</v>
      </c>
      <c r="J1022">
        <v>53143000000</v>
      </c>
      <c r="K1022">
        <v>47315000000</v>
      </c>
      <c r="L1022">
        <v>52262000000</v>
      </c>
      <c r="M1022">
        <v>53104000000</v>
      </c>
      <c r="N1022">
        <v>64027000000</v>
      </c>
      <c r="O1022">
        <v>64450000000</v>
      </c>
      <c r="P1022">
        <v>1280</v>
      </c>
      <c r="Q1022" t="s">
        <v>2297</v>
      </c>
    </row>
    <row r="1023" spans="1:17" x14ac:dyDescent="0.3">
      <c r="A1023" t="s">
        <v>17</v>
      </c>
      <c r="B1023" t="str">
        <f>"601858"</f>
        <v>601858</v>
      </c>
      <c r="C1023" t="s">
        <v>2298</v>
      </c>
      <c r="D1023" t="s">
        <v>525</v>
      </c>
      <c r="F1023">
        <v>118452398</v>
      </c>
      <c r="G1023">
        <v>103443080</v>
      </c>
      <c r="H1023">
        <v>103077381</v>
      </c>
      <c r="I1023">
        <v>62667515</v>
      </c>
      <c r="J1023">
        <v>74482349</v>
      </c>
      <c r="K1023">
        <v>62413726</v>
      </c>
      <c r="L1023">
        <v>68018465</v>
      </c>
      <c r="M1023">
        <v>87659316</v>
      </c>
      <c r="N1023">
        <v>94160578</v>
      </c>
      <c r="P1023">
        <v>178</v>
      </c>
      <c r="Q1023" t="s">
        <v>2299</v>
      </c>
    </row>
    <row r="1024" spans="1:17" x14ac:dyDescent="0.3">
      <c r="A1024" t="s">
        <v>17</v>
      </c>
      <c r="B1024" t="str">
        <f>"601860"</f>
        <v>601860</v>
      </c>
      <c r="C1024" t="s">
        <v>2300</v>
      </c>
      <c r="D1024" t="s">
        <v>1831</v>
      </c>
      <c r="P1024">
        <v>332</v>
      </c>
      <c r="Q1024" t="s">
        <v>2301</v>
      </c>
    </row>
    <row r="1025" spans="1:17" x14ac:dyDescent="0.3">
      <c r="A1025" t="s">
        <v>17</v>
      </c>
      <c r="B1025" t="str">
        <f>"601865"</f>
        <v>601865</v>
      </c>
      <c r="C1025" t="s">
        <v>2302</v>
      </c>
      <c r="D1025" t="s">
        <v>478</v>
      </c>
      <c r="F1025">
        <v>1105759572</v>
      </c>
      <c r="G1025">
        <v>1388373649</v>
      </c>
      <c r="H1025">
        <v>1107245636</v>
      </c>
      <c r="I1025">
        <v>821195179</v>
      </c>
      <c r="J1025">
        <v>0</v>
      </c>
      <c r="K1025">
        <v>0</v>
      </c>
      <c r="L1025">
        <v>0</v>
      </c>
      <c r="P1025">
        <v>925</v>
      </c>
      <c r="Q1025" t="s">
        <v>2303</v>
      </c>
    </row>
    <row r="1026" spans="1:17" x14ac:dyDescent="0.3">
      <c r="A1026" t="s">
        <v>17</v>
      </c>
      <c r="B1026" t="str">
        <f>"601866"</f>
        <v>601866</v>
      </c>
      <c r="C1026" t="s">
        <v>2304</v>
      </c>
      <c r="D1026" t="s">
        <v>69</v>
      </c>
      <c r="F1026">
        <v>1363051442</v>
      </c>
      <c r="G1026">
        <v>2050899603</v>
      </c>
      <c r="H1026">
        <v>1086846111</v>
      </c>
      <c r="I1026">
        <v>1018869862</v>
      </c>
      <c r="J1026">
        <v>1375071702</v>
      </c>
      <c r="K1026">
        <v>1635497417</v>
      </c>
      <c r="L1026">
        <v>1728587921</v>
      </c>
      <c r="M1026">
        <v>2191525959</v>
      </c>
      <c r="N1026">
        <v>2252118870</v>
      </c>
      <c r="O1026">
        <v>2069789661</v>
      </c>
      <c r="P1026">
        <v>336</v>
      </c>
      <c r="Q1026" t="s">
        <v>2305</v>
      </c>
    </row>
    <row r="1027" spans="1:17" x14ac:dyDescent="0.3">
      <c r="A1027" t="s">
        <v>17</v>
      </c>
      <c r="B1027" t="str">
        <f>"601868"</f>
        <v>601868</v>
      </c>
      <c r="C1027" t="s">
        <v>2306</v>
      </c>
      <c r="D1027" t="s">
        <v>101</v>
      </c>
      <c r="F1027">
        <v>56955906000</v>
      </c>
      <c r="P1027">
        <v>152</v>
      </c>
      <c r="Q1027" t="s">
        <v>2307</v>
      </c>
    </row>
    <row r="1028" spans="1:17" x14ac:dyDescent="0.3">
      <c r="A1028" t="s">
        <v>17</v>
      </c>
      <c r="B1028" t="str">
        <f>"601869"</f>
        <v>601869</v>
      </c>
      <c r="C1028" t="s">
        <v>2308</v>
      </c>
      <c r="D1028" t="s">
        <v>250</v>
      </c>
      <c r="F1028">
        <v>4160711743</v>
      </c>
      <c r="G1028">
        <v>3776762957</v>
      </c>
      <c r="H1028">
        <v>3123505778</v>
      </c>
      <c r="I1028">
        <v>2976756984</v>
      </c>
      <c r="J1028">
        <v>1834657244</v>
      </c>
      <c r="K1028">
        <v>1881955496</v>
      </c>
      <c r="L1028">
        <v>1913227300</v>
      </c>
      <c r="P1028">
        <v>403</v>
      </c>
      <c r="Q1028" t="s">
        <v>2309</v>
      </c>
    </row>
    <row r="1029" spans="1:17" x14ac:dyDescent="0.3">
      <c r="A1029" t="s">
        <v>17</v>
      </c>
      <c r="B1029" t="str">
        <f>"601872"</f>
        <v>601872</v>
      </c>
      <c r="C1029" t="s">
        <v>2310</v>
      </c>
      <c r="D1029" t="s">
        <v>69</v>
      </c>
      <c r="F1029">
        <v>1169356276</v>
      </c>
      <c r="G1029">
        <v>1210836970</v>
      </c>
      <c r="H1029">
        <v>2663392831</v>
      </c>
      <c r="I1029">
        <v>2046952996</v>
      </c>
      <c r="J1029">
        <v>924433179</v>
      </c>
      <c r="K1029">
        <v>839904669</v>
      </c>
      <c r="L1029">
        <v>1064376591</v>
      </c>
      <c r="M1029">
        <v>530052907</v>
      </c>
      <c r="N1029">
        <v>340903641</v>
      </c>
      <c r="O1029">
        <v>277052848</v>
      </c>
      <c r="P1029">
        <v>574</v>
      </c>
      <c r="Q1029" t="s">
        <v>2311</v>
      </c>
    </row>
    <row r="1030" spans="1:17" x14ac:dyDescent="0.3">
      <c r="A1030" t="s">
        <v>17</v>
      </c>
      <c r="B1030" t="str">
        <f>"601877"</f>
        <v>601877</v>
      </c>
      <c r="C1030" t="s">
        <v>2312</v>
      </c>
      <c r="D1030" t="s">
        <v>657</v>
      </c>
      <c r="F1030">
        <v>12292962138</v>
      </c>
      <c r="G1030">
        <v>9724034499</v>
      </c>
      <c r="H1030">
        <v>8639445870</v>
      </c>
      <c r="I1030">
        <v>7174260441</v>
      </c>
      <c r="J1030">
        <v>6502707162</v>
      </c>
      <c r="K1030">
        <v>5555428825</v>
      </c>
      <c r="L1030">
        <v>2753723380</v>
      </c>
      <c r="M1030">
        <v>2078139025</v>
      </c>
      <c r="N1030">
        <v>1937583473</v>
      </c>
      <c r="O1030">
        <v>1418088743</v>
      </c>
      <c r="P1030">
        <v>34820</v>
      </c>
      <c r="Q1030" t="s">
        <v>2313</v>
      </c>
    </row>
    <row r="1031" spans="1:17" x14ac:dyDescent="0.3">
      <c r="A1031" t="s">
        <v>17</v>
      </c>
      <c r="B1031" t="str">
        <f>"601878"</f>
        <v>601878</v>
      </c>
      <c r="C1031" t="s">
        <v>2314</v>
      </c>
      <c r="D1031" t="s">
        <v>80</v>
      </c>
      <c r="F1031">
        <v>319149822</v>
      </c>
      <c r="G1031">
        <v>269275363</v>
      </c>
      <c r="H1031">
        <v>109336569</v>
      </c>
      <c r="I1031">
        <v>295452252</v>
      </c>
      <c r="J1031">
        <v>105160212</v>
      </c>
      <c r="K1031">
        <v>0</v>
      </c>
      <c r="L1031">
        <v>0</v>
      </c>
      <c r="M1031">
        <v>0</v>
      </c>
      <c r="N1031">
        <v>32640742.25</v>
      </c>
      <c r="O1031">
        <v>14141161.939999999</v>
      </c>
      <c r="P1031">
        <v>842</v>
      </c>
      <c r="Q1031" t="s">
        <v>2315</v>
      </c>
    </row>
    <row r="1032" spans="1:17" x14ac:dyDescent="0.3">
      <c r="A1032" t="s">
        <v>17</v>
      </c>
      <c r="B1032" t="str">
        <f>"601880"</f>
        <v>601880</v>
      </c>
      <c r="C1032" t="s">
        <v>2316</v>
      </c>
      <c r="D1032" t="s">
        <v>51</v>
      </c>
      <c r="F1032">
        <v>2484558788</v>
      </c>
      <c r="G1032">
        <v>1762191430</v>
      </c>
      <c r="H1032">
        <v>1322772567</v>
      </c>
      <c r="I1032">
        <v>658194719</v>
      </c>
      <c r="J1032">
        <v>1026421199</v>
      </c>
      <c r="K1032">
        <v>658558981</v>
      </c>
      <c r="L1032">
        <v>821726760</v>
      </c>
      <c r="M1032">
        <v>837441401</v>
      </c>
      <c r="N1032">
        <v>502348024</v>
      </c>
      <c r="O1032">
        <v>473175991</v>
      </c>
      <c r="P1032">
        <v>189</v>
      </c>
      <c r="Q1032" t="s">
        <v>2317</v>
      </c>
    </row>
    <row r="1033" spans="1:17" x14ac:dyDescent="0.3">
      <c r="A1033" t="s">
        <v>17</v>
      </c>
      <c r="B1033" t="str">
        <f>"601881"</f>
        <v>601881</v>
      </c>
      <c r="C1033" t="s">
        <v>2318</v>
      </c>
      <c r="D1033" t="s">
        <v>80</v>
      </c>
      <c r="F1033">
        <v>10150724671</v>
      </c>
      <c r="G1033">
        <v>12215069756</v>
      </c>
      <c r="H1033">
        <v>5116838493</v>
      </c>
      <c r="I1033">
        <v>643111619</v>
      </c>
      <c r="J1033">
        <v>1002841913</v>
      </c>
      <c r="K1033">
        <v>774651108</v>
      </c>
      <c r="L1033">
        <v>0</v>
      </c>
      <c r="M1033">
        <v>0</v>
      </c>
      <c r="N1033">
        <v>0</v>
      </c>
      <c r="O1033">
        <v>202879589.11000001</v>
      </c>
      <c r="P1033">
        <v>1598</v>
      </c>
      <c r="Q1033" t="s">
        <v>2319</v>
      </c>
    </row>
    <row r="1034" spans="1:17" x14ac:dyDescent="0.3">
      <c r="A1034" t="s">
        <v>17</v>
      </c>
      <c r="B1034" t="str">
        <f>"601882"</f>
        <v>601882</v>
      </c>
      <c r="C1034" t="s">
        <v>2320</v>
      </c>
      <c r="D1034" t="s">
        <v>2321</v>
      </c>
      <c r="F1034">
        <v>237447712</v>
      </c>
      <c r="G1034">
        <v>171923431</v>
      </c>
      <c r="H1034">
        <v>83802830</v>
      </c>
      <c r="I1034">
        <v>60282840</v>
      </c>
      <c r="J1034">
        <v>99529892</v>
      </c>
      <c r="K1034">
        <v>118194969</v>
      </c>
      <c r="L1034">
        <v>85223585</v>
      </c>
      <c r="M1034">
        <v>73853936</v>
      </c>
      <c r="N1034">
        <v>95619023</v>
      </c>
      <c r="P1034">
        <v>188</v>
      </c>
      <c r="Q1034" t="s">
        <v>2322</v>
      </c>
    </row>
    <row r="1035" spans="1:17" x14ac:dyDescent="0.3">
      <c r="A1035" t="s">
        <v>17</v>
      </c>
      <c r="B1035" t="str">
        <f>"601886"</f>
        <v>601886</v>
      </c>
      <c r="C1035" t="s">
        <v>2323</v>
      </c>
      <c r="D1035" t="s">
        <v>450</v>
      </c>
      <c r="F1035">
        <v>10669583935</v>
      </c>
      <c r="G1035">
        <v>9839815237</v>
      </c>
      <c r="H1035">
        <v>12411215595</v>
      </c>
      <c r="I1035">
        <v>11396709367</v>
      </c>
      <c r="J1035">
        <v>11745764843</v>
      </c>
      <c r="K1035">
        <v>11816798189</v>
      </c>
      <c r="L1035">
        <v>10933056635</v>
      </c>
      <c r="M1035">
        <v>10363140375</v>
      </c>
      <c r="N1035">
        <v>6225368145</v>
      </c>
      <c r="O1035">
        <v>4893100926</v>
      </c>
      <c r="P1035">
        <v>177</v>
      </c>
      <c r="Q1035" t="s">
        <v>2324</v>
      </c>
    </row>
    <row r="1036" spans="1:17" x14ac:dyDescent="0.3">
      <c r="A1036" t="s">
        <v>17</v>
      </c>
      <c r="B1036" t="str">
        <f>"601888"</f>
        <v>601888</v>
      </c>
      <c r="C1036" t="s">
        <v>2325</v>
      </c>
      <c r="D1036" t="s">
        <v>2326</v>
      </c>
      <c r="F1036">
        <v>105986153</v>
      </c>
      <c r="G1036">
        <v>128677176</v>
      </c>
      <c r="H1036">
        <v>800081885</v>
      </c>
      <c r="I1036">
        <v>978571648</v>
      </c>
      <c r="J1036">
        <v>946475387</v>
      </c>
      <c r="K1036">
        <v>912345572</v>
      </c>
      <c r="L1036">
        <v>939819893</v>
      </c>
      <c r="M1036">
        <v>883996538</v>
      </c>
      <c r="N1036">
        <v>755102703</v>
      </c>
      <c r="O1036">
        <v>849070637</v>
      </c>
      <c r="P1036">
        <v>6129</v>
      </c>
      <c r="Q1036" t="s">
        <v>2327</v>
      </c>
    </row>
    <row r="1037" spans="1:17" x14ac:dyDescent="0.3">
      <c r="A1037" t="s">
        <v>17</v>
      </c>
      <c r="B1037" t="str">
        <f>"601890"</f>
        <v>601890</v>
      </c>
      <c r="C1037" t="s">
        <v>2328</v>
      </c>
      <c r="D1037" t="s">
        <v>167</v>
      </c>
      <c r="F1037">
        <v>336183901</v>
      </c>
      <c r="G1037">
        <v>252437875</v>
      </c>
      <c r="H1037">
        <v>328529786</v>
      </c>
      <c r="I1037">
        <v>287812869</v>
      </c>
      <c r="J1037">
        <v>265264672</v>
      </c>
      <c r="K1037">
        <v>308514270</v>
      </c>
      <c r="L1037">
        <v>383726242</v>
      </c>
      <c r="M1037">
        <v>381057720</v>
      </c>
      <c r="N1037">
        <v>397889191</v>
      </c>
      <c r="O1037">
        <v>405781345</v>
      </c>
      <c r="P1037">
        <v>144</v>
      </c>
      <c r="Q1037" t="s">
        <v>2329</v>
      </c>
    </row>
    <row r="1038" spans="1:17" x14ac:dyDescent="0.3">
      <c r="A1038" t="s">
        <v>17</v>
      </c>
      <c r="B1038" t="str">
        <f>"601898"</f>
        <v>601898</v>
      </c>
      <c r="C1038" t="s">
        <v>2330</v>
      </c>
      <c r="D1038" t="s">
        <v>292</v>
      </c>
      <c r="F1038">
        <v>7545912000</v>
      </c>
      <c r="G1038">
        <v>7241095000</v>
      </c>
      <c r="H1038">
        <v>7316222000</v>
      </c>
      <c r="I1038">
        <v>0</v>
      </c>
      <c r="J1038">
        <v>6516966000</v>
      </c>
      <c r="K1038">
        <v>7658899000</v>
      </c>
      <c r="L1038">
        <v>9679830000</v>
      </c>
      <c r="M1038">
        <v>8222019000</v>
      </c>
      <c r="N1038">
        <v>8268716000</v>
      </c>
      <c r="O1038">
        <v>8174843000</v>
      </c>
      <c r="P1038">
        <v>446</v>
      </c>
      <c r="Q1038" t="s">
        <v>2331</v>
      </c>
    </row>
    <row r="1039" spans="1:17" x14ac:dyDescent="0.3">
      <c r="A1039" t="s">
        <v>17</v>
      </c>
      <c r="B1039" t="str">
        <f>"601899"</f>
        <v>601899</v>
      </c>
      <c r="C1039" t="s">
        <v>2332</v>
      </c>
      <c r="D1039" t="s">
        <v>263</v>
      </c>
      <c r="F1039">
        <v>2445223101</v>
      </c>
      <c r="G1039">
        <v>1141449611</v>
      </c>
      <c r="H1039">
        <v>944115730</v>
      </c>
      <c r="I1039">
        <v>1009871109</v>
      </c>
      <c r="J1039">
        <v>1292864505</v>
      </c>
      <c r="K1039">
        <v>783067488</v>
      </c>
      <c r="L1039">
        <v>864682728</v>
      </c>
      <c r="M1039">
        <v>1228075464</v>
      </c>
      <c r="N1039">
        <v>519354631</v>
      </c>
      <c r="O1039">
        <v>841494264</v>
      </c>
      <c r="P1039">
        <v>2402</v>
      </c>
      <c r="Q1039" t="s">
        <v>2333</v>
      </c>
    </row>
    <row r="1040" spans="1:17" x14ac:dyDescent="0.3">
      <c r="A1040" t="s">
        <v>17</v>
      </c>
      <c r="B1040" t="str">
        <f>"601900"</f>
        <v>601900</v>
      </c>
      <c r="C1040" t="s">
        <v>2334</v>
      </c>
      <c r="D1040" t="s">
        <v>1536</v>
      </c>
      <c r="F1040">
        <v>1599589521</v>
      </c>
      <c r="G1040">
        <v>1463925189</v>
      </c>
      <c r="H1040">
        <v>987465911</v>
      </c>
      <c r="I1040">
        <v>976689895</v>
      </c>
      <c r="J1040">
        <v>928638885</v>
      </c>
      <c r="K1040">
        <v>827475079</v>
      </c>
      <c r="L1040">
        <v>736412194</v>
      </c>
      <c r="M1040">
        <v>662579677</v>
      </c>
      <c r="N1040">
        <v>677700583</v>
      </c>
      <c r="O1040">
        <v>455354551</v>
      </c>
      <c r="P1040">
        <v>244</v>
      </c>
      <c r="Q1040" t="s">
        <v>2335</v>
      </c>
    </row>
    <row r="1041" spans="1:17" x14ac:dyDescent="0.3">
      <c r="A1041" t="s">
        <v>17</v>
      </c>
      <c r="B1041" t="str">
        <f>"601901"</f>
        <v>601901</v>
      </c>
      <c r="C1041" t="s">
        <v>2336</v>
      </c>
      <c r="D1041" t="s">
        <v>80</v>
      </c>
      <c r="F1041">
        <v>3167839761</v>
      </c>
      <c r="G1041">
        <v>469132776</v>
      </c>
      <c r="H1041">
        <v>575289744</v>
      </c>
      <c r="I1041">
        <v>3633679073</v>
      </c>
      <c r="J1041">
        <v>1135895833</v>
      </c>
      <c r="K1041">
        <v>1253956701</v>
      </c>
      <c r="L1041">
        <v>0</v>
      </c>
      <c r="M1041">
        <v>0</v>
      </c>
      <c r="N1041">
        <v>0</v>
      </c>
      <c r="O1041">
        <v>0</v>
      </c>
      <c r="P1041">
        <v>931</v>
      </c>
      <c r="Q1041" t="s">
        <v>2337</v>
      </c>
    </row>
    <row r="1042" spans="1:17" x14ac:dyDescent="0.3">
      <c r="A1042" t="s">
        <v>17</v>
      </c>
      <c r="B1042" t="str">
        <f>"601908"</f>
        <v>601908</v>
      </c>
      <c r="C1042" t="s">
        <v>2338</v>
      </c>
      <c r="D1042" t="s">
        <v>86</v>
      </c>
      <c r="F1042">
        <v>2748004031</v>
      </c>
      <c r="G1042">
        <v>2183923097</v>
      </c>
      <c r="H1042">
        <v>1585124527</v>
      </c>
      <c r="I1042">
        <v>1483797117</v>
      </c>
      <c r="J1042">
        <v>1020730926</v>
      </c>
      <c r="K1042">
        <v>548251048</v>
      </c>
      <c r="L1042">
        <v>510441579</v>
      </c>
      <c r="M1042">
        <v>316094424</v>
      </c>
      <c r="N1042">
        <v>247558551</v>
      </c>
      <c r="O1042">
        <v>391123503</v>
      </c>
      <c r="P1042">
        <v>318</v>
      </c>
      <c r="Q1042" t="s">
        <v>2339</v>
      </c>
    </row>
    <row r="1043" spans="1:17" x14ac:dyDescent="0.3">
      <c r="A1043" t="s">
        <v>17</v>
      </c>
      <c r="B1043" t="str">
        <f>"601916"</f>
        <v>601916</v>
      </c>
      <c r="C1043" t="s">
        <v>2340</v>
      </c>
      <c r="D1043" t="s">
        <v>19</v>
      </c>
      <c r="P1043">
        <v>537</v>
      </c>
      <c r="Q1043" t="s">
        <v>2341</v>
      </c>
    </row>
    <row r="1044" spans="1:17" x14ac:dyDescent="0.3">
      <c r="A1044" t="s">
        <v>17</v>
      </c>
      <c r="B1044" t="str">
        <f>"601918"</f>
        <v>601918</v>
      </c>
      <c r="C1044" t="s">
        <v>2342</v>
      </c>
      <c r="D1044" t="s">
        <v>292</v>
      </c>
      <c r="F1044">
        <v>572811330</v>
      </c>
      <c r="G1044">
        <v>429510015</v>
      </c>
      <c r="H1044">
        <v>425894228</v>
      </c>
      <c r="I1044">
        <v>493882988</v>
      </c>
      <c r="J1044">
        <v>520084323</v>
      </c>
      <c r="K1044">
        <v>617923615</v>
      </c>
      <c r="L1044">
        <v>619317209</v>
      </c>
      <c r="M1044">
        <v>548196520</v>
      </c>
      <c r="N1044">
        <v>517858231</v>
      </c>
      <c r="O1044">
        <v>522990545</v>
      </c>
      <c r="P1044">
        <v>237</v>
      </c>
      <c r="Q1044" t="s">
        <v>2343</v>
      </c>
    </row>
    <row r="1045" spans="1:17" x14ac:dyDescent="0.3">
      <c r="A1045" t="s">
        <v>17</v>
      </c>
      <c r="B1045" t="str">
        <f>"601919"</f>
        <v>601919</v>
      </c>
      <c r="C1045" t="s">
        <v>2344</v>
      </c>
      <c r="D1045" t="s">
        <v>69</v>
      </c>
      <c r="F1045">
        <v>11275182998</v>
      </c>
      <c r="G1045">
        <v>9310047952</v>
      </c>
      <c r="H1045">
        <v>8533327715</v>
      </c>
      <c r="I1045">
        <v>8718739021</v>
      </c>
      <c r="J1045">
        <v>6195845520</v>
      </c>
      <c r="K1045">
        <v>5931743755</v>
      </c>
      <c r="L1045">
        <v>3501076296</v>
      </c>
      <c r="M1045">
        <v>3611567085</v>
      </c>
      <c r="N1045">
        <v>4327752661</v>
      </c>
      <c r="O1045">
        <v>8690406624</v>
      </c>
      <c r="P1045">
        <v>1359</v>
      </c>
      <c r="Q1045" t="s">
        <v>2345</v>
      </c>
    </row>
    <row r="1046" spans="1:17" x14ac:dyDescent="0.3">
      <c r="A1046" t="s">
        <v>17</v>
      </c>
      <c r="B1046" t="str">
        <f>"601921"</f>
        <v>601921</v>
      </c>
      <c r="C1046" t="s">
        <v>2346</v>
      </c>
      <c r="D1046" t="s">
        <v>1536</v>
      </c>
      <c r="F1046">
        <v>864257889</v>
      </c>
      <c r="G1046">
        <v>730863890</v>
      </c>
      <c r="H1046">
        <v>812311152</v>
      </c>
      <c r="I1046">
        <v>620018462</v>
      </c>
      <c r="J1046">
        <v>582669400</v>
      </c>
      <c r="P1046">
        <v>28</v>
      </c>
      <c r="Q1046" t="s">
        <v>2347</v>
      </c>
    </row>
    <row r="1047" spans="1:17" x14ac:dyDescent="0.3">
      <c r="A1047" t="s">
        <v>17</v>
      </c>
      <c r="B1047" t="str">
        <f>"601928"</f>
        <v>601928</v>
      </c>
      <c r="C1047" t="s">
        <v>2348</v>
      </c>
      <c r="D1047" t="s">
        <v>1536</v>
      </c>
      <c r="F1047">
        <v>609121430</v>
      </c>
      <c r="G1047">
        <v>723484184</v>
      </c>
      <c r="H1047">
        <v>1128403544</v>
      </c>
      <c r="I1047">
        <v>851352118</v>
      </c>
      <c r="J1047">
        <v>880652559</v>
      </c>
      <c r="K1047">
        <v>806244132</v>
      </c>
      <c r="L1047">
        <v>846519536</v>
      </c>
      <c r="M1047">
        <v>656448774</v>
      </c>
      <c r="N1047">
        <v>315607034</v>
      </c>
      <c r="O1047">
        <v>243644013</v>
      </c>
      <c r="P1047">
        <v>551</v>
      </c>
      <c r="Q1047" t="s">
        <v>2349</v>
      </c>
    </row>
    <row r="1048" spans="1:17" x14ac:dyDescent="0.3">
      <c r="A1048" t="s">
        <v>17</v>
      </c>
      <c r="B1048" t="str">
        <f>"601929"</f>
        <v>601929</v>
      </c>
      <c r="C1048" t="s">
        <v>2350</v>
      </c>
      <c r="D1048" t="s">
        <v>95</v>
      </c>
      <c r="F1048">
        <v>421522145</v>
      </c>
      <c r="G1048">
        <v>344166983</v>
      </c>
      <c r="H1048">
        <v>255432903</v>
      </c>
      <c r="I1048">
        <v>266767641</v>
      </c>
      <c r="J1048">
        <v>310197780</v>
      </c>
      <c r="K1048">
        <v>326635857</v>
      </c>
      <c r="L1048">
        <v>240242042</v>
      </c>
      <c r="M1048">
        <v>211819037</v>
      </c>
      <c r="N1048">
        <v>144666492</v>
      </c>
      <c r="O1048">
        <v>80323344</v>
      </c>
      <c r="P1048">
        <v>159</v>
      </c>
      <c r="Q1048" t="s">
        <v>2351</v>
      </c>
    </row>
    <row r="1049" spans="1:17" x14ac:dyDescent="0.3">
      <c r="A1049" t="s">
        <v>17</v>
      </c>
      <c r="B1049" t="str">
        <f>"601933"</f>
        <v>601933</v>
      </c>
      <c r="C1049" t="s">
        <v>2352</v>
      </c>
      <c r="D1049" t="s">
        <v>798</v>
      </c>
      <c r="F1049">
        <v>477000230</v>
      </c>
      <c r="G1049">
        <v>447397869</v>
      </c>
      <c r="H1049">
        <v>993255408</v>
      </c>
      <c r="I1049">
        <v>2085050895</v>
      </c>
      <c r="J1049">
        <v>980037358</v>
      </c>
      <c r="K1049">
        <v>486904719</v>
      </c>
      <c r="L1049">
        <v>101548436</v>
      </c>
      <c r="M1049">
        <v>111245428</v>
      </c>
      <c r="N1049">
        <v>98010689</v>
      </c>
      <c r="O1049">
        <v>177668584</v>
      </c>
      <c r="P1049">
        <v>2444</v>
      </c>
      <c r="Q1049" t="s">
        <v>2353</v>
      </c>
    </row>
    <row r="1050" spans="1:17" x14ac:dyDescent="0.3">
      <c r="A1050" t="s">
        <v>17</v>
      </c>
      <c r="B1050" t="str">
        <f>"601939"</f>
        <v>601939</v>
      </c>
      <c r="C1050" t="s">
        <v>2354</v>
      </c>
      <c r="D1050" t="s">
        <v>2112</v>
      </c>
      <c r="P1050">
        <v>19332</v>
      </c>
      <c r="Q1050" t="s">
        <v>2355</v>
      </c>
    </row>
    <row r="1051" spans="1:17" x14ac:dyDescent="0.3">
      <c r="A1051" t="s">
        <v>17</v>
      </c>
      <c r="B1051" t="str">
        <f>"601949"</f>
        <v>601949</v>
      </c>
      <c r="C1051" t="s">
        <v>2356</v>
      </c>
      <c r="D1051" t="s">
        <v>525</v>
      </c>
      <c r="F1051">
        <v>849833111</v>
      </c>
      <c r="G1051">
        <v>784805087</v>
      </c>
      <c r="H1051">
        <v>829848371</v>
      </c>
      <c r="I1051">
        <v>666149491</v>
      </c>
      <c r="J1051">
        <v>643886826</v>
      </c>
      <c r="K1051">
        <v>584121947</v>
      </c>
      <c r="L1051">
        <v>579922694</v>
      </c>
      <c r="M1051">
        <v>380687630</v>
      </c>
      <c r="P1051">
        <v>160</v>
      </c>
      <c r="Q1051" t="s">
        <v>2357</v>
      </c>
    </row>
    <row r="1052" spans="1:17" x14ac:dyDescent="0.3">
      <c r="A1052" t="s">
        <v>17</v>
      </c>
      <c r="B1052" t="str">
        <f>"601952"</f>
        <v>601952</v>
      </c>
      <c r="C1052" t="s">
        <v>2358</v>
      </c>
      <c r="D1052" t="s">
        <v>1210</v>
      </c>
      <c r="F1052">
        <v>304045872</v>
      </c>
      <c r="G1052">
        <v>217592273</v>
      </c>
      <c r="H1052">
        <v>264314770</v>
      </c>
      <c r="I1052">
        <v>159487825</v>
      </c>
      <c r="J1052">
        <v>152435716</v>
      </c>
      <c r="K1052">
        <v>127933151</v>
      </c>
      <c r="L1052">
        <v>168350297</v>
      </c>
      <c r="M1052">
        <v>142123781</v>
      </c>
      <c r="P1052">
        <v>313</v>
      </c>
      <c r="Q1052" t="s">
        <v>2359</v>
      </c>
    </row>
    <row r="1053" spans="1:17" x14ac:dyDescent="0.3">
      <c r="A1053" t="s">
        <v>17</v>
      </c>
      <c r="B1053" t="str">
        <f>"601956"</f>
        <v>601956</v>
      </c>
      <c r="C1053" t="s">
        <v>2360</v>
      </c>
      <c r="D1053" t="s">
        <v>1253</v>
      </c>
      <c r="F1053">
        <v>1539261394</v>
      </c>
      <c r="G1053">
        <v>1579028193</v>
      </c>
      <c r="H1053">
        <v>1345154403</v>
      </c>
      <c r="P1053">
        <v>23</v>
      </c>
      <c r="Q1053" t="s">
        <v>2361</v>
      </c>
    </row>
    <row r="1054" spans="1:17" x14ac:dyDescent="0.3">
      <c r="A1054" t="s">
        <v>17</v>
      </c>
      <c r="B1054" t="str">
        <f>"601958"</f>
        <v>601958</v>
      </c>
      <c r="C1054" t="s">
        <v>2362</v>
      </c>
      <c r="D1054" t="s">
        <v>2363</v>
      </c>
      <c r="F1054">
        <v>263910332</v>
      </c>
      <c r="G1054">
        <v>302603772</v>
      </c>
      <c r="H1054">
        <v>293376438</v>
      </c>
      <c r="I1054">
        <v>398434179</v>
      </c>
      <c r="J1054">
        <v>345518506</v>
      </c>
      <c r="K1054">
        <v>482624171</v>
      </c>
      <c r="L1054">
        <v>386764312</v>
      </c>
      <c r="M1054">
        <v>514020120</v>
      </c>
      <c r="N1054">
        <v>460585215</v>
      </c>
      <c r="O1054">
        <v>340891446</v>
      </c>
      <c r="P1054">
        <v>244</v>
      </c>
      <c r="Q1054" t="s">
        <v>2364</v>
      </c>
    </row>
    <row r="1055" spans="1:17" x14ac:dyDescent="0.3">
      <c r="A1055" t="s">
        <v>17</v>
      </c>
      <c r="B1055" t="str">
        <f>"601963"</f>
        <v>601963</v>
      </c>
      <c r="C1055" t="s">
        <v>2365</v>
      </c>
      <c r="D1055" t="s">
        <v>1842</v>
      </c>
      <c r="P1055">
        <v>149</v>
      </c>
      <c r="Q1055" t="s">
        <v>2366</v>
      </c>
    </row>
    <row r="1056" spans="1:17" x14ac:dyDescent="0.3">
      <c r="A1056" t="s">
        <v>17</v>
      </c>
      <c r="B1056" t="str">
        <f>"601965"</f>
        <v>601965</v>
      </c>
      <c r="C1056" t="s">
        <v>2367</v>
      </c>
      <c r="D1056" t="s">
        <v>2368</v>
      </c>
      <c r="F1056">
        <v>636219157</v>
      </c>
      <c r="G1056">
        <v>327373544</v>
      </c>
      <c r="H1056">
        <v>363895225</v>
      </c>
      <c r="I1056">
        <v>330079047</v>
      </c>
      <c r="J1056">
        <v>276063592</v>
      </c>
      <c r="K1056">
        <v>240495619</v>
      </c>
      <c r="L1056">
        <v>214776249</v>
      </c>
      <c r="M1056">
        <v>327432430</v>
      </c>
      <c r="N1056">
        <v>144660524</v>
      </c>
      <c r="O1056">
        <v>135952281</v>
      </c>
      <c r="P1056">
        <v>307</v>
      </c>
      <c r="Q1056" t="s">
        <v>2369</v>
      </c>
    </row>
    <row r="1057" spans="1:17" x14ac:dyDescent="0.3">
      <c r="A1057" t="s">
        <v>17</v>
      </c>
      <c r="B1057" t="str">
        <f>"601966"</f>
        <v>601966</v>
      </c>
      <c r="C1057" t="s">
        <v>2370</v>
      </c>
      <c r="D1057" t="s">
        <v>422</v>
      </c>
      <c r="F1057">
        <v>3061300763</v>
      </c>
      <c r="G1057">
        <v>2750756921</v>
      </c>
      <c r="H1057">
        <v>2719611360</v>
      </c>
      <c r="I1057">
        <v>2911946335</v>
      </c>
      <c r="J1057">
        <v>2262345670</v>
      </c>
      <c r="K1057">
        <v>1819988342</v>
      </c>
      <c r="L1057">
        <v>1346895221</v>
      </c>
      <c r="M1057">
        <v>1470995417</v>
      </c>
      <c r="N1057">
        <v>1786133051</v>
      </c>
      <c r="P1057">
        <v>927</v>
      </c>
      <c r="Q1057" t="s">
        <v>2371</v>
      </c>
    </row>
    <row r="1058" spans="1:17" x14ac:dyDescent="0.3">
      <c r="A1058" t="s">
        <v>17</v>
      </c>
      <c r="B1058" t="str">
        <f>"601968"</f>
        <v>601968</v>
      </c>
      <c r="C1058" t="s">
        <v>2372</v>
      </c>
      <c r="D1058" t="s">
        <v>2373</v>
      </c>
      <c r="F1058">
        <v>1629538682</v>
      </c>
      <c r="G1058">
        <v>1460759879</v>
      </c>
      <c r="H1058">
        <v>1368054373</v>
      </c>
      <c r="I1058">
        <v>893302584</v>
      </c>
      <c r="J1058">
        <v>832102707</v>
      </c>
      <c r="K1058">
        <v>949354850</v>
      </c>
      <c r="L1058">
        <v>894959999</v>
      </c>
      <c r="M1058">
        <v>735149228</v>
      </c>
      <c r="N1058">
        <v>395344995</v>
      </c>
      <c r="O1058">
        <v>465813139</v>
      </c>
      <c r="P1058">
        <v>108</v>
      </c>
      <c r="Q1058" t="s">
        <v>2374</v>
      </c>
    </row>
    <row r="1059" spans="1:17" x14ac:dyDescent="0.3">
      <c r="A1059" t="s">
        <v>17</v>
      </c>
      <c r="B1059" t="str">
        <f>"601969"</f>
        <v>601969</v>
      </c>
      <c r="C1059" t="s">
        <v>2375</v>
      </c>
      <c r="D1059" t="s">
        <v>2376</v>
      </c>
      <c r="F1059">
        <v>260323230</v>
      </c>
      <c r="G1059">
        <v>194378060</v>
      </c>
      <c r="H1059">
        <v>212368720</v>
      </c>
      <c r="I1059">
        <v>76566929</v>
      </c>
      <c r="J1059">
        <v>275682884</v>
      </c>
      <c r="K1059">
        <v>169254399</v>
      </c>
      <c r="L1059">
        <v>562350016</v>
      </c>
      <c r="M1059">
        <v>567729608</v>
      </c>
      <c r="N1059">
        <v>308190688</v>
      </c>
      <c r="O1059">
        <v>186227750</v>
      </c>
      <c r="P1059">
        <v>154</v>
      </c>
      <c r="Q1059" t="s">
        <v>2377</v>
      </c>
    </row>
    <row r="1060" spans="1:17" x14ac:dyDescent="0.3">
      <c r="A1060" t="s">
        <v>17</v>
      </c>
      <c r="B1060" t="str">
        <f>"601975"</f>
        <v>601975</v>
      </c>
      <c r="C1060" t="s">
        <v>2378</v>
      </c>
      <c r="D1060" t="s">
        <v>69</v>
      </c>
      <c r="F1060">
        <v>125107565</v>
      </c>
      <c r="G1060">
        <v>138822364</v>
      </c>
      <c r="H1060">
        <v>345676658</v>
      </c>
      <c r="I1060">
        <v>292174501</v>
      </c>
      <c r="J1060">
        <v>259325800</v>
      </c>
      <c r="K1060">
        <v>254916400</v>
      </c>
      <c r="L1060">
        <v>294010900</v>
      </c>
      <c r="N1060">
        <v>645797448</v>
      </c>
      <c r="O1060">
        <v>720400373</v>
      </c>
      <c r="P1060">
        <v>270</v>
      </c>
      <c r="Q1060" t="s">
        <v>2379</v>
      </c>
    </row>
    <row r="1061" spans="1:17" x14ac:dyDescent="0.3">
      <c r="A1061" t="s">
        <v>17</v>
      </c>
      <c r="B1061" t="str">
        <f>"601985"</f>
        <v>601985</v>
      </c>
      <c r="C1061" t="s">
        <v>2380</v>
      </c>
      <c r="D1061" t="s">
        <v>2381</v>
      </c>
      <c r="F1061">
        <v>15133844724</v>
      </c>
      <c r="G1061">
        <v>10072891757</v>
      </c>
      <c r="H1061">
        <v>5842927372</v>
      </c>
      <c r="I1061">
        <v>4594787202</v>
      </c>
      <c r="J1061">
        <v>3221605270</v>
      </c>
      <c r="K1061">
        <v>3552363965</v>
      </c>
      <c r="L1061">
        <v>2555161340</v>
      </c>
      <c r="M1061">
        <v>2368768896</v>
      </c>
      <c r="N1061">
        <v>1716077225</v>
      </c>
      <c r="O1061">
        <v>1393251292</v>
      </c>
      <c r="P1061">
        <v>998</v>
      </c>
      <c r="Q1061" t="s">
        <v>2382</v>
      </c>
    </row>
    <row r="1062" spans="1:17" x14ac:dyDescent="0.3">
      <c r="A1062" t="s">
        <v>17</v>
      </c>
      <c r="B1062" t="str">
        <f>"601988"</f>
        <v>601988</v>
      </c>
      <c r="C1062" t="s">
        <v>2383</v>
      </c>
      <c r="D1062" t="s">
        <v>2112</v>
      </c>
      <c r="P1062">
        <v>4259</v>
      </c>
      <c r="Q1062" t="s">
        <v>2384</v>
      </c>
    </row>
    <row r="1063" spans="1:17" x14ac:dyDescent="0.3">
      <c r="A1063" t="s">
        <v>17</v>
      </c>
      <c r="B1063" t="str">
        <f>"601989"</f>
        <v>601989</v>
      </c>
      <c r="C1063" t="s">
        <v>2385</v>
      </c>
      <c r="D1063" t="s">
        <v>167</v>
      </c>
      <c r="F1063">
        <v>8107585642</v>
      </c>
      <c r="G1063">
        <v>7358374916</v>
      </c>
      <c r="H1063">
        <v>8611115372</v>
      </c>
      <c r="I1063">
        <v>9617362497</v>
      </c>
      <c r="J1063">
        <v>9945771946</v>
      </c>
      <c r="K1063">
        <v>10904108631</v>
      </c>
      <c r="L1063">
        <v>19420314982</v>
      </c>
      <c r="M1063">
        <v>19224528723</v>
      </c>
      <c r="N1063">
        <v>21877138178</v>
      </c>
      <c r="O1063">
        <v>22894930820</v>
      </c>
      <c r="P1063">
        <v>669</v>
      </c>
      <c r="Q1063" t="s">
        <v>2386</v>
      </c>
    </row>
    <row r="1064" spans="1:17" x14ac:dyDescent="0.3">
      <c r="A1064" t="s">
        <v>17</v>
      </c>
      <c r="B1064" t="str">
        <f>"601990"</f>
        <v>601990</v>
      </c>
      <c r="C1064" t="s">
        <v>2387</v>
      </c>
      <c r="D1064" t="s">
        <v>80</v>
      </c>
      <c r="F1064">
        <v>3869186</v>
      </c>
      <c r="G1064">
        <v>3472545</v>
      </c>
      <c r="H1064">
        <v>6469457</v>
      </c>
      <c r="I1064">
        <v>7553630</v>
      </c>
      <c r="J1064">
        <v>0</v>
      </c>
      <c r="K1064">
        <v>0</v>
      </c>
      <c r="L1064">
        <v>0</v>
      </c>
      <c r="M1064">
        <v>4333200</v>
      </c>
      <c r="N1064">
        <v>1698800</v>
      </c>
      <c r="O1064">
        <v>0</v>
      </c>
      <c r="P1064">
        <v>722</v>
      </c>
      <c r="Q1064" t="s">
        <v>2388</v>
      </c>
    </row>
    <row r="1065" spans="1:17" x14ac:dyDescent="0.3">
      <c r="A1065" t="s">
        <v>17</v>
      </c>
      <c r="B1065" t="str">
        <f>"601991"</f>
        <v>601991</v>
      </c>
      <c r="C1065" t="s">
        <v>2389</v>
      </c>
      <c r="D1065" t="s">
        <v>41</v>
      </c>
      <c r="F1065">
        <v>18359505000</v>
      </c>
      <c r="G1065">
        <v>15147362000</v>
      </c>
      <c r="H1065">
        <v>14784914000</v>
      </c>
      <c r="I1065">
        <v>12722331000</v>
      </c>
      <c r="J1065">
        <v>9144621000</v>
      </c>
      <c r="K1065">
        <v>7505910000</v>
      </c>
      <c r="L1065">
        <v>7343067000</v>
      </c>
      <c r="M1065">
        <v>9500035000</v>
      </c>
      <c r="N1065">
        <v>9808857000</v>
      </c>
      <c r="O1065">
        <v>9893044000</v>
      </c>
      <c r="P1065">
        <v>283</v>
      </c>
      <c r="Q1065" t="s">
        <v>2390</v>
      </c>
    </row>
    <row r="1066" spans="1:17" x14ac:dyDescent="0.3">
      <c r="A1066" t="s">
        <v>17</v>
      </c>
      <c r="B1066" t="str">
        <f>"601992"</f>
        <v>601992</v>
      </c>
      <c r="C1066" t="s">
        <v>2391</v>
      </c>
      <c r="D1066" t="s">
        <v>731</v>
      </c>
      <c r="F1066">
        <v>7523927513</v>
      </c>
      <c r="G1066">
        <v>7658458757</v>
      </c>
      <c r="H1066">
        <v>8001473533</v>
      </c>
      <c r="I1066">
        <v>7440085451</v>
      </c>
      <c r="J1066">
        <v>7686182059</v>
      </c>
      <c r="K1066">
        <v>8889912604</v>
      </c>
      <c r="L1066">
        <v>6882068509</v>
      </c>
      <c r="M1066">
        <v>5404832534</v>
      </c>
      <c r="N1066">
        <v>5005865495</v>
      </c>
      <c r="O1066">
        <v>3991796374</v>
      </c>
      <c r="P1066">
        <v>368</v>
      </c>
      <c r="Q1066" t="s">
        <v>2392</v>
      </c>
    </row>
    <row r="1067" spans="1:17" x14ac:dyDescent="0.3">
      <c r="A1067" t="s">
        <v>17</v>
      </c>
      <c r="B1067" t="str">
        <f>"601995"</f>
        <v>601995</v>
      </c>
      <c r="C1067" t="s">
        <v>2393</v>
      </c>
      <c r="D1067" t="s">
        <v>80</v>
      </c>
      <c r="F1067">
        <v>45742880588</v>
      </c>
      <c r="G1067">
        <v>43493774685</v>
      </c>
      <c r="H1067">
        <v>17876559376</v>
      </c>
      <c r="I1067">
        <v>11368761807</v>
      </c>
      <c r="J1067">
        <v>9011203499</v>
      </c>
      <c r="K1067">
        <v>6581290461</v>
      </c>
      <c r="L1067">
        <v>6673871943</v>
      </c>
      <c r="M1067">
        <v>8335721064</v>
      </c>
      <c r="N1067">
        <v>3443547911</v>
      </c>
      <c r="O1067">
        <v>0</v>
      </c>
      <c r="P1067">
        <v>986</v>
      </c>
      <c r="Q1067" t="s">
        <v>2394</v>
      </c>
    </row>
    <row r="1068" spans="1:17" x14ac:dyDescent="0.3">
      <c r="A1068" t="s">
        <v>17</v>
      </c>
      <c r="B1068" t="str">
        <f>"601996"</f>
        <v>601996</v>
      </c>
      <c r="C1068" t="s">
        <v>2395</v>
      </c>
      <c r="D1068" t="s">
        <v>178</v>
      </c>
      <c r="F1068">
        <v>232400697</v>
      </c>
      <c r="G1068">
        <v>271350129</v>
      </c>
      <c r="H1068">
        <v>204024384</v>
      </c>
      <c r="I1068">
        <v>186792704</v>
      </c>
      <c r="J1068">
        <v>92649583</v>
      </c>
      <c r="K1068">
        <v>114752003</v>
      </c>
      <c r="L1068">
        <v>128395255</v>
      </c>
      <c r="M1068">
        <v>128299278</v>
      </c>
      <c r="N1068">
        <v>76584045</v>
      </c>
      <c r="O1068">
        <v>26024655</v>
      </c>
      <c r="P1068">
        <v>143</v>
      </c>
      <c r="Q1068" t="s">
        <v>2396</v>
      </c>
    </row>
    <row r="1069" spans="1:17" x14ac:dyDescent="0.3">
      <c r="A1069" t="s">
        <v>17</v>
      </c>
      <c r="B1069" t="str">
        <f>"601997"</f>
        <v>601997</v>
      </c>
      <c r="C1069" t="s">
        <v>2397</v>
      </c>
      <c r="D1069" t="s">
        <v>1842</v>
      </c>
      <c r="P1069">
        <v>2050</v>
      </c>
      <c r="Q1069" t="s">
        <v>2398</v>
      </c>
    </row>
    <row r="1070" spans="1:17" x14ac:dyDescent="0.3">
      <c r="A1070" t="s">
        <v>17</v>
      </c>
      <c r="B1070" t="str">
        <f>"601998"</f>
        <v>601998</v>
      </c>
      <c r="C1070" t="s">
        <v>2399</v>
      </c>
      <c r="D1070" t="s">
        <v>19</v>
      </c>
      <c r="P1070">
        <v>1903</v>
      </c>
      <c r="Q1070" t="s">
        <v>2400</v>
      </c>
    </row>
    <row r="1071" spans="1:17" x14ac:dyDescent="0.3">
      <c r="A1071" t="s">
        <v>17</v>
      </c>
      <c r="B1071" t="str">
        <f>"601999"</f>
        <v>601999</v>
      </c>
      <c r="C1071" t="s">
        <v>2401</v>
      </c>
      <c r="D1071" t="s">
        <v>525</v>
      </c>
      <c r="F1071">
        <v>381444021</v>
      </c>
      <c r="G1071">
        <v>408707999</v>
      </c>
      <c r="H1071">
        <v>410887890</v>
      </c>
      <c r="I1071">
        <v>358445974</v>
      </c>
      <c r="J1071">
        <v>264224489</v>
      </c>
      <c r="K1071">
        <v>386393206</v>
      </c>
      <c r="L1071">
        <v>282193173</v>
      </c>
      <c r="M1071">
        <v>235202093</v>
      </c>
      <c r="N1071">
        <v>370034722</v>
      </c>
      <c r="O1071">
        <v>264190903</v>
      </c>
      <c r="P1071">
        <v>82</v>
      </c>
      <c r="Q1071" t="s">
        <v>2402</v>
      </c>
    </row>
    <row r="1072" spans="1:17" x14ac:dyDescent="0.3">
      <c r="A1072" t="s">
        <v>17</v>
      </c>
      <c r="B1072" t="str">
        <f>"603000"</f>
        <v>603000</v>
      </c>
      <c r="C1072" t="s">
        <v>2403</v>
      </c>
      <c r="D1072" t="s">
        <v>522</v>
      </c>
      <c r="F1072">
        <v>452765296</v>
      </c>
      <c r="G1072">
        <v>537047240</v>
      </c>
      <c r="H1072">
        <v>534554723</v>
      </c>
      <c r="I1072">
        <v>491942034</v>
      </c>
      <c r="J1072">
        <v>405470846</v>
      </c>
      <c r="K1072">
        <v>479164019</v>
      </c>
      <c r="L1072">
        <v>526665651</v>
      </c>
      <c r="M1072">
        <v>441624435</v>
      </c>
      <c r="N1072">
        <v>308891261</v>
      </c>
      <c r="O1072">
        <v>242618328</v>
      </c>
      <c r="P1072">
        <v>323</v>
      </c>
      <c r="Q1072" t="s">
        <v>2404</v>
      </c>
    </row>
    <row r="1073" spans="1:17" x14ac:dyDescent="0.3">
      <c r="A1073" t="s">
        <v>17</v>
      </c>
      <c r="B1073" t="str">
        <f>"603001"</f>
        <v>603001</v>
      </c>
      <c r="C1073" t="s">
        <v>2405</v>
      </c>
      <c r="D1073" t="s">
        <v>330</v>
      </c>
      <c r="F1073">
        <v>998253980</v>
      </c>
      <c r="G1073">
        <v>994217322</v>
      </c>
      <c r="H1073">
        <v>1089009249</v>
      </c>
      <c r="I1073">
        <v>1180803015</v>
      </c>
      <c r="J1073">
        <v>1067742388</v>
      </c>
      <c r="K1073">
        <v>807927599</v>
      </c>
      <c r="L1073">
        <v>790905990</v>
      </c>
      <c r="M1073">
        <v>1105114935</v>
      </c>
      <c r="N1073">
        <v>1032727974</v>
      </c>
      <c r="O1073">
        <v>1299593888</v>
      </c>
      <c r="P1073">
        <v>148</v>
      </c>
      <c r="Q1073" t="s">
        <v>2406</v>
      </c>
    </row>
    <row r="1074" spans="1:17" x14ac:dyDescent="0.3">
      <c r="A1074" t="s">
        <v>17</v>
      </c>
      <c r="B1074" t="str">
        <f>"603002"</f>
        <v>603002</v>
      </c>
      <c r="C1074" t="s">
        <v>2407</v>
      </c>
      <c r="D1074" t="s">
        <v>2408</v>
      </c>
      <c r="F1074">
        <v>1223395705</v>
      </c>
      <c r="G1074">
        <v>833098935</v>
      </c>
      <c r="H1074">
        <v>422201959</v>
      </c>
      <c r="I1074">
        <v>409106419</v>
      </c>
      <c r="J1074">
        <v>390165954</v>
      </c>
      <c r="K1074">
        <v>271981030</v>
      </c>
      <c r="L1074">
        <v>318496968</v>
      </c>
      <c r="M1074">
        <v>333544671</v>
      </c>
      <c r="N1074">
        <v>313734975</v>
      </c>
      <c r="O1074">
        <v>284465016</v>
      </c>
      <c r="P1074">
        <v>117</v>
      </c>
      <c r="Q1074" t="s">
        <v>2409</v>
      </c>
    </row>
    <row r="1075" spans="1:17" x14ac:dyDescent="0.3">
      <c r="A1075" t="s">
        <v>17</v>
      </c>
      <c r="B1075" t="str">
        <f>"603003"</f>
        <v>603003</v>
      </c>
      <c r="C1075" t="s">
        <v>2410</v>
      </c>
      <c r="D1075" t="s">
        <v>316</v>
      </c>
      <c r="F1075">
        <v>717531312</v>
      </c>
      <c r="G1075">
        <v>560753756</v>
      </c>
      <c r="H1075">
        <v>1230093916</v>
      </c>
      <c r="I1075">
        <v>599546876</v>
      </c>
      <c r="J1075">
        <v>962236892</v>
      </c>
      <c r="K1075">
        <v>681487825</v>
      </c>
      <c r="L1075">
        <v>1221743214</v>
      </c>
      <c r="M1075">
        <v>216480158</v>
      </c>
      <c r="N1075">
        <v>314661647</v>
      </c>
      <c r="O1075">
        <v>364431370</v>
      </c>
      <c r="P1075">
        <v>88</v>
      </c>
      <c r="Q1075" t="s">
        <v>2411</v>
      </c>
    </row>
    <row r="1076" spans="1:17" x14ac:dyDescent="0.3">
      <c r="A1076" t="s">
        <v>17</v>
      </c>
      <c r="B1076" t="str">
        <f>"603005"</f>
        <v>603005</v>
      </c>
      <c r="C1076" t="s">
        <v>2412</v>
      </c>
      <c r="D1076" t="s">
        <v>1180</v>
      </c>
      <c r="F1076">
        <v>100872643</v>
      </c>
      <c r="G1076">
        <v>123623017</v>
      </c>
      <c r="H1076">
        <v>103098571</v>
      </c>
      <c r="I1076">
        <v>68616984</v>
      </c>
      <c r="J1076">
        <v>87983856</v>
      </c>
      <c r="K1076">
        <v>110198626</v>
      </c>
      <c r="L1076">
        <v>51905550</v>
      </c>
      <c r="M1076">
        <v>93097014</v>
      </c>
      <c r="N1076">
        <v>53071822</v>
      </c>
      <c r="O1076">
        <v>41363427</v>
      </c>
      <c r="P1076">
        <v>3661</v>
      </c>
      <c r="Q1076" t="s">
        <v>2413</v>
      </c>
    </row>
    <row r="1077" spans="1:17" x14ac:dyDescent="0.3">
      <c r="A1077" t="s">
        <v>17</v>
      </c>
      <c r="B1077" t="str">
        <f>"603006"</f>
        <v>603006</v>
      </c>
      <c r="C1077" t="s">
        <v>2414</v>
      </c>
      <c r="D1077" t="s">
        <v>985</v>
      </c>
      <c r="F1077">
        <v>345534286</v>
      </c>
      <c r="G1077">
        <v>240731769</v>
      </c>
      <c r="H1077">
        <v>234095438</v>
      </c>
      <c r="I1077">
        <v>297391462</v>
      </c>
      <c r="J1077">
        <v>266401304</v>
      </c>
      <c r="K1077">
        <v>169675193</v>
      </c>
      <c r="L1077">
        <v>160517976</v>
      </c>
      <c r="M1077">
        <v>80659896</v>
      </c>
      <c r="N1077">
        <v>65186277</v>
      </c>
      <c r="O1077">
        <v>35994991</v>
      </c>
      <c r="P1077">
        <v>106</v>
      </c>
      <c r="Q1077" t="s">
        <v>2415</v>
      </c>
    </row>
    <row r="1078" spans="1:17" x14ac:dyDescent="0.3">
      <c r="A1078" t="s">
        <v>17</v>
      </c>
      <c r="B1078" t="str">
        <f>"603007"</f>
        <v>603007</v>
      </c>
      <c r="C1078" t="s">
        <v>2416</v>
      </c>
      <c r="D1078" t="s">
        <v>2417</v>
      </c>
      <c r="F1078">
        <v>312671933</v>
      </c>
      <c r="G1078">
        <v>488488949</v>
      </c>
      <c r="H1078">
        <v>441673577</v>
      </c>
      <c r="I1078">
        <v>421311062</v>
      </c>
      <c r="J1078">
        <v>299378567</v>
      </c>
      <c r="K1078">
        <v>177940878</v>
      </c>
      <c r="L1078">
        <v>154030447</v>
      </c>
      <c r="M1078">
        <v>165553975</v>
      </c>
      <c r="N1078">
        <v>123536447</v>
      </c>
      <c r="P1078">
        <v>81</v>
      </c>
      <c r="Q1078" t="s">
        <v>2418</v>
      </c>
    </row>
    <row r="1079" spans="1:17" x14ac:dyDescent="0.3">
      <c r="A1079" t="s">
        <v>17</v>
      </c>
      <c r="B1079" t="str">
        <f>"603008"</f>
        <v>603008</v>
      </c>
      <c r="C1079" t="s">
        <v>2419</v>
      </c>
      <c r="D1079" t="s">
        <v>757</v>
      </c>
      <c r="F1079">
        <v>1205823067</v>
      </c>
      <c r="G1079">
        <v>745372946</v>
      </c>
      <c r="H1079">
        <v>1152295669</v>
      </c>
      <c r="I1079">
        <v>1179337140</v>
      </c>
      <c r="J1079">
        <v>1031909628</v>
      </c>
      <c r="K1079">
        <v>682775539</v>
      </c>
      <c r="L1079">
        <v>528854973</v>
      </c>
      <c r="M1079">
        <v>312278867</v>
      </c>
      <c r="N1079">
        <v>242965108</v>
      </c>
      <c r="O1079">
        <v>206058000</v>
      </c>
      <c r="P1079">
        <v>300</v>
      </c>
      <c r="Q1079" t="s">
        <v>2420</v>
      </c>
    </row>
    <row r="1080" spans="1:17" x14ac:dyDescent="0.3">
      <c r="A1080" t="s">
        <v>17</v>
      </c>
      <c r="B1080" t="str">
        <f>"603009"</f>
        <v>603009</v>
      </c>
      <c r="C1080" t="s">
        <v>2421</v>
      </c>
      <c r="D1080" t="s">
        <v>348</v>
      </c>
      <c r="F1080">
        <v>493003710</v>
      </c>
      <c r="G1080">
        <v>503611427</v>
      </c>
      <c r="H1080">
        <v>382356421</v>
      </c>
      <c r="I1080">
        <v>446276750</v>
      </c>
      <c r="J1080">
        <v>239758532</v>
      </c>
      <c r="K1080">
        <v>201449513</v>
      </c>
      <c r="L1080">
        <v>189215417</v>
      </c>
      <c r="M1080">
        <v>143234058</v>
      </c>
      <c r="N1080">
        <v>115767305</v>
      </c>
      <c r="O1080">
        <v>84654319</v>
      </c>
      <c r="P1080">
        <v>84</v>
      </c>
      <c r="Q1080" t="s">
        <v>2422</v>
      </c>
    </row>
    <row r="1081" spans="1:17" x14ac:dyDescent="0.3">
      <c r="A1081" t="s">
        <v>17</v>
      </c>
      <c r="B1081" t="str">
        <f>"603010"</f>
        <v>603010</v>
      </c>
      <c r="C1081" t="s">
        <v>2423</v>
      </c>
      <c r="D1081" t="s">
        <v>1192</v>
      </c>
      <c r="F1081">
        <v>573928514</v>
      </c>
      <c r="G1081">
        <v>374216307</v>
      </c>
      <c r="H1081">
        <v>254829797</v>
      </c>
      <c r="I1081">
        <v>318322714</v>
      </c>
      <c r="J1081">
        <v>188166819</v>
      </c>
      <c r="K1081">
        <v>176722348</v>
      </c>
      <c r="L1081">
        <v>142681735</v>
      </c>
      <c r="M1081">
        <v>117481636</v>
      </c>
      <c r="N1081">
        <v>95290561</v>
      </c>
      <c r="O1081">
        <v>75039319</v>
      </c>
      <c r="P1081">
        <v>279</v>
      </c>
      <c r="Q1081" t="s">
        <v>2424</v>
      </c>
    </row>
    <row r="1082" spans="1:17" x14ac:dyDescent="0.3">
      <c r="A1082" t="s">
        <v>17</v>
      </c>
      <c r="B1082" t="str">
        <f>"603011"</f>
        <v>603011</v>
      </c>
      <c r="C1082" t="s">
        <v>2425</v>
      </c>
      <c r="D1082" t="s">
        <v>741</v>
      </c>
      <c r="F1082">
        <v>473436021</v>
      </c>
      <c r="G1082">
        <v>385533866</v>
      </c>
      <c r="H1082">
        <v>415619928</v>
      </c>
      <c r="I1082">
        <v>424910910</v>
      </c>
      <c r="J1082">
        <v>356014544</v>
      </c>
      <c r="K1082">
        <v>295781596</v>
      </c>
      <c r="L1082">
        <v>201773227</v>
      </c>
      <c r="M1082">
        <v>204160114</v>
      </c>
      <c r="N1082">
        <v>166757298</v>
      </c>
      <c r="O1082">
        <v>129566371</v>
      </c>
      <c r="P1082">
        <v>82</v>
      </c>
      <c r="Q1082" t="s">
        <v>2426</v>
      </c>
    </row>
    <row r="1083" spans="1:17" x14ac:dyDescent="0.3">
      <c r="A1083" t="s">
        <v>17</v>
      </c>
      <c r="B1083" t="str">
        <f>"603012"</f>
        <v>603012</v>
      </c>
      <c r="C1083" t="s">
        <v>2427</v>
      </c>
      <c r="D1083" t="s">
        <v>395</v>
      </c>
      <c r="F1083">
        <v>1890069890</v>
      </c>
      <c r="G1083">
        <v>1584762123</v>
      </c>
      <c r="H1083">
        <v>1504446454</v>
      </c>
      <c r="I1083">
        <v>1161781247</v>
      </c>
      <c r="J1083">
        <v>1175499087</v>
      </c>
      <c r="K1083">
        <v>1295132053</v>
      </c>
      <c r="L1083">
        <v>1284723656</v>
      </c>
      <c r="M1083">
        <v>926656665</v>
      </c>
      <c r="N1083">
        <v>883110529</v>
      </c>
      <c r="O1083">
        <v>753302999</v>
      </c>
      <c r="P1083">
        <v>135</v>
      </c>
      <c r="Q1083" t="s">
        <v>2428</v>
      </c>
    </row>
    <row r="1084" spans="1:17" x14ac:dyDescent="0.3">
      <c r="A1084" t="s">
        <v>17</v>
      </c>
      <c r="B1084" t="str">
        <f>"603013"</f>
        <v>603013</v>
      </c>
      <c r="C1084" t="s">
        <v>2429</v>
      </c>
      <c r="D1084" t="s">
        <v>348</v>
      </c>
      <c r="F1084">
        <v>1002057064</v>
      </c>
      <c r="G1084">
        <v>1266084564</v>
      </c>
      <c r="H1084">
        <v>1424807734</v>
      </c>
      <c r="I1084">
        <v>1160185558</v>
      </c>
      <c r="J1084">
        <v>1243217436</v>
      </c>
      <c r="K1084">
        <v>990572410</v>
      </c>
      <c r="L1084">
        <v>845779747</v>
      </c>
      <c r="P1084">
        <v>236</v>
      </c>
      <c r="Q1084" t="s">
        <v>2430</v>
      </c>
    </row>
    <row r="1085" spans="1:17" x14ac:dyDescent="0.3">
      <c r="A1085" t="s">
        <v>17</v>
      </c>
      <c r="B1085" t="str">
        <f>"603015"</f>
        <v>603015</v>
      </c>
      <c r="C1085" t="s">
        <v>2431</v>
      </c>
      <c r="D1085" t="s">
        <v>2432</v>
      </c>
      <c r="F1085">
        <v>213940808</v>
      </c>
      <c r="G1085">
        <v>242743913</v>
      </c>
      <c r="H1085">
        <v>183371354</v>
      </c>
      <c r="I1085">
        <v>195637556</v>
      </c>
      <c r="J1085">
        <v>237019526</v>
      </c>
      <c r="K1085">
        <v>214690323</v>
      </c>
      <c r="L1085">
        <v>130589839</v>
      </c>
      <c r="M1085">
        <v>122784063</v>
      </c>
      <c r="N1085">
        <v>106187616</v>
      </c>
      <c r="O1085">
        <v>77602477</v>
      </c>
      <c r="P1085">
        <v>91</v>
      </c>
      <c r="Q1085" t="s">
        <v>2433</v>
      </c>
    </row>
    <row r="1086" spans="1:17" x14ac:dyDescent="0.3">
      <c r="A1086" t="s">
        <v>17</v>
      </c>
      <c r="B1086" t="str">
        <f>"603016"</f>
        <v>603016</v>
      </c>
      <c r="C1086" t="s">
        <v>2434</v>
      </c>
      <c r="D1086" t="s">
        <v>657</v>
      </c>
      <c r="F1086">
        <v>131583046</v>
      </c>
      <c r="G1086">
        <v>113098430</v>
      </c>
      <c r="H1086">
        <v>103391887</v>
      </c>
      <c r="I1086">
        <v>99416585</v>
      </c>
      <c r="J1086">
        <v>87455937</v>
      </c>
      <c r="K1086">
        <v>90065023</v>
      </c>
      <c r="L1086">
        <v>90692378</v>
      </c>
      <c r="M1086">
        <v>88242477</v>
      </c>
      <c r="N1086">
        <v>85548611</v>
      </c>
      <c r="P1086">
        <v>93</v>
      </c>
      <c r="Q1086" t="s">
        <v>2435</v>
      </c>
    </row>
    <row r="1087" spans="1:17" x14ac:dyDescent="0.3">
      <c r="A1087" t="s">
        <v>17</v>
      </c>
      <c r="B1087" t="str">
        <f>"603017"</f>
        <v>603017</v>
      </c>
      <c r="C1087" t="s">
        <v>2436</v>
      </c>
      <c r="D1087" t="s">
        <v>1272</v>
      </c>
      <c r="F1087">
        <v>826515746</v>
      </c>
      <c r="G1087">
        <v>1019732076</v>
      </c>
      <c r="H1087">
        <v>741347559</v>
      </c>
      <c r="I1087">
        <v>858421385</v>
      </c>
      <c r="J1087">
        <v>641795595</v>
      </c>
      <c r="K1087">
        <v>460119730</v>
      </c>
      <c r="L1087">
        <v>319781053</v>
      </c>
      <c r="M1087">
        <v>93229561</v>
      </c>
      <c r="N1087">
        <v>168650435</v>
      </c>
      <c r="O1087">
        <v>81219673</v>
      </c>
      <c r="P1087">
        <v>121</v>
      </c>
      <c r="Q1087" t="s">
        <v>2437</v>
      </c>
    </row>
    <row r="1088" spans="1:17" x14ac:dyDescent="0.3">
      <c r="A1088" t="s">
        <v>17</v>
      </c>
      <c r="B1088" t="str">
        <f>"603018"</f>
        <v>603018</v>
      </c>
      <c r="C1088" t="s">
        <v>2438</v>
      </c>
      <c r="D1088" t="s">
        <v>1272</v>
      </c>
      <c r="F1088">
        <v>3792865541</v>
      </c>
      <c r="G1088">
        <v>2970392946</v>
      </c>
      <c r="H1088">
        <v>4533139284</v>
      </c>
      <c r="I1088">
        <v>3590821084</v>
      </c>
      <c r="J1088">
        <v>2498258188</v>
      </c>
      <c r="K1088">
        <v>2026618596</v>
      </c>
      <c r="L1088">
        <v>1704262329</v>
      </c>
      <c r="M1088">
        <v>1381710419</v>
      </c>
      <c r="N1088">
        <v>1191025648</v>
      </c>
      <c r="O1088">
        <v>960097471</v>
      </c>
      <c r="P1088">
        <v>400</v>
      </c>
      <c r="Q1088" t="s">
        <v>2439</v>
      </c>
    </row>
    <row r="1089" spans="1:17" x14ac:dyDescent="0.3">
      <c r="A1089" t="s">
        <v>17</v>
      </c>
      <c r="B1089" t="str">
        <f>"603019"</f>
        <v>603019</v>
      </c>
      <c r="C1089" t="s">
        <v>2440</v>
      </c>
      <c r="D1089" t="s">
        <v>236</v>
      </c>
      <c r="F1089">
        <v>2235923753</v>
      </c>
      <c r="G1089">
        <v>2096655974</v>
      </c>
      <c r="H1089">
        <v>1821283958</v>
      </c>
      <c r="I1089">
        <v>2530329127</v>
      </c>
      <c r="J1089">
        <v>2051406367</v>
      </c>
      <c r="K1089">
        <v>1369381780</v>
      </c>
      <c r="L1089">
        <v>1188081794</v>
      </c>
      <c r="M1089">
        <v>570663475</v>
      </c>
      <c r="N1089">
        <v>327907395</v>
      </c>
      <c r="O1089">
        <v>219127159</v>
      </c>
      <c r="P1089">
        <v>1206</v>
      </c>
      <c r="Q1089" t="s">
        <v>2441</v>
      </c>
    </row>
    <row r="1090" spans="1:17" x14ac:dyDescent="0.3">
      <c r="A1090" t="s">
        <v>17</v>
      </c>
      <c r="B1090" t="str">
        <f>"603020"</f>
        <v>603020</v>
      </c>
      <c r="C1090" t="s">
        <v>2442</v>
      </c>
      <c r="D1090" t="s">
        <v>677</v>
      </c>
      <c r="F1090">
        <v>563539030</v>
      </c>
      <c r="G1090">
        <v>472899156</v>
      </c>
      <c r="H1090">
        <v>410188443</v>
      </c>
      <c r="I1090">
        <v>440747034</v>
      </c>
      <c r="J1090">
        <v>320136635</v>
      </c>
      <c r="K1090">
        <v>246051822</v>
      </c>
      <c r="L1090">
        <v>203101961</v>
      </c>
      <c r="M1090">
        <v>201090126</v>
      </c>
      <c r="N1090">
        <v>191289702</v>
      </c>
      <c r="O1090">
        <v>181611885</v>
      </c>
      <c r="P1090">
        <v>195</v>
      </c>
      <c r="Q1090" t="s">
        <v>2443</v>
      </c>
    </row>
    <row r="1091" spans="1:17" x14ac:dyDescent="0.3">
      <c r="A1091" t="s">
        <v>17</v>
      </c>
      <c r="B1091" t="str">
        <f>"603021"</f>
        <v>603021</v>
      </c>
      <c r="C1091" t="s">
        <v>2444</v>
      </c>
      <c r="D1091" t="s">
        <v>2445</v>
      </c>
      <c r="F1091">
        <v>593013125</v>
      </c>
      <c r="G1091">
        <v>565847626</v>
      </c>
      <c r="H1091">
        <v>261073886</v>
      </c>
      <c r="I1091">
        <v>209317254</v>
      </c>
      <c r="J1091">
        <v>237890240</v>
      </c>
      <c r="K1091">
        <v>235381447</v>
      </c>
      <c r="L1091">
        <v>159150898</v>
      </c>
      <c r="M1091">
        <v>145084477</v>
      </c>
      <c r="N1091">
        <v>147828630</v>
      </c>
      <c r="O1091">
        <v>160888392</v>
      </c>
      <c r="P1091">
        <v>59</v>
      </c>
      <c r="Q1091" t="s">
        <v>2446</v>
      </c>
    </row>
    <row r="1092" spans="1:17" x14ac:dyDescent="0.3">
      <c r="A1092" t="s">
        <v>17</v>
      </c>
      <c r="B1092" t="str">
        <f>"603022"</f>
        <v>603022</v>
      </c>
      <c r="C1092" t="s">
        <v>2447</v>
      </c>
      <c r="D1092" t="s">
        <v>2448</v>
      </c>
      <c r="F1092">
        <v>209102486</v>
      </c>
      <c r="G1092">
        <v>203283181</v>
      </c>
      <c r="H1092">
        <v>174317636</v>
      </c>
      <c r="I1092">
        <v>172277872</v>
      </c>
      <c r="J1092">
        <v>167373637</v>
      </c>
      <c r="K1092">
        <v>110928755</v>
      </c>
      <c r="L1092">
        <v>102460978</v>
      </c>
      <c r="M1092">
        <v>115372559</v>
      </c>
      <c r="N1092">
        <v>97811704</v>
      </c>
      <c r="O1092">
        <v>81513772</v>
      </c>
      <c r="P1092">
        <v>51</v>
      </c>
      <c r="Q1092" t="s">
        <v>2449</v>
      </c>
    </row>
    <row r="1093" spans="1:17" x14ac:dyDescent="0.3">
      <c r="A1093" t="s">
        <v>17</v>
      </c>
      <c r="B1093" t="str">
        <f>"603023"</f>
        <v>603023</v>
      </c>
      <c r="C1093" t="s">
        <v>2450</v>
      </c>
      <c r="D1093" t="s">
        <v>1415</v>
      </c>
      <c r="F1093">
        <v>43665003</v>
      </c>
      <c r="G1093">
        <v>42057185</v>
      </c>
      <c r="H1093">
        <v>55983557</v>
      </c>
      <c r="I1093">
        <v>84358194</v>
      </c>
      <c r="J1093">
        <v>119171635</v>
      </c>
      <c r="K1093">
        <v>85879200</v>
      </c>
      <c r="L1093">
        <v>78331942</v>
      </c>
      <c r="M1093">
        <v>58847290</v>
      </c>
      <c r="N1093">
        <v>48658967</v>
      </c>
      <c r="O1093">
        <v>46918044</v>
      </c>
      <c r="P1093">
        <v>150</v>
      </c>
      <c r="Q1093" t="s">
        <v>2451</v>
      </c>
    </row>
    <row r="1094" spans="1:17" x14ac:dyDescent="0.3">
      <c r="A1094" t="s">
        <v>17</v>
      </c>
      <c r="B1094" t="str">
        <f>"603025"</f>
        <v>603025</v>
      </c>
      <c r="C1094" t="s">
        <v>2452</v>
      </c>
      <c r="D1094" t="s">
        <v>2432</v>
      </c>
      <c r="F1094">
        <v>263662890</v>
      </c>
      <c r="G1094">
        <v>270834663</v>
      </c>
      <c r="H1094">
        <v>192398549</v>
      </c>
      <c r="I1094">
        <v>147183324</v>
      </c>
      <c r="J1094">
        <v>111140367</v>
      </c>
      <c r="K1094">
        <v>83922179</v>
      </c>
      <c r="L1094">
        <v>93385819</v>
      </c>
      <c r="M1094">
        <v>98001839</v>
      </c>
      <c r="N1094">
        <v>109148093</v>
      </c>
      <c r="O1094">
        <v>162098071</v>
      </c>
      <c r="P1094">
        <v>434</v>
      </c>
      <c r="Q1094" t="s">
        <v>2453</v>
      </c>
    </row>
    <row r="1095" spans="1:17" x14ac:dyDescent="0.3">
      <c r="A1095" t="s">
        <v>17</v>
      </c>
      <c r="B1095" t="str">
        <f>"603026"</f>
        <v>603026</v>
      </c>
      <c r="C1095" t="s">
        <v>2454</v>
      </c>
      <c r="D1095" t="s">
        <v>1790</v>
      </c>
      <c r="F1095">
        <v>794036082</v>
      </c>
      <c r="G1095">
        <v>456828876</v>
      </c>
      <c r="H1095">
        <v>334537019</v>
      </c>
      <c r="I1095">
        <v>337176965</v>
      </c>
      <c r="J1095">
        <v>276225045</v>
      </c>
      <c r="K1095">
        <v>147901965</v>
      </c>
      <c r="L1095">
        <v>134125811</v>
      </c>
      <c r="M1095">
        <v>153665853</v>
      </c>
      <c r="N1095">
        <v>111240707</v>
      </c>
      <c r="O1095">
        <v>82655057</v>
      </c>
      <c r="P1095">
        <v>420</v>
      </c>
      <c r="Q1095" t="s">
        <v>2455</v>
      </c>
    </row>
    <row r="1096" spans="1:17" x14ac:dyDescent="0.3">
      <c r="A1096" t="s">
        <v>17</v>
      </c>
      <c r="B1096" t="str">
        <f>"603027"</f>
        <v>603027</v>
      </c>
      <c r="C1096" t="s">
        <v>2456</v>
      </c>
      <c r="D1096" t="s">
        <v>433</v>
      </c>
      <c r="F1096">
        <v>145413090</v>
      </c>
      <c r="G1096">
        <v>124069455</v>
      </c>
      <c r="H1096">
        <v>164111299</v>
      </c>
      <c r="I1096">
        <v>84368921</v>
      </c>
      <c r="J1096">
        <v>67322393</v>
      </c>
      <c r="K1096">
        <v>56458090</v>
      </c>
      <c r="L1096">
        <v>35316036</v>
      </c>
      <c r="M1096">
        <v>36635773</v>
      </c>
      <c r="N1096">
        <v>38454159</v>
      </c>
      <c r="P1096">
        <v>1883</v>
      </c>
      <c r="Q1096" t="s">
        <v>2457</v>
      </c>
    </row>
    <row r="1097" spans="1:17" x14ac:dyDescent="0.3">
      <c r="A1097" t="s">
        <v>17</v>
      </c>
      <c r="B1097" t="str">
        <f>"603028"</f>
        <v>603028</v>
      </c>
      <c r="C1097" t="s">
        <v>2458</v>
      </c>
      <c r="D1097" t="s">
        <v>274</v>
      </c>
      <c r="F1097">
        <v>183319105</v>
      </c>
      <c r="G1097">
        <v>139150802</v>
      </c>
      <c r="H1097">
        <v>95550630</v>
      </c>
      <c r="I1097">
        <v>113908166</v>
      </c>
      <c r="J1097">
        <v>122460709</v>
      </c>
      <c r="K1097">
        <v>104064732</v>
      </c>
      <c r="L1097">
        <v>109761751</v>
      </c>
      <c r="M1097">
        <v>110915830</v>
      </c>
      <c r="N1097">
        <v>94314468</v>
      </c>
      <c r="P1097">
        <v>52</v>
      </c>
      <c r="Q1097" t="s">
        <v>2459</v>
      </c>
    </row>
    <row r="1098" spans="1:17" x14ac:dyDescent="0.3">
      <c r="A1098" t="s">
        <v>17</v>
      </c>
      <c r="B1098" t="str">
        <f>"603029"</f>
        <v>603029</v>
      </c>
      <c r="C1098" t="s">
        <v>2460</v>
      </c>
      <c r="D1098" t="s">
        <v>741</v>
      </c>
      <c r="F1098">
        <v>95620291</v>
      </c>
      <c r="G1098">
        <v>117283335</v>
      </c>
      <c r="H1098">
        <v>240870460</v>
      </c>
      <c r="I1098">
        <v>253278540</v>
      </c>
      <c r="J1098">
        <v>186338422</v>
      </c>
      <c r="K1098">
        <v>166539154</v>
      </c>
      <c r="L1098">
        <v>213956936</v>
      </c>
      <c r="M1098">
        <v>205734409</v>
      </c>
      <c r="N1098">
        <v>225066004</v>
      </c>
      <c r="P1098">
        <v>62</v>
      </c>
      <c r="Q1098" t="s">
        <v>2461</v>
      </c>
    </row>
    <row r="1099" spans="1:17" x14ac:dyDescent="0.3">
      <c r="A1099" t="s">
        <v>17</v>
      </c>
      <c r="B1099" t="str">
        <f>"603030"</f>
        <v>603030</v>
      </c>
      <c r="C1099" t="s">
        <v>2462</v>
      </c>
      <c r="D1099" t="s">
        <v>450</v>
      </c>
      <c r="F1099">
        <v>1939461322</v>
      </c>
      <c r="G1099">
        <v>2245199500</v>
      </c>
      <c r="H1099">
        <v>5175354284</v>
      </c>
      <c r="I1099">
        <v>4385701665</v>
      </c>
      <c r="J1099">
        <v>2538311010</v>
      </c>
      <c r="K1099">
        <v>1855743216</v>
      </c>
      <c r="L1099">
        <v>1176495487</v>
      </c>
      <c r="M1099">
        <v>963331938</v>
      </c>
      <c r="N1099">
        <v>765051860</v>
      </c>
      <c r="O1099">
        <v>624042083</v>
      </c>
      <c r="P1099">
        <v>126</v>
      </c>
      <c r="Q1099" t="s">
        <v>2463</v>
      </c>
    </row>
    <row r="1100" spans="1:17" x14ac:dyDescent="0.3">
      <c r="A1100" t="s">
        <v>17</v>
      </c>
      <c r="B1100" t="str">
        <f>"603031"</f>
        <v>603031</v>
      </c>
      <c r="C1100" t="s">
        <v>2464</v>
      </c>
      <c r="D1100" t="s">
        <v>798</v>
      </c>
      <c r="F1100">
        <v>13214067</v>
      </c>
      <c r="G1100">
        <v>8740965</v>
      </c>
      <c r="H1100">
        <v>7530211</v>
      </c>
      <c r="I1100">
        <v>8007068</v>
      </c>
      <c r="J1100">
        <v>6295759</v>
      </c>
      <c r="K1100">
        <v>3424343</v>
      </c>
      <c r="L1100">
        <v>3484938</v>
      </c>
      <c r="M1100">
        <v>5709726</v>
      </c>
      <c r="N1100">
        <v>4941564</v>
      </c>
      <c r="P1100">
        <v>70</v>
      </c>
      <c r="Q1100" t="s">
        <v>2465</v>
      </c>
    </row>
    <row r="1101" spans="1:17" x14ac:dyDescent="0.3">
      <c r="A1101" t="s">
        <v>17</v>
      </c>
      <c r="B1101" t="str">
        <f>"603032"</f>
        <v>603032</v>
      </c>
      <c r="C1101" t="s">
        <v>2466</v>
      </c>
      <c r="D1101" t="s">
        <v>1133</v>
      </c>
      <c r="F1101">
        <v>180379280</v>
      </c>
      <c r="G1101">
        <v>5430934</v>
      </c>
      <c r="H1101">
        <v>8818310</v>
      </c>
      <c r="I1101">
        <v>6750360</v>
      </c>
      <c r="J1101">
        <v>6412064</v>
      </c>
      <c r="K1101">
        <v>8501775</v>
      </c>
      <c r="L1101">
        <v>11521710</v>
      </c>
      <c r="M1101">
        <v>15226334</v>
      </c>
      <c r="N1101">
        <v>23238744</v>
      </c>
      <c r="P1101">
        <v>73</v>
      </c>
      <c r="Q1101" t="s">
        <v>2467</v>
      </c>
    </row>
    <row r="1102" spans="1:17" x14ac:dyDescent="0.3">
      <c r="A1102" t="s">
        <v>17</v>
      </c>
      <c r="B1102" t="str">
        <f>"603033"</f>
        <v>603033</v>
      </c>
      <c r="C1102" t="s">
        <v>2468</v>
      </c>
      <c r="D1102" t="s">
        <v>2469</v>
      </c>
      <c r="F1102">
        <v>1120084872</v>
      </c>
      <c r="G1102">
        <v>876839159</v>
      </c>
      <c r="H1102">
        <v>835189415</v>
      </c>
      <c r="I1102">
        <v>418125459</v>
      </c>
      <c r="J1102">
        <v>394007050</v>
      </c>
      <c r="K1102">
        <v>352984837</v>
      </c>
      <c r="L1102">
        <v>318677777</v>
      </c>
      <c r="M1102">
        <v>314702226</v>
      </c>
      <c r="N1102">
        <v>265653553</v>
      </c>
      <c r="P1102">
        <v>99</v>
      </c>
      <c r="Q1102" t="s">
        <v>2470</v>
      </c>
    </row>
    <row r="1103" spans="1:17" x14ac:dyDescent="0.3">
      <c r="A1103" t="s">
        <v>17</v>
      </c>
      <c r="B1103" t="str">
        <f>"603035"</f>
        <v>603035</v>
      </c>
      <c r="C1103" t="s">
        <v>2471</v>
      </c>
      <c r="D1103" t="s">
        <v>191</v>
      </c>
      <c r="F1103">
        <v>917091123</v>
      </c>
      <c r="G1103">
        <v>672230259</v>
      </c>
      <c r="H1103">
        <v>647557126</v>
      </c>
      <c r="I1103">
        <v>422899711</v>
      </c>
      <c r="J1103">
        <v>419541881</v>
      </c>
      <c r="K1103">
        <v>475722029</v>
      </c>
      <c r="L1103">
        <v>290369475</v>
      </c>
      <c r="M1103">
        <v>265896488</v>
      </c>
      <c r="N1103">
        <v>220736130</v>
      </c>
      <c r="P1103">
        <v>244</v>
      </c>
      <c r="Q1103" t="s">
        <v>2472</v>
      </c>
    </row>
    <row r="1104" spans="1:17" x14ac:dyDescent="0.3">
      <c r="A1104" t="s">
        <v>17</v>
      </c>
      <c r="B1104" t="str">
        <f>"603036"</f>
        <v>603036</v>
      </c>
      <c r="C1104" t="s">
        <v>2473</v>
      </c>
      <c r="D1104" t="s">
        <v>395</v>
      </c>
      <c r="F1104">
        <v>205366109</v>
      </c>
      <c r="G1104">
        <v>177779186</v>
      </c>
      <c r="H1104">
        <v>169275020</v>
      </c>
      <c r="I1104">
        <v>0</v>
      </c>
      <c r="J1104">
        <v>167564290</v>
      </c>
      <c r="K1104">
        <v>159338186</v>
      </c>
      <c r="L1104">
        <v>125006137</v>
      </c>
      <c r="M1104">
        <v>141860851</v>
      </c>
      <c r="N1104">
        <v>123070991</v>
      </c>
      <c r="P1104">
        <v>61</v>
      </c>
      <c r="Q1104" t="s">
        <v>2474</v>
      </c>
    </row>
    <row r="1105" spans="1:17" x14ac:dyDescent="0.3">
      <c r="A1105" t="s">
        <v>17</v>
      </c>
      <c r="B1105" t="str">
        <f>"603037"</f>
        <v>603037</v>
      </c>
      <c r="C1105" t="s">
        <v>2475</v>
      </c>
      <c r="D1105" t="s">
        <v>348</v>
      </c>
      <c r="F1105">
        <v>166202629</v>
      </c>
      <c r="G1105">
        <v>148745189</v>
      </c>
      <c r="H1105">
        <v>128799853</v>
      </c>
      <c r="I1105">
        <v>141903491</v>
      </c>
      <c r="J1105">
        <v>110571549</v>
      </c>
      <c r="K1105">
        <v>101221075</v>
      </c>
      <c r="L1105">
        <v>73410056</v>
      </c>
      <c r="M1105">
        <v>59618681</v>
      </c>
      <c r="N1105">
        <v>67004050</v>
      </c>
      <c r="P1105">
        <v>230</v>
      </c>
      <c r="Q1105" t="s">
        <v>2476</v>
      </c>
    </row>
    <row r="1106" spans="1:17" x14ac:dyDescent="0.3">
      <c r="A1106" t="s">
        <v>17</v>
      </c>
      <c r="B1106" t="str">
        <f>"603038"</f>
        <v>603038</v>
      </c>
      <c r="C1106" t="s">
        <v>2477</v>
      </c>
      <c r="D1106" t="s">
        <v>722</v>
      </c>
      <c r="F1106">
        <v>110690176</v>
      </c>
      <c r="G1106">
        <v>87662312</v>
      </c>
      <c r="H1106">
        <v>110953359</v>
      </c>
      <c r="I1106">
        <v>130136885</v>
      </c>
      <c r="J1106">
        <v>90021823</v>
      </c>
      <c r="K1106">
        <v>90110595</v>
      </c>
      <c r="L1106">
        <v>71626857</v>
      </c>
      <c r="M1106">
        <v>75871725</v>
      </c>
      <c r="N1106">
        <v>70045045</v>
      </c>
      <c r="P1106">
        <v>70</v>
      </c>
      <c r="Q1106" t="s">
        <v>2478</v>
      </c>
    </row>
    <row r="1107" spans="1:17" x14ac:dyDescent="0.3">
      <c r="A1107" t="s">
        <v>17</v>
      </c>
      <c r="B1107" t="str">
        <f>"603039"</f>
        <v>603039</v>
      </c>
      <c r="C1107" t="s">
        <v>2479</v>
      </c>
      <c r="D1107" t="s">
        <v>1189</v>
      </c>
      <c r="F1107">
        <v>173954904</v>
      </c>
      <c r="G1107">
        <v>102131047</v>
      </c>
      <c r="H1107">
        <v>113987918</v>
      </c>
      <c r="I1107">
        <v>77154704</v>
      </c>
      <c r="J1107">
        <v>46076164</v>
      </c>
      <c r="K1107">
        <v>29148423</v>
      </c>
      <c r="L1107">
        <v>33344250</v>
      </c>
      <c r="M1107">
        <v>32083266</v>
      </c>
      <c r="N1107">
        <v>37142774</v>
      </c>
      <c r="P1107">
        <v>609</v>
      </c>
      <c r="Q1107" t="s">
        <v>2480</v>
      </c>
    </row>
    <row r="1108" spans="1:17" x14ac:dyDescent="0.3">
      <c r="A1108" t="s">
        <v>17</v>
      </c>
      <c r="B1108" t="str">
        <f>"603040"</f>
        <v>603040</v>
      </c>
      <c r="C1108" t="s">
        <v>2481</v>
      </c>
      <c r="D1108" t="s">
        <v>348</v>
      </c>
      <c r="F1108">
        <v>64451475</v>
      </c>
      <c r="G1108">
        <v>71707726</v>
      </c>
      <c r="H1108">
        <v>60920193</v>
      </c>
      <c r="I1108">
        <v>47788476</v>
      </c>
      <c r="J1108">
        <v>48097020</v>
      </c>
      <c r="K1108">
        <v>43118374</v>
      </c>
      <c r="L1108">
        <v>29977730</v>
      </c>
      <c r="M1108">
        <v>26193165</v>
      </c>
      <c r="N1108">
        <v>22453852</v>
      </c>
      <c r="P1108">
        <v>619</v>
      </c>
      <c r="Q1108" t="s">
        <v>2482</v>
      </c>
    </row>
    <row r="1109" spans="1:17" x14ac:dyDescent="0.3">
      <c r="A1109" t="s">
        <v>17</v>
      </c>
      <c r="B1109" t="str">
        <f>"603041"</f>
        <v>603041</v>
      </c>
      <c r="C1109" t="s">
        <v>2483</v>
      </c>
      <c r="D1109" t="s">
        <v>528</v>
      </c>
      <c r="F1109">
        <v>75951344</v>
      </c>
      <c r="G1109">
        <v>63179537</v>
      </c>
      <c r="H1109">
        <v>51868699</v>
      </c>
      <c r="I1109">
        <v>54213980</v>
      </c>
      <c r="J1109">
        <v>42343727</v>
      </c>
      <c r="K1109">
        <v>48187222</v>
      </c>
      <c r="L1109">
        <v>45284633</v>
      </c>
      <c r="M1109">
        <v>39119480</v>
      </c>
      <c r="P1109">
        <v>98</v>
      </c>
      <c r="Q1109" t="s">
        <v>2484</v>
      </c>
    </row>
    <row r="1110" spans="1:17" x14ac:dyDescent="0.3">
      <c r="A1110" t="s">
        <v>17</v>
      </c>
      <c r="B1110" t="str">
        <f>"603042"</f>
        <v>603042</v>
      </c>
      <c r="C1110" t="s">
        <v>2485</v>
      </c>
      <c r="D1110" t="s">
        <v>250</v>
      </c>
      <c r="F1110">
        <v>699290876</v>
      </c>
      <c r="G1110">
        <v>585722863</v>
      </c>
      <c r="H1110">
        <v>699506316</v>
      </c>
      <c r="I1110">
        <v>855187948</v>
      </c>
      <c r="J1110">
        <v>737228140</v>
      </c>
      <c r="K1110">
        <v>496333207</v>
      </c>
      <c r="L1110">
        <v>478634962</v>
      </c>
      <c r="M1110">
        <v>408963742</v>
      </c>
      <c r="P1110">
        <v>122</v>
      </c>
      <c r="Q1110" t="s">
        <v>2486</v>
      </c>
    </row>
    <row r="1111" spans="1:17" x14ac:dyDescent="0.3">
      <c r="A1111" t="s">
        <v>17</v>
      </c>
      <c r="B1111" t="str">
        <f>"603043"</f>
        <v>603043</v>
      </c>
      <c r="C1111" t="s">
        <v>2487</v>
      </c>
      <c r="D1111" t="s">
        <v>2488</v>
      </c>
      <c r="F1111">
        <v>134844701</v>
      </c>
      <c r="G1111">
        <v>134806776</v>
      </c>
      <c r="H1111">
        <v>119278096</v>
      </c>
      <c r="I1111">
        <v>67776014</v>
      </c>
      <c r="J1111">
        <v>67333252</v>
      </c>
      <c r="K1111">
        <v>63468953</v>
      </c>
      <c r="L1111">
        <v>56668918</v>
      </c>
      <c r="M1111">
        <v>47748429</v>
      </c>
      <c r="P1111">
        <v>1509</v>
      </c>
      <c r="Q1111" t="s">
        <v>2489</v>
      </c>
    </row>
    <row r="1112" spans="1:17" x14ac:dyDescent="0.3">
      <c r="A1112" t="s">
        <v>17</v>
      </c>
      <c r="B1112" t="str">
        <f>"603045"</f>
        <v>603045</v>
      </c>
      <c r="C1112" t="s">
        <v>2490</v>
      </c>
      <c r="D1112" t="s">
        <v>581</v>
      </c>
      <c r="F1112">
        <v>393653338</v>
      </c>
      <c r="G1112">
        <v>408659270</v>
      </c>
      <c r="H1112">
        <v>273984712</v>
      </c>
      <c r="I1112">
        <v>220814635</v>
      </c>
      <c r="J1112">
        <v>238579491</v>
      </c>
      <c r="K1112">
        <v>224755345</v>
      </c>
      <c r="L1112">
        <v>160443451</v>
      </c>
      <c r="M1112">
        <v>219162217</v>
      </c>
      <c r="P1112">
        <v>54</v>
      </c>
      <c r="Q1112" t="s">
        <v>2491</v>
      </c>
    </row>
    <row r="1113" spans="1:17" x14ac:dyDescent="0.3">
      <c r="A1113" t="s">
        <v>17</v>
      </c>
      <c r="B1113" t="str">
        <f>"603048"</f>
        <v>603048</v>
      </c>
      <c r="C1113" t="s">
        <v>2492</v>
      </c>
      <c r="D1113" t="s">
        <v>985</v>
      </c>
      <c r="F1113">
        <v>144463450</v>
      </c>
      <c r="G1113">
        <v>164909702</v>
      </c>
      <c r="H1113">
        <v>137655301</v>
      </c>
      <c r="I1113">
        <v>125739476</v>
      </c>
      <c r="J1113">
        <v>156480207</v>
      </c>
      <c r="P1113">
        <v>16</v>
      </c>
      <c r="Q1113" t="s">
        <v>2493</v>
      </c>
    </row>
    <row r="1114" spans="1:17" x14ac:dyDescent="0.3">
      <c r="A1114" t="s">
        <v>17</v>
      </c>
      <c r="B1114" t="str">
        <f>"603050"</f>
        <v>603050</v>
      </c>
      <c r="C1114" t="s">
        <v>2494</v>
      </c>
      <c r="D1114" t="s">
        <v>610</v>
      </c>
      <c r="F1114">
        <v>1189638835</v>
      </c>
      <c r="G1114">
        <v>1005351139</v>
      </c>
      <c r="H1114">
        <v>805823539</v>
      </c>
      <c r="I1114">
        <v>694304637</v>
      </c>
      <c r="J1114">
        <v>519019039</v>
      </c>
      <c r="K1114">
        <v>419030957</v>
      </c>
      <c r="L1114">
        <v>390610620</v>
      </c>
      <c r="M1114">
        <v>308918746</v>
      </c>
      <c r="P1114">
        <v>124</v>
      </c>
      <c r="Q1114" t="s">
        <v>2495</v>
      </c>
    </row>
    <row r="1115" spans="1:17" x14ac:dyDescent="0.3">
      <c r="A1115" t="s">
        <v>17</v>
      </c>
      <c r="B1115" t="str">
        <f>"603051"</f>
        <v>603051</v>
      </c>
      <c r="C1115" t="s">
        <v>2496</v>
      </c>
      <c r="F1115">
        <v>215334940</v>
      </c>
      <c r="G1115">
        <v>116362526</v>
      </c>
      <c r="H1115">
        <v>113495239</v>
      </c>
      <c r="I1115">
        <v>148633452</v>
      </c>
      <c r="P1115">
        <v>3</v>
      </c>
      <c r="Q1115" t="s">
        <v>2497</v>
      </c>
    </row>
    <row r="1116" spans="1:17" x14ac:dyDescent="0.3">
      <c r="A1116" t="s">
        <v>17</v>
      </c>
      <c r="B1116" t="str">
        <f>"603053"</f>
        <v>603053</v>
      </c>
      <c r="C1116" t="s">
        <v>2498</v>
      </c>
      <c r="D1116" t="s">
        <v>749</v>
      </c>
      <c r="F1116">
        <v>65044076</v>
      </c>
      <c r="G1116">
        <v>66339299</v>
      </c>
      <c r="H1116">
        <v>170692254</v>
      </c>
      <c r="I1116">
        <v>195732308</v>
      </c>
      <c r="J1116">
        <v>223518622</v>
      </c>
      <c r="K1116">
        <v>212058386</v>
      </c>
      <c r="P1116">
        <v>118</v>
      </c>
      <c r="Q1116" t="s">
        <v>2499</v>
      </c>
    </row>
    <row r="1117" spans="1:17" x14ac:dyDescent="0.3">
      <c r="A1117" t="s">
        <v>17</v>
      </c>
      <c r="B1117" t="str">
        <f>"603055"</f>
        <v>603055</v>
      </c>
      <c r="C1117" t="s">
        <v>2500</v>
      </c>
      <c r="D1117" t="s">
        <v>366</v>
      </c>
      <c r="F1117">
        <v>633735929</v>
      </c>
      <c r="G1117">
        <v>496075211</v>
      </c>
      <c r="H1117">
        <v>434741714</v>
      </c>
      <c r="I1117">
        <v>361174922</v>
      </c>
      <c r="J1117">
        <v>346818383</v>
      </c>
      <c r="K1117">
        <v>299495541</v>
      </c>
      <c r="L1117">
        <v>342533745</v>
      </c>
      <c r="M1117">
        <v>382833709</v>
      </c>
      <c r="P1117">
        <v>145</v>
      </c>
      <c r="Q1117" t="s">
        <v>2501</v>
      </c>
    </row>
    <row r="1118" spans="1:17" x14ac:dyDescent="0.3">
      <c r="A1118" t="s">
        <v>17</v>
      </c>
      <c r="B1118" t="str">
        <f>"603056"</f>
        <v>603056</v>
      </c>
      <c r="C1118" t="s">
        <v>2502</v>
      </c>
      <c r="D1118" t="s">
        <v>2503</v>
      </c>
      <c r="F1118">
        <v>2169529648</v>
      </c>
      <c r="G1118">
        <v>1943830425</v>
      </c>
      <c r="H1118">
        <v>1649077038</v>
      </c>
      <c r="I1118">
        <v>1356284333</v>
      </c>
      <c r="J1118">
        <v>1102776852</v>
      </c>
      <c r="K1118">
        <v>1200016759</v>
      </c>
      <c r="L1118">
        <v>575115879</v>
      </c>
      <c r="M1118">
        <v>261136615</v>
      </c>
      <c r="P1118">
        <v>412</v>
      </c>
      <c r="Q1118" t="s">
        <v>2504</v>
      </c>
    </row>
    <row r="1119" spans="1:17" x14ac:dyDescent="0.3">
      <c r="A1119" t="s">
        <v>17</v>
      </c>
      <c r="B1119" t="str">
        <f>"603058"</f>
        <v>603058</v>
      </c>
      <c r="C1119" t="s">
        <v>2505</v>
      </c>
      <c r="D1119" t="s">
        <v>2165</v>
      </c>
      <c r="F1119">
        <v>156911786</v>
      </c>
      <c r="G1119">
        <v>167903661</v>
      </c>
      <c r="H1119">
        <v>143214614</v>
      </c>
      <c r="I1119">
        <v>101825462</v>
      </c>
      <c r="J1119">
        <v>112625480</v>
      </c>
      <c r="K1119">
        <v>116602602</v>
      </c>
      <c r="L1119">
        <v>111890166</v>
      </c>
      <c r="M1119">
        <v>98946044</v>
      </c>
      <c r="N1119">
        <v>80667385</v>
      </c>
      <c r="P1119">
        <v>121</v>
      </c>
      <c r="Q1119" t="s">
        <v>2506</v>
      </c>
    </row>
    <row r="1120" spans="1:17" x14ac:dyDescent="0.3">
      <c r="A1120" t="s">
        <v>17</v>
      </c>
      <c r="B1120" t="str">
        <f>"603059"</f>
        <v>603059</v>
      </c>
      <c r="C1120" t="s">
        <v>2507</v>
      </c>
      <c r="D1120" t="s">
        <v>569</v>
      </c>
      <c r="F1120">
        <v>180707542</v>
      </c>
      <c r="G1120">
        <v>152362274</v>
      </c>
      <c r="H1120">
        <v>117182208</v>
      </c>
      <c r="I1120">
        <v>116999971</v>
      </c>
      <c r="J1120">
        <v>90524686</v>
      </c>
      <c r="K1120">
        <v>93767714</v>
      </c>
      <c r="L1120">
        <v>59665492</v>
      </c>
      <c r="P1120">
        <v>99</v>
      </c>
      <c r="Q1120" t="s">
        <v>2508</v>
      </c>
    </row>
    <row r="1121" spans="1:17" x14ac:dyDescent="0.3">
      <c r="A1121" t="s">
        <v>17</v>
      </c>
      <c r="B1121" t="str">
        <f>"603060"</f>
        <v>603060</v>
      </c>
      <c r="C1121" t="s">
        <v>2509</v>
      </c>
      <c r="D1121" t="s">
        <v>2510</v>
      </c>
      <c r="F1121">
        <v>655555627</v>
      </c>
      <c r="G1121">
        <v>302147240</v>
      </c>
      <c r="H1121">
        <v>174672353</v>
      </c>
      <c r="I1121">
        <v>130288951</v>
      </c>
      <c r="J1121">
        <v>89932351</v>
      </c>
      <c r="K1121">
        <v>67335435</v>
      </c>
      <c r="L1121">
        <v>58118663</v>
      </c>
      <c r="M1121">
        <v>45098704</v>
      </c>
      <c r="N1121">
        <v>38201523</v>
      </c>
      <c r="P1121">
        <v>507</v>
      </c>
      <c r="Q1121" t="s">
        <v>2511</v>
      </c>
    </row>
    <row r="1122" spans="1:17" x14ac:dyDescent="0.3">
      <c r="A1122" t="s">
        <v>17</v>
      </c>
      <c r="B1122" t="str">
        <f>"603063"</f>
        <v>603063</v>
      </c>
      <c r="C1122" t="s">
        <v>2512</v>
      </c>
      <c r="D1122" t="s">
        <v>950</v>
      </c>
      <c r="F1122">
        <v>1026463894</v>
      </c>
      <c r="G1122">
        <v>1036947224</v>
      </c>
      <c r="H1122">
        <v>1296352211</v>
      </c>
      <c r="I1122">
        <v>1108124579</v>
      </c>
      <c r="J1122">
        <v>924374481</v>
      </c>
      <c r="K1122">
        <v>748439626</v>
      </c>
      <c r="L1122">
        <v>732025403</v>
      </c>
      <c r="M1122">
        <v>479931999</v>
      </c>
      <c r="P1122">
        <v>212</v>
      </c>
      <c r="Q1122" t="s">
        <v>2513</v>
      </c>
    </row>
    <row r="1123" spans="1:17" x14ac:dyDescent="0.3">
      <c r="A1123" t="s">
        <v>17</v>
      </c>
      <c r="B1123" t="str">
        <f>"603066"</f>
        <v>603066</v>
      </c>
      <c r="C1123" t="s">
        <v>2514</v>
      </c>
      <c r="D1123" t="s">
        <v>537</v>
      </c>
      <c r="F1123">
        <v>464566824</v>
      </c>
      <c r="G1123">
        <v>209787118</v>
      </c>
      <c r="H1123">
        <v>323814449</v>
      </c>
      <c r="I1123">
        <v>236185143</v>
      </c>
      <c r="J1123">
        <v>211818512</v>
      </c>
      <c r="K1123">
        <v>145489550</v>
      </c>
      <c r="L1123">
        <v>196761814</v>
      </c>
      <c r="M1123">
        <v>214471227</v>
      </c>
      <c r="N1123">
        <v>183700816</v>
      </c>
      <c r="O1123">
        <v>140556243</v>
      </c>
      <c r="P1123">
        <v>116</v>
      </c>
      <c r="Q1123" t="s">
        <v>2515</v>
      </c>
    </row>
    <row r="1124" spans="1:17" x14ac:dyDescent="0.3">
      <c r="A1124" t="s">
        <v>17</v>
      </c>
      <c r="B1124" t="str">
        <f>"603067"</f>
        <v>603067</v>
      </c>
      <c r="C1124" t="s">
        <v>2516</v>
      </c>
      <c r="D1124" t="s">
        <v>736</v>
      </c>
      <c r="F1124">
        <v>212229116</v>
      </c>
      <c r="G1124">
        <v>141842033</v>
      </c>
      <c r="H1124">
        <v>148140871</v>
      </c>
      <c r="I1124">
        <v>132843391</v>
      </c>
      <c r="J1124">
        <v>120948140</v>
      </c>
      <c r="K1124">
        <v>63104299</v>
      </c>
      <c r="L1124">
        <v>42308031</v>
      </c>
      <c r="M1124">
        <v>49207228</v>
      </c>
      <c r="N1124">
        <v>31990457</v>
      </c>
      <c r="P1124">
        <v>136</v>
      </c>
      <c r="Q1124" t="s">
        <v>2517</v>
      </c>
    </row>
    <row r="1125" spans="1:17" x14ac:dyDescent="0.3">
      <c r="A1125" t="s">
        <v>17</v>
      </c>
      <c r="B1125" t="str">
        <f>"603068"</f>
        <v>603068</v>
      </c>
      <c r="C1125" t="s">
        <v>2518</v>
      </c>
      <c r="D1125" t="s">
        <v>401</v>
      </c>
      <c r="F1125">
        <v>106505011</v>
      </c>
      <c r="G1125">
        <v>161401810</v>
      </c>
      <c r="H1125">
        <v>311462932</v>
      </c>
      <c r="I1125">
        <v>0</v>
      </c>
      <c r="J1125">
        <v>0</v>
      </c>
      <c r="K1125">
        <v>0</v>
      </c>
      <c r="P1125">
        <v>345</v>
      </c>
      <c r="Q1125" t="s">
        <v>2519</v>
      </c>
    </row>
    <row r="1126" spans="1:17" x14ac:dyDescent="0.3">
      <c r="A1126" t="s">
        <v>17</v>
      </c>
      <c r="B1126" t="str">
        <f>"603069"</f>
        <v>603069</v>
      </c>
      <c r="C1126" t="s">
        <v>2520</v>
      </c>
      <c r="D1126" t="s">
        <v>1133</v>
      </c>
      <c r="F1126">
        <v>90097695</v>
      </c>
      <c r="G1126">
        <v>69828348</v>
      </c>
      <c r="H1126">
        <v>66217587</v>
      </c>
      <c r="I1126">
        <v>0</v>
      </c>
      <c r="J1126">
        <v>53332583</v>
      </c>
      <c r="K1126">
        <v>50438228</v>
      </c>
      <c r="L1126">
        <v>34717055</v>
      </c>
      <c r="M1126">
        <v>31537001</v>
      </c>
      <c r="N1126">
        <v>32452202</v>
      </c>
      <c r="P1126">
        <v>98</v>
      </c>
      <c r="Q1126" t="s">
        <v>2521</v>
      </c>
    </row>
    <row r="1127" spans="1:17" x14ac:dyDescent="0.3">
      <c r="A1127" t="s">
        <v>17</v>
      </c>
      <c r="B1127" t="str">
        <f>"603070"</f>
        <v>603070</v>
      </c>
      <c r="C1127" t="s">
        <v>2522</v>
      </c>
      <c r="F1127">
        <v>531751169</v>
      </c>
      <c r="G1127">
        <v>384794134</v>
      </c>
      <c r="H1127">
        <v>384035073</v>
      </c>
      <c r="I1127">
        <v>354625375</v>
      </c>
      <c r="P1127">
        <v>10</v>
      </c>
      <c r="Q1127" t="s">
        <v>2523</v>
      </c>
    </row>
    <row r="1128" spans="1:17" x14ac:dyDescent="0.3">
      <c r="A1128" t="s">
        <v>17</v>
      </c>
      <c r="B1128" t="str">
        <f>"603071"</f>
        <v>603071</v>
      </c>
      <c r="C1128" t="s">
        <v>2524</v>
      </c>
      <c r="D1128" t="s">
        <v>351</v>
      </c>
      <c r="F1128">
        <v>581577865</v>
      </c>
      <c r="G1128">
        <v>489975285</v>
      </c>
      <c r="H1128">
        <v>520260394</v>
      </c>
      <c r="I1128">
        <v>345251843</v>
      </c>
      <c r="J1128">
        <v>387770874</v>
      </c>
      <c r="P1128">
        <v>19</v>
      </c>
      <c r="Q1128" t="s">
        <v>2525</v>
      </c>
    </row>
    <row r="1129" spans="1:17" x14ac:dyDescent="0.3">
      <c r="A1129" t="s">
        <v>17</v>
      </c>
      <c r="B1129" t="str">
        <f>"603076"</f>
        <v>603076</v>
      </c>
      <c r="C1129" t="s">
        <v>2526</v>
      </c>
      <c r="D1129" t="s">
        <v>741</v>
      </c>
      <c r="F1129">
        <v>171371562</v>
      </c>
      <c r="G1129">
        <v>163542397</v>
      </c>
      <c r="H1129">
        <v>279700164</v>
      </c>
      <c r="I1129">
        <v>385362716</v>
      </c>
      <c r="J1129">
        <v>239483067</v>
      </c>
      <c r="K1129">
        <v>287934461</v>
      </c>
      <c r="L1129">
        <v>209995835</v>
      </c>
      <c r="M1129">
        <v>153695191</v>
      </c>
      <c r="P1129">
        <v>87</v>
      </c>
      <c r="Q1129" t="s">
        <v>2527</v>
      </c>
    </row>
    <row r="1130" spans="1:17" x14ac:dyDescent="0.3">
      <c r="A1130" t="s">
        <v>17</v>
      </c>
      <c r="B1130" t="str">
        <f>"603077"</f>
        <v>603077</v>
      </c>
      <c r="C1130" t="s">
        <v>2528</v>
      </c>
      <c r="D1130" t="s">
        <v>2529</v>
      </c>
      <c r="F1130">
        <v>497624364</v>
      </c>
      <c r="G1130">
        <v>518941550</v>
      </c>
      <c r="H1130">
        <v>535250369</v>
      </c>
      <c r="I1130">
        <v>469229773</v>
      </c>
      <c r="J1130">
        <v>700086344</v>
      </c>
      <c r="K1130">
        <v>635726644</v>
      </c>
      <c r="L1130">
        <v>627641411</v>
      </c>
      <c r="M1130">
        <v>466896305</v>
      </c>
      <c r="N1130">
        <v>300810099</v>
      </c>
      <c r="O1130">
        <v>155392396</v>
      </c>
      <c r="P1130">
        <v>265</v>
      </c>
      <c r="Q1130" t="s">
        <v>2530</v>
      </c>
    </row>
    <row r="1131" spans="1:17" x14ac:dyDescent="0.3">
      <c r="A1131" t="s">
        <v>17</v>
      </c>
      <c r="B1131" t="str">
        <f>"603078"</f>
        <v>603078</v>
      </c>
      <c r="C1131" t="s">
        <v>2531</v>
      </c>
      <c r="D1131" t="s">
        <v>2408</v>
      </c>
      <c r="F1131">
        <v>310267999</v>
      </c>
      <c r="G1131">
        <v>183600935</v>
      </c>
      <c r="H1131">
        <v>167245732</v>
      </c>
      <c r="I1131">
        <v>158007595</v>
      </c>
      <c r="J1131">
        <v>141971768</v>
      </c>
      <c r="K1131">
        <v>129608451</v>
      </c>
      <c r="L1131">
        <v>140326250</v>
      </c>
      <c r="M1131">
        <v>151270730</v>
      </c>
      <c r="P1131">
        <v>226</v>
      </c>
      <c r="Q1131" t="s">
        <v>2532</v>
      </c>
    </row>
    <row r="1132" spans="1:17" x14ac:dyDescent="0.3">
      <c r="A1132" t="s">
        <v>17</v>
      </c>
      <c r="B1132" t="str">
        <f>"603079"</f>
        <v>603079</v>
      </c>
      <c r="C1132" t="s">
        <v>2533</v>
      </c>
      <c r="D1132" t="s">
        <v>496</v>
      </c>
      <c r="F1132">
        <v>130682536</v>
      </c>
      <c r="G1132">
        <v>112883790</v>
      </c>
      <c r="H1132">
        <v>104301435</v>
      </c>
      <c r="I1132">
        <v>102866750</v>
      </c>
      <c r="J1132">
        <v>113340471</v>
      </c>
      <c r="K1132">
        <v>73777408</v>
      </c>
      <c r="L1132">
        <v>65813387</v>
      </c>
      <c r="M1132">
        <v>74763087</v>
      </c>
      <c r="P1132">
        <v>239</v>
      </c>
      <c r="Q1132" t="s">
        <v>2534</v>
      </c>
    </row>
    <row r="1133" spans="1:17" x14ac:dyDescent="0.3">
      <c r="A1133" t="s">
        <v>17</v>
      </c>
      <c r="B1133" t="str">
        <f>"603080"</f>
        <v>603080</v>
      </c>
      <c r="C1133" t="s">
        <v>2535</v>
      </c>
      <c r="D1133" t="s">
        <v>749</v>
      </c>
      <c r="F1133">
        <v>201407774</v>
      </c>
      <c r="G1133">
        <v>121370057</v>
      </c>
      <c r="H1133">
        <v>117280286</v>
      </c>
      <c r="I1133">
        <v>0</v>
      </c>
      <c r="J1133">
        <v>62153655</v>
      </c>
      <c r="K1133">
        <v>34337416</v>
      </c>
      <c r="L1133">
        <v>30468206</v>
      </c>
      <c r="M1133">
        <v>23052302</v>
      </c>
      <c r="P1133">
        <v>93</v>
      </c>
      <c r="Q1133" t="s">
        <v>2536</v>
      </c>
    </row>
    <row r="1134" spans="1:17" x14ac:dyDescent="0.3">
      <c r="A1134" t="s">
        <v>17</v>
      </c>
      <c r="B1134" t="str">
        <f>"603081"</f>
        <v>603081</v>
      </c>
      <c r="C1134" t="s">
        <v>2537</v>
      </c>
      <c r="D1134" t="s">
        <v>450</v>
      </c>
      <c r="F1134">
        <v>1557080799</v>
      </c>
      <c r="G1134">
        <v>1042941181</v>
      </c>
      <c r="H1134">
        <v>1109905107</v>
      </c>
      <c r="I1134">
        <v>1105855581</v>
      </c>
      <c r="J1134">
        <v>969068201</v>
      </c>
      <c r="K1134">
        <v>613533125</v>
      </c>
      <c r="L1134">
        <v>630625344</v>
      </c>
      <c r="M1134">
        <v>603144034</v>
      </c>
      <c r="P1134">
        <v>144</v>
      </c>
      <c r="Q1134" t="s">
        <v>2538</v>
      </c>
    </row>
    <row r="1135" spans="1:17" x14ac:dyDescent="0.3">
      <c r="A1135" t="s">
        <v>17</v>
      </c>
      <c r="B1135" t="str">
        <f>"603083"</f>
        <v>603083</v>
      </c>
      <c r="C1135" t="s">
        <v>2539</v>
      </c>
      <c r="D1135" t="s">
        <v>786</v>
      </c>
      <c r="F1135">
        <v>813645796</v>
      </c>
      <c r="G1135">
        <v>498172211</v>
      </c>
      <c r="H1135">
        <v>703071976</v>
      </c>
      <c r="I1135">
        <v>835514300</v>
      </c>
      <c r="J1135">
        <v>502901223</v>
      </c>
      <c r="K1135">
        <v>441689196</v>
      </c>
      <c r="L1135">
        <v>349353945</v>
      </c>
      <c r="M1135">
        <v>355930093</v>
      </c>
      <c r="P1135">
        <v>272</v>
      </c>
      <c r="Q1135" t="s">
        <v>2540</v>
      </c>
    </row>
    <row r="1136" spans="1:17" x14ac:dyDescent="0.3">
      <c r="A1136" t="s">
        <v>17</v>
      </c>
      <c r="B1136" t="str">
        <f>"603085"</f>
        <v>603085</v>
      </c>
      <c r="C1136" t="s">
        <v>2541</v>
      </c>
      <c r="D1136" t="s">
        <v>191</v>
      </c>
      <c r="F1136">
        <v>388061732</v>
      </c>
      <c r="G1136">
        <v>352234543</v>
      </c>
      <c r="H1136">
        <v>279168549</v>
      </c>
      <c r="I1136">
        <v>302644732</v>
      </c>
      <c r="J1136">
        <v>317193057</v>
      </c>
      <c r="K1136">
        <v>124424003</v>
      </c>
      <c r="L1136">
        <v>92072173</v>
      </c>
      <c r="M1136">
        <v>90073181</v>
      </c>
      <c r="N1136">
        <v>86911505</v>
      </c>
      <c r="O1136">
        <v>58465912</v>
      </c>
      <c r="P1136">
        <v>81</v>
      </c>
      <c r="Q1136" t="s">
        <v>2542</v>
      </c>
    </row>
    <row r="1137" spans="1:17" x14ac:dyDescent="0.3">
      <c r="A1137" t="s">
        <v>17</v>
      </c>
      <c r="B1137" t="str">
        <f>"603086"</f>
        <v>603086</v>
      </c>
      <c r="C1137" t="s">
        <v>2543</v>
      </c>
      <c r="D1137" t="s">
        <v>853</v>
      </c>
      <c r="F1137">
        <v>365726738</v>
      </c>
      <c r="G1137">
        <v>207747577</v>
      </c>
      <c r="H1137">
        <v>286626640</v>
      </c>
      <c r="I1137">
        <v>329596563</v>
      </c>
      <c r="J1137">
        <v>192074728</v>
      </c>
      <c r="K1137">
        <v>168668319</v>
      </c>
      <c r="L1137">
        <v>96502842</v>
      </c>
      <c r="M1137">
        <v>80794451</v>
      </c>
      <c r="P1137">
        <v>124</v>
      </c>
      <c r="Q1137" t="s">
        <v>2544</v>
      </c>
    </row>
    <row r="1138" spans="1:17" x14ac:dyDescent="0.3">
      <c r="A1138" t="s">
        <v>17</v>
      </c>
      <c r="B1138" t="str">
        <f>"603087"</f>
        <v>603087</v>
      </c>
      <c r="C1138" t="s">
        <v>2545</v>
      </c>
      <c r="D1138" t="s">
        <v>1379</v>
      </c>
      <c r="F1138">
        <v>933817309</v>
      </c>
      <c r="G1138">
        <v>827076540</v>
      </c>
      <c r="H1138">
        <v>843896922</v>
      </c>
      <c r="I1138">
        <v>750055256</v>
      </c>
      <c r="J1138">
        <v>400556197</v>
      </c>
      <c r="K1138">
        <v>358314941</v>
      </c>
      <c r="P1138">
        <v>677</v>
      </c>
      <c r="Q1138" t="s">
        <v>2546</v>
      </c>
    </row>
    <row r="1139" spans="1:17" x14ac:dyDescent="0.3">
      <c r="A1139" t="s">
        <v>17</v>
      </c>
      <c r="B1139" t="str">
        <f>"603088"</f>
        <v>603088</v>
      </c>
      <c r="C1139" t="s">
        <v>2547</v>
      </c>
      <c r="D1139" t="s">
        <v>2321</v>
      </c>
      <c r="F1139">
        <v>89018654</v>
      </c>
      <c r="G1139">
        <v>38047097</v>
      </c>
      <c r="H1139">
        <v>57940392</v>
      </c>
      <c r="I1139">
        <v>48900532</v>
      </c>
      <c r="J1139">
        <v>67534260</v>
      </c>
      <c r="K1139">
        <v>58694617</v>
      </c>
      <c r="L1139">
        <v>69423473</v>
      </c>
      <c r="M1139">
        <v>63675902</v>
      </c>
      <c r="N1139">
        <v>49110154</v>
      </c>
      <c r="O1139">
        <v>43599080</v>
      </c>
      <c r="P1139">
        <v>106</v>
      </c>
      <c r="Q1139" t="s">
        <v>2548</v>
      </c>
    </row>
    <row r="1140" spans="1:17" x14ac:dyDescent="0.3">
      <c r="A1140" t="s">
        <v>17</v>
      </c>
      <c r="B1140" t="str">
        <f>"603089"</f>
        <v>603089</v>
      </c>
      <c r="C1140" t="s">
        <v>2549</v>
      </c>
      <c r="D1140" t="s">
        <v>348</v>
      </c>
      <c r="F1140">
        <v>375997698</v>
      </c>
      <c r="G1140">
        <v>300331500</v>
      </c>
      <c r="H1140">
        <v>269026938</v>
      </c>
      <c r="I1140">
        <v>325653397</v>
      </c>
      <c r="J1140">
        <v>192960075</v>
      </c>
      <c r="K1140">
        <v>207692263</v>
      </c>
      <c r="L1140">
        <v>136269082</v>
      </c>
      <c r="M1140">
        <v>154936581</v>
      </c>
      <c r="N1140">
        <v>118254287</v>
      </c>
      <c r="P1140">
        <v>111</v>
      </c>
      <c r="Q1140" t="s">
        <v>2550</v>
      </c>
    </row>
    <row r="1141" spans="1:17" x14ac:dyDescent="0.3">
      <c r="A1141" t="s">
        <v>17</v>
      </c>
      <c r="B1141" t="str">
        <f>"603090"</f>
        <v>603090</v>
      </c>
      <c r="C1141" t="s">
        <v>2551</v>
      </c>
      <c r="D1141" t="s">
        <v>560</v>
      </c>
      <c r="F1141">
        <v>195005809</v>
      </c>
      <c r="G1141">
        <v>158558751</v>
      </c>
      <c r="H1141">
        <v>191848383</v>
      </c>
      <c r="I1141">
        <v>137651844</v>
      </c>
      <c r="J1141">
        <v>129923597</v>
      </c>
      <c r="K1141">
        <v>79041769</v>
      </c>
      <c r="L1141">
        <v>74956846</v>
      </c>
      <c r="M1141">
        <v>64860039</v>
      </c>
      <c r="N1141">
        <v>53697238</v>
      </c>
      <c r="P1141">
        <v>51</v>
      </c>
      <c r="Q1141" t="s">
        <v>2552</v>
      </c>
    </row>
    <row r="1142" spans="1:17" x14ac:dyDescent="0.3">
      <c r="A1142" t="s">
        <v>17</v>
      </c>
      <c r="B1142" t="str">
        <f>"603093"</f>
        <v>603093</v>
      </c>
      <c r="C1142" t="s">
        <v>2553</v>
      </c>
      <c r="D1142" t="s">
        <v>1847</v>
      </c>
      <c r="F1142">
        <v>10806486659</v>
      </c>
      <c r="G1142">
        <v>8189882300</v>
      </c>
      <c r="H1142">
        <v>32628075</v>
      </c>
      <c r="I1142">
        <v>3630167834</v>
      </c>
      <c r="J1142">
        <v>4227352158</v>
      </c>
      <c r="K1142">
        <v>5313080171</v>
      </c>
      <c r="L1142">
        <v>0</v>
      </c>
      <c r="M1142">
        <v>0</v>
      </c>
      <c r="N1142">
        <v>0</v>
      </c>
      <c r="O1142">
        <v>0</v>
      </c>
      <c r="P1142">
        <v>84</v>
      </c>
      <c r="Q1142" t="s">
        <v>2554</v>
      </c>
    </row>
    <row r="1143" spans="1:17" x14ac:dyDescent="0.3">
      <c r="A1143" t="s">
        <v>17</v>
      </c>
      <c r="B1143" t="str">
        <f>"603095"</f>
        <v>603095</v>
      </c>
      <c r="C1143" t="s">
        <v>2555</v>
      </c>
      <c r="D1143" t="s">
        <v>534</v>
      </c>
      <c r="F1143">
        <v>156097341</v>
      </c>
      <c r="G1143">
        <v>103685401</v>
      </c>
      <c r="H1143">
        <v>137919112</v>
      </c>
      <c r="I1143">
        <v>145266241</v>
      </c>
      <c r="J1143">
        <v>171937981</v>
      </c>
      <c r="P1143">
        <v>64</v>
      </c>
      <c r="Q1143" t="s">
        <v>2556</v>
      </c>
    </row>
    <row r="1144" spans="1:17" x14ac:dyDescent="0.3">
      <c r="A1144" t="s">
        <v>17</v>
      </c>
      <c r="B1144" t="str">
        <f>"603096"</f>
        <v>603096</v>
      </c>
      <c r="C1144" t="s">
        <v>2557</v>
      </c>
      <c r="D1144" t="s">
        <v>525</v>
      </c>
      <c r="F1144">
        <v>117127119</v>
      </c>
      <c r="G1144">
        <v>134923147</v>
      </c>
      <c r="H1144">
        <v>100854602</v>
      </c>
      <c r="I1144">
        <v>137792313</v>
      </c>
      <c r="J1144">
        <v>85298532</v>
      </c>
      <c r="K1144">
        <v>64883719</v>
      </c>
      <c r="L1144">
        <v>69393703</v>
      </c>
      <c r="M1144">
        <v>93892506</v>
      </c>
      <c r="P1144">
        <v>222</v>
      </c>
      <c r="Q1144" t="s">
        <v>2558</v>
      </c>
    </row>
    <row r="1145" spans="1:17" x14ac:dyDescent="0.3">
      <c r="A1145" t="s">
        <v>17</v>
      </c>
      <c r="B1145" t="str">
        <f>"603097"</f>
        <v>603097</v>
      </c>
      <c r="C1145" t="s">
        <v>2559</v>
      </c>
      <c r="F1145">
        <v>368665404</v>
      </c>
      <c r="G1145">
        <v>300499858</v>
      </c>
      <c r="H1145">
        <v>268965393</v>
      </c>
      <c r="I1145">
        <v>253480136</v>
      </c>
      <c r="Q1145" t="s">
        <v>2560</v>
      </c>
    </row>
    <row r="1146" spans="1:17" x14ac:dyDescent="0.3">
      <c r="A1146" t="s">
        <v>17</v>
      </c>
      <c r="B1146" t="str">
        <f>"603098"</f>
        <v>603098</v>
      </c>
      <c r="C1146" t="s">
        <v>2561</v>
      </c>
      <c r="D1146" t="s">
        <v>978</v>
      </c>
      <c r="F1146">
        <v>1144044441</v>
      </c>
      <c r="G1146">
        <v>1270623546</v>
      </c>
      <c r="H1146">
        <v>1833096657</v>
      </c>
      <c r="I1146">
        <v>1263113642</v>
      </c>
      <c r="J1146">
        <v>673697757</v>
      </c>
      <c r="K1146">
        <v>617984714</v>
      </c>
      <c r="L1146">
        <v>421893362</v>
      </c>
      <c r="M1146">
        <v>322262190</v>
      </c>
      <c r="N1146">
        <v>219743863</v>
      </c>
      <c r="P1146">
        <v>158</v>
      </c>
      <c r="Q1146" t="s">
        <v>2562</v>
      </c>
    </row>
    <row r="1147" spans="1:17" x14ac:dyDescent="0.3">
      <c r="A1147" t="s">
        <v>17</v>
      </c>
      <c r="B1147" t="str">
        <f>"603099"</f>
        <v>603099</v>
      </c>
      <c r="C1147" t="s">
        <v>2563</v>
      </c>
      <c r="D1147" t="s">
        <v>119</v>
      </c>
      <c r="F1147">
        <v>64743224</v>
      </c>
      <c r="G1147">
        <v>63768151</v>
      </c>
      <c r="H1147">
        <v>64216965</v>
      </c>
      <c r="I1147">
        <v>25714132</v>
      </c>
      <c r="J1147">
        <v>7935351</v>
      </c>
      <c r="K1147">
        <v>933015</v>
      </c>
      <c r="L1147">
        <v>361257</v>
      </c>
      <c r="M1147">
        <v>380236</v>
      </c>
      <c r="N1147">
        <v>743582</v>
      </c>
      <c r="O1147">
        <v>67373</v>
      </c>
      <c r="P1147">
        <v>97</v>
      </c>
      <c r="Q1147" t="s">
        <v>2564</v>
      </c>
    </row>
    <row r="1148" spans="1:17" x14ac:dyDescent="0.3">
      <c r="A1148" t="s">
        <v>17</v>
      </c>
      <c r="B1148" t="str">
        <f>"603100"</f>
        <v>603100</v>
      </c>
      <c r="C1148" t="s">
        <v>2565</v>
      </c>
      <c r="D1148" t="s">
        <v>2566</v>
      </c>
      <c r="F1148">
        <v>826855216</v>
      </c>
      <c r="G1148">
        <v>1153649122</v>
      </c>
      <c r="H1148">
        <v>1496613114</v>
      </c>
      <c r="I1148">
        <v>1713337291</v>
      </c>
      <c r="J1148">
        <v>1874117264</v>
      </c>
      <c r="K1148">
        <v>1596065216</v>
      </c>
      <c r="L1148">
        <v>1466797872</v>
      </c>
      <c r="M1148">
        <v>1396984981</v>
      </c>
      <c r="N1148">
        <v>1249856110</v>
      </c>
      <c r="O1148">
        <v>998186526</v>
      </c>
      <c r="P1148">
        <v>194</v>
      </c>
      <c r="Q1148" t="s">
        <v>2567</v>
      </c>
    </row>
    <row r="1149" spans="1:17" x14ac:dyDescent="0.3">
      <c r="A1149" t="s">
        <v>17</v>
      </c>
      <c r="B1149" t="str">
        <f>"603101"</f>
        <v>603101</v>
      </c>
      <c r="C1149" t="s">
        <v>2568</v>
      </c>
      <c r="D1149" t="s">
        <v>633</v>
      </c>
      <c r="F1149">
        <v>69733366</v>
      </c>
      <c r="G1149">
        <v>68657398</v>
      </c>
      <c r="H1149">
        <v>75931469</v>
      </c>
      <c r="I1149">
        <v>116297315</v>
      </c>
      <c r="J1149">
        <v>53392115</v>
      </c>
      <c r="K1149">
        <v>30990878</v>
      </c>
      <c r="L1149">
        <v>24120106</v>
      </c>
      <c r="M1149">
        <v>16408238</v>
      </c>
      <c r="N1149">
        <v>4762366</v>
      </c>
      <c r="P1149">
        <v>69</v>
      </c>
      <c r="Q1149" t="s">
        <v>2569</v>
      </c>
    </row>
    <row r="1150" spans="1:17" x14ac:dyDescent="0.3">
      <c r="A1150" t="s">
        <v>17</v>
      </c>
      <c r="B1150" t="str">
        <f>"603102"</f>
        <v>603102</v>
      </c>
      <c r="C1150" t="s">
        <v>2570</v>
      </c>
      <c r="F1150">
        <v>27882412</v>
      </c>
      <c r="G1150">
        <v>20994100</v>
      </c>
      <c r="H1150">
        <v>12095003</v>
      </c>
      <c r="I1150">
        <v>22108678</v>
      </c>
      <c r="J1150">
        <v>18176835</v>
      </c>
      <c r="P1150">
        <v>13</v>
      </c>
      <c r="Q1150" t="s">
        <v>2571</v>
      </c>
    </row>
    <row r="1151" spans="1:17" x14ac:dyDescent="0.3">
      <c r="A1151" t="s">
        <v>17</v>
      </c>
      <c r="B1151" t="str">
        <f>"603103"</f>
        <v>603103</v>
      </c>
      <c r="C1151" t="s">
        <v>2572</v>
      </c>
      <c r="D1151" t="s">
        <v>2573</v>
      </c>
      <c r="F1151">
        <v>116186354</v>
      </c>
      <c r="G1151">
        <v>37606038</v>
      </c>
      <c r="H1151">
        <v>79685123</v>
      </c>
      <c r="I1151">
        <v>31620933</v>
      </c>
      <c r="J1151">
        <v>49150826</v>
      </c>
      <c r="K1151">
        <v>18847647</v>
      </c>
      <c r="L1151">
        <v>43786705</v>
      </c>
      <c r="M1151">
        <v>28052070</v>
      </c>
      <c r="P1151">
        <v>240</v>
      </c>
      <c r="Q1151" t="s">
        <v>2574</v>
      </c>
    </row>
    <row r="1152" spans="1:17" x14ac:dyDescent="0.3">
      <c r="A1152" t="s">
        <v>17</v>
      </c>
      <c r="B1152" t="str">
        <f>"603105"</f>
        <v>603105</v>
      </c>
      <c r="C1152" t="s">
        <v>2575</v>
      </c>
      <c r="D1152" t="s">
        <v>86</v>
      </c>
      <c r="F1152">
        <v>61203287</v>
      </c>
      <c r="G1152">
        <v>108902885</v>
      </c>
      <c r="H1152">
        <v>163265723</v>
      </c>
      <c r="I1152">
        <v>168341981</v>
      </c>
      <c r="J1152">
        <v>121996945</v>
      </c>
      <c r="K1152">
        <v>228852095</v>
      </c>
      <c r="L1152">
        <v>120809623</v>
      </c>
      <c r="P1152">
        <v>144</v>
      </c>
      <c r="Q1152" t="s">
        <v>2576</v>
      </c>
    </row>
    <row r="1153" spans="1:17" x14ac:dyDescent="0.3">
      <c r="A1153" t="s">
        <v>17</v>
      </c>
      <c r="B1153" t="str">
        <f>"603106"</f>
        <v>603106</v>
      </c>
      <c r="C1153" t="s">
        <v>2577</v>
      </c>
      <c r="D1153" t="s">
        <v>236</v>
      </c>
      <c r="F1153">
        <v>461734451</v>
      </c>
      <c r="G1153">
        <v>518987957</v>
      </c>
      <c r="H1153">
        <v>541996691</v>
      </c>
      <c r="I1153">
        <v>0</v>
      </c>
      <c r="J1153">
        <v>519126255</v>
      </c>
      <c r="K1153">
        <v>442453908</v>
      </c>
      <c r="L1153">
        <v>305425451</v>
      </c>
      <c r="M1153">
        <v>196307742</v>
      </c>
      <c r="P1153">
        <v>2938</v>
      </c>
      <c r="Q1153" t="s">
        <v>2578</v>
      </c>
    </row>
    <row r="1154" spans="1:17" x14ac:dyDescent="0.3">
      <c r="A1154" t="s">
        <v>17</v>
      </c>
      <c r="B1154" t="str">
        <f>"603108"</f>
        <v>603108</v>
      </c>
      <c r="C1154" t="s">
        <v>2579</v>
      </c>
      <c r="D1154" t="s">
        <v>2580</v>
      </c>
      <c r="F1154">
        <v>3711086814</v>
      </c>
      <c r="G1154">
        <v>3008801382</v>
      </c>
      <c r="H1154">
        <v>2786458324</v>
      </c>
      <c r="I1154">
        <v>2410016974</v>
      </c>
      <c r="J1154">
        <v>1867264660</v>
      </c>
      <c r="K1154">
        <v>924910961</v>
      </c>
      <c r="L1154">
        <v>569857900</v>
      </c>
      <c r="M1154">
        <v>373456387</v>
      </c>
      <c r="N1154">
        <v>288574824</v>
      </c>
      <c r="O1154">
        <v>190008147</v>
      </c>
      <c r="P1154">
        <v>336</v>
      </c>
      <c r="Q1154" t="s">
        <v>2581</v>
      </c>
    </row>
    <row r="1155" spans="1:17" x14ac:dyDescent="0.3">
      <c r="A1155" t="s">
        <v>17</v>
      </c>
      <c r="B1155" t="str">
        <f>"603109"</f>
        <v>603109</v>
      </c>
      <c r="C1155" t="s">
        <v>2582</v>
      </c>
      <c r="D1155" t="s">
        <v>985</v>
      </c>
      <c r="F1155">
        <v>433506207</v>
      </c>
      <c r="G1155">
        <v>270867973</v>
      </c>
      <c r="H1155">
        <v>233873281</v>
      </c>
      <c r="I1155">
        <v>257269492</v>
      </c>
      <c r="J1155">
        <v>265874751</v>
      </c>
      <c r="K1155">
        <v>194041056</v>
      </c>
      <c r="P1155">
        <v>80</v>
      </c>
      <c r="Q1155" t="s">
        <v>2583</v>
      </c>
    </row>
    <row r="1156" spans="1:17" x14ac:dyDescent="0.3">
      <c r="A1156" t="s">
        <v>17</v>
      </c>
      <c r="B1156" t="str">
        <f>"603110"</f>
        <v>603110</v>
      </c>
      <c r="C1156" t="s">
        <v>2584</v>
      </c>
      <c r="D1156" t="s">
        <v>2585</v>
      </c>
      <c r="F1156">
        <v>145108700</v>
      </c>
      <c r="G1156">
        <v>156480834</v>
      </c>
      <c r="H1156">
        <v>155489203</v>
      </c>
      <c r="I1156">
        <v>151842754</v>
      </c>
      <c r="J1156">
        <v>143170840</v>
      </c>
      <c r="K1156">
        <v>135653992</v>
      </c>
      <c r="L1156">
        <v>133407984</v>
      </c>
      <c r="M1156">
        <v>122309239</v>
      </c>
      <c r="P1156">
        <v>71</v>
      </c>
      <c r="Q1156" t="s">
        <v>2586</v>
      </c>
    </row>
    <row r="1157" spans="1:17" x14ac:dyDescent="0.3">
      <c r="A1157" t="s">
        <v>17</v>
      </c>
      <c r="B1157" t="str">
        <f>"603111"</f>
        <v>603111</v>
      </c>
      <c r="C1157" t="s">
        <v>2587</v>
      </c>
      <c r="D1157" t="s">
        <v>1012</v>
      </c>
      <c r="F1157">
        <v>1491538918</v>
      </c>
      <c r="G1157">
        <v>1266248438</v>
      </c>
      <c r="H1157">
        <v>1096247986</v>
      </c>
      <c r="I1157">
        <v>1532008162</v>
      </c>
      <c r="J1157">
        <v>1810385534</v>
      </c>
      <c r="K1157">
        <v>933553715</v>
      </c>
      <c r="L1157">
        <v>617775840</v>
      </c>
      <c r="M1157">
        <v>386034300</v>
      </c>
      <c r="N1157">
        <v>443876949</v>
      </c>
      <c r="O1157">
        <v>381531480</v>
      </c>
      <c r="P1157">
        <v>440</v>
      </c>
      <c r="Q1157" t="s">
        <v>2588</v>
      </c>
    </row>
    <row r="1158" spans="1:17" x14ac:dyDescent="0.3">
      <c r="A1158" t="s">
        <v>17</v>
      </c>
      <c r="B1158" t="str">
        <f>"603112"</f>
        <v>603112</v>
      </c>
      <c r="C1158" t="s">
        <v>2589</v>
      </c>
      <c r="D1158" t="s">
        <v>1253</v>
      </c>
      <c r="F1158">
        <v>688558577</v>
      </c>
      <c r="G1158">
        <v>549986065</v>
      </c>
      <c r="H1158">
        <v>453967130</v>
      </c>
      <c r="I1158">
        <v>449355482</v>
      </c>
      <c r="J1158">
        <v>397870445</v>
      </c>
      <c r="K1158">
        <v>299262665</v>
      </c>
      <c r="P1158">
        <v>48</v>
      </c>
      <c r="Q1158" t="s">
        <v>2590</v>
      </c>
    </row>
    <row r="1159" spans="1:17" x14ac:dyDescent="0.3">
      <c r="A1159" t="s">
        <v>17</v>
      </c>
      <c r="B1159" t="str">
        <f>"603113"</f>
        <v>603113</v>
      </c>
      <c r="C1159" t="s">
        <v>2591</v>
      </c>
      <c r="D1159" t="s">
        <v>885</v>
      </c>
      <c r="F1159">
        <v>677661820</v>
      </c>
      <c r="G1159">
        <v>404543136</v>
      </c>
      <c r="H1159">
        <v>397487624</v>
      </c>
      <c r="I1159">
        <v>537027852</v>
      </c>
      <c r="J1159">
        <v>428196461</v>
      </c>
      <c r="K1159">
        <v>297853645</v>
      </c>
      <c r="L1159">
        <v>293164706</v>
      </c>
      <c r="M1159">
        <v>400796851</v>
      </c>
      <c r="P1159">
        <v>302</v>
      </c>
      <c r="Q1159" t="s">
        <v>2592</v>
      </c>
    </row>
    <row r="1160" spans="1:17" x14ac:dyDescent="0.3">
      <c r="A1160" t="s">
        <v>17</v>
      </c>
      <c r="B1160" t="str">
        <f>"603115"</f>
        <v>603115</v>
      </c>
      <c r="C1160" t="s">
        <v>2593</v>
      </c>
      <c r="D1160" t="s">
        <v>504</v>
      </c>
      <c r="F1160">
        <v>347731349</v>
      </c>
      <c r="G1160">
        <v>310256705</v>
      </c>
      <c r="H1160">
        <v>265402512</v>
      </c>
      <c r="I1160">
        <v>0</v>
      </c>
      <c r="J1160">
        <v>0</v>
      </c>
      <c r="K1160">
        <v>0</v>
      </c>
      <c r="P1160">
        <v>88</v>
      </c>
      <c r="Q1160" t="s">
        <v>2594</v>
      </c>
    </row>
    <row r="1161" spans="1:17" x14ac:dyDescent="0.3">
      <c r="A1161" t="s">
        <v>17</v>
      </c>
      <c r="B1161" t="str">
        <f>"603116"</f>
        <v>603116</v>
      </c>
      <c r="C1161" t="s">
        <v>2595</v>
      </c>
      <c r="D1161" t="s">
        <v>330</v>
      </c>
      <c r="F1161">
        <v>643052411</v>
      </c>
      <c r="G1161">
        <v>788603278</v>
      </c>
      <c r="H1161">
        <v>810654438</v>
      </c>
      <c r="I1161">
        <v>631615924</v>
      </c>
      <c r="J1161">
        <v>502684425</v>
      </c>
      <c r="K1161">
        <v>340395741</v>
      </c>
      <c r="L1161">
        <v>366854304</v>
      </c>
      <c r="M1161">
        <v>398784071</v>
      </c>
      <c r="N1161">
        <v>410784269</v>
      </c>
      <c r="O1161">
        <v>292844974</v>
      </c>
      <c r="P1161">
        <v>102</v>
      </c>
      <c r="Q1161" t="s">
        <v>2596</v>
      </c>
    </row>
    <row r="1162" spans="1:17" x14ac:dyDescent="0.3">
      <c r="A1162" t="s">
        <v>17</v>
      </c>
      <c r="B1162" t="str">
        <f>"603117"</f>
        <v>603117</v>
      </c>
      <c r="C1162" t="s">
        <v>2597</v>
      </c>
      <c r="D1162" t="s">
        <v>287</v>
      </c>
      <c r="F1162">
        <v>209337779</v>
      </c>
      <c r="G1162">
        <v>292014197</v>
      </c>
      <c r="H1162">
        <v>299385715</v>
      </c>
      <c r="I1162">
        <v>294983440</v>
      </c>
      <c r="J1162">
        <v>161021842</v>
      </c>
      <c r="K1162">
        <v>81003365</v>
      </c>
      <c r="L1162">
        <v>66994960</v>
      </c>
      <c r="M1162">
        <v>45664378</v>
      </c>
      <c r="N1162">
        <v>47816843</v>
      </c>
      <c r="O1162">
        <v>48139574</v>
      </c>
      <c r="P1162">
        <v>64</v>
      </c>
      <c r="Q1162" t="s">
        <v>2598</v>
      </c>
    </row>
    <row r="1163" spans="1:17" x14ac:dyDescent="0.3">
      <c r="A1163" t="s">
        <v>17</v>
      </c>
      <c r="B1163" t="str">
        <f>"603118"</f>
        <v>603118</v>
      </c>
      <c r="C1163" t="s">
        <v>2599</v>
      </c>
      <c r="D1163" t="s">
        <v>786</v>
      </c>
      <c r="F1163">
        <v>1956405576</v>
      </c>
      <c r="G1163">
        <v>1669010602</v>
      </c>
      <c r="H1163">
        <v>1567038834</v>
      </c>
      <c r="I1163">
        <v>2057953159</v>
      </c>
      <c r="J1163">
        <v>1266417530</v>
      </c>
      <c r="K1163">
        <v>1376367004</v>
      </c>
      <c r="L1163">
        <v>1458118858</v>
      </c>
      <c r="M1163">
        <v>1451822767</v>
      </c>
      <c r="N1163">
        <v>1268461743</v>
      </c>
      <c r="O1163">
        <v>1159183350</v>
      </c>
      <c r="P1163">
        <v>243</v>
      </c>
      <c r="Q1163" t="s">
        <v>2600</v>
      </c>
    </row>
    <row r="1164" spans="1:17" x14ac:dyDescent="0.3">
      <c r="A1164" t="s">
        <v>17</v>
      </c>
      <c r="B1164" t="str">
        <f>"603121"</f>
        <v>603121</v>
      </c>
      <c r="C1164" t="s">
        <v>2601</v>
      </c>
      <c r="D1164" t="s">
        <v>348</v>
      </c>
      <c r="F1164">
        <v>219645343</v>
      </c>
      <c r="G1164">
        <v>212199911</v>
      </c>
      <c r="H1164">
        <v>157153969</v>
      </c>
      <c r="I1164">
        <v>126722959</v>
      </c>
      <c r="J1164">
        <v>0</v>
      </c>
      <c r="K1164">
        <v>0</v>
      </c>
      <c r="L1164">
        <v>0</v>
      </c>
      <c r="P1164">
        <v>77</v>
      </c>
      <c r="Q1164" t="s">
        <v>2602</v>
      </c>
    </row>
    <row r="1165" spans="1:17" x14ac:dyDescent="0.3">
      <c r="A1165" t="s">
        <v>17</v>
      </c>
      <c r="B1165" t="str">
        <f>"603122"</f>
        <v>603122</v>
      </c>
      <c r="C1165" t="s">
        <v>2603</v>
      </c>
      <c r="F1165">
        <v>545653297</v>
      </c>
      <c r="G1165">
        <v>504515980</v>
      </c>
      <c r="H1165">
        <v>504334214</v>
      </c>
      <c r="I1165">
        <v>355759046</v>
      </c>
      <c r="J1165">
        <v>300478100</v>
      </c>
      <c r="P1165">
        <v>12</v>
      </c>
      <c r="Q1165" t="s">
        <v>2604</v>
      </c>
    </row>
    <row r="1166" spans="1:17" x14ac:dyDescent="0.3">
      <c r="A1166" t="s">
        <v>17</v>
      </c>
      <c r="B1166" t="str">
        <f>"603123"</f>
        <v>603123</v>
      </c>
      <c r="C1166" t="s">
        <v>2605</v>
      </c>
      <c r="D1166" t="s">
        <v>633</v>
      </c>
      <c r="F1166">
        <v>99283162</v>
      </c>
      <c r="G1166">
        <v>89725972</v>
      </c>
      <c r="H1166">
        <v>32905069</v>
      </c>
      <c r="I1166">
        <v>36564650</v>
      </c>
      <c r="J1166">
        <v>38371458</v>
      </c>
      <c r="K1166">
        <v>47937871</v>
      </c>
      <c r="L1166">
        <v>35066744</v>
      </c>
      <c r="M1166">
        <v>36699272</v>
      </c>
      <c r="N1166">
        <v>20034788</v>
      </c>
      <c r="O1166">
        <v>24160278</v>
      </c>
      <c r="P1166">
        <v>100</v>
      </c>
      <c r="Q1166" t="s">
        <v>2606</v>
      </c>
    </row>
    <row r="1167" spans="1:17" x14ac:dyDescent="0.3">
      <c r="A1167" t="s">
        <v>17</v>
      </c>
      <c r="B1167" t="str">
        <f>"603126"</f>
        <v>603126</v>
      </c>
      <c r="C1167" t="s">
        <v>2607</v>
      </c>
      <c r="D1167" t="s">
        <v>499</v>
      </c>
      <c r="F1167">
        <v>839766457</v>
      </c>
      <c r="G1167">
        <v>564555079</v>
      </c>
      <c r="H1167">
        <v>588721125</v>
      </c>
      <c r="I1167">
        <v>482898423</v>
      </c>
      <c r="J1167">
        <v>532681286</v>
      </c>
      <c r="K1167">
        <v>531549376</v>
      </c>
      <c r="L1167">
        <v>495693550</v>
      </c>
      <c r="M1167">
        <v>423204314</v>
      </c>
      <c r="N1167">
        <v>225733096</v>
      </c>
      <c r="O1167">
        <v>348936481</v>
      </c>
      <c r="P1167">
        <v>196</v>
      </c>
      <c r="Q1167" t="s">
        <v>2608</v>
      </c>
    </row>
    <row r="1168" spans="1:17" x14ac:dyDescent="0.3">
      <c r="A1168" t="s">
        <v>17</v>
      </c>
      <c r="B1168" t="str">
        <f>"603127"</f>
        <v>603127</v>
      </c>
      <c r="C1168" t="s">
        <v>2609</v>
      </c>
      <c r="D1168" t="s">
        <v>1461</v>
      </c>
      <c r="F1168">
        <v>107605708</v>
      </c>
      <c r="G1168">
        <v>88866136</v>
      </c>
      <c r="H1168">
        <v>106368460</v>
      </c>
      <c r="I1168">
        <v>38741354</v>
      </c>
      <c r="J1168">
        <v>26410163</v>
      </c>
      <c r="K1168">
        <v>17317764</v>
      </c>
      <c r="L1168">
        <v>16572782</v>
      </c>
      <c r="M1168">
        <v>22562804</v>
      </c>
      <c r="P1168">
        <v>1812</v>
      </c>
      <c r="Q1168" t="s">
        <v>2610</v>
      </c>
    </row>
    <row r="1169" spans="1:17" x14ac:dyDescent="0.3">
      <c r="A1169" t="s">
        <v>17</v>
      </c>
      <c r="B1169" t="str">
        <f>"603128"</f>
        <v>603128</v>
      </c>
      <c r="C1169" t="s">
        <v>2611</v>
      </c>
      <c r="D1169" t="s">
        <v>287</v>
      </c>
      <c r="F1169">
        <v>4422505640</v>
      </c>
      <c r="G1169">
        <v>2792217506</v>
      </c>
      <c r="H1169">
        <v>2309463281</v>
      </c>
      <c r="I1169">
        <v>1949706136</v>
      </c>
      <c r="J1169">
        <v>1752658010</v>
      </c>
      <c r="K1169">
        <v>1680189683</v>
      </c>
      <c r="L1169">
        <v>1160897627</v>
      </c>
      <c r="M1169">
        <v>1230070474</v>
      </c>
      <c r="N1169">
        <v>1150540316</v>
      </c>
      <c r="O1169">
        <v>1096853524</v>
      </c>
      <c r="P1169">
        <v>273</v>
      </c>
      <c r="Q1169" t="s">
        <v>2612</v>
      </c>
    </row>
    <row r="1170" spans="1:17" x14ac:dyDescent="0.3">
      <c r="A1170" t="s">
        <v>17</v>
      </c>
      <c r="B1170" t="str">
        <f>"603129"</f>
        <v>603129</v>
      </c>
      <c r="C1170" t="s">
        <v>2613</v>
      </c>
      <c r="D1170" t="s">
        <v>1656</v>
      </c>
      <c r="F1170">
        <v>648668940</v>
      </c>
      <c r="G1170">
        <v>341640569</v>
      </c>
      <c r="H1170">
        <v>290275966</v>
      </c>
      <c r="I1170">
        <v>217175161</v>
      </c>
      <c r="J1170">
        <v>142425930</v>
      </c>
      <c r="K1170">
        <v>126096167</v>
      </c>
      <c r="L1170">
        <v>126828088</v>
      </c>
      <c r="M1170">
        <v>163165160</v>
      </c>
      <c r="P1170">
        <v>625</v>
      </c>
      <c r="Q1170" t="s">
        <v>2614</v>
      </c>
    </row>
    <row r="1171" spans="1:17" x14ac:dyDescent="0.3">
      <c r="A1171" t="s">
        <v>17</v>
      </c>
      <c r="B1171" t="str">
        <f>"603131"</f>
        <v>603131</v>
      </c>
      <c r="C1171" t="s">
        <v>2615</v>
      </c>
      <c r="D1171" t="s">
        <v>560</v>
      </c>
      <c r="F1171">
        <v>445547001</v>
      </c>
      <c r="G1171">
        <v>307834296</v>
      </c>
      <c r="H1171">
        <v>257422763</v>
      </c>
      <c r="I1171">
        <v>239560120</v>
      </c>
      <c r="J1171">
        <v>104263297</v>
      </c>
      <c r="K1171">
        <v>56360694</v>
      </c>
      <c r="L1171">
        <v>49943948</v>
      </c>
      <c r="M1171">
        <v>53804834</v>
      </c>
      <c r="N1171">
        <v>43477933</v>
      </c>
      <c r="P1171">
        <v>143</v>
      </c>
      <c r="Q1171" t="s">
        <v>2616</v>
      </c>
    </row>
    <row r="1172" spans="1:17" x14ac:dyDescent="0.3">
      <c r="A1172" t="s">
        <v>17</v>
      </c>
      <c r="B1172" t="str">
        <f>"603132"</f>
        <v>603132</v>
      </c>
      <c r="C1172" t="s">
        <v>2617</v>
      </c>
      <c r="F1172">
        <v>0</v>
      </c>
      <c r="G1172">
        <v>21119267</v>
      </c>
      <c r="H1172">
        <v>4650170</v>
      </c>
      <c r="I1172">
        <v>21494544</v>
      </c>
      <c r="P1172">
        <v>10</v>
      </c>
      <c r="Q1172" t="s">
        <v>2618</v>
      </c>
    </row>
    <row r="1173" spans="1:17" x14ac:dyDescent="0.3">
      <c r="A1173" t="s">
        <v>17</v>
      </c>
      <c r="B1173" t="str">
        <f>"603133"</f>
        <v>603133</v>
      </c>
      <c r="C1173" t="s">
        <v>2619</v>
      </c>
      <c r="D1173" t="s">
        <v>313</v>
      </c>
      <c r="F1173">
        <v>48416377</v>
      </c>
      <c r="G1173">
        <v>122096047</v>
      </c>
      <c r="H1173">
        <v>173344216</v>
      </c>
      <c r="I1173">
        <v>123534358</v>
      </c>
      <c r="J1173">
        <v>105307851</v>
      </c>
      <c r="K1173">
        <v>126758761</v>
      </c>
      <c r="L1173">
        <v>65029774</v>
      </c>
      <c r="M1173">
        <v>67566560</v>
      </c>
      <c r="P1173">
        <v>138</v>
      </c>
      <c r="Q1173" t="s">
        <v>2620</v>
      </c>
    </row>
    <row r="1174" spans="1:17" x14ac:dyDescent="0.3">
      <c r="A1174" t="s">
        <v>17</v>
      </c>
      <c r="B1174" t="str">
        <f>"603136"</f>
        <v>603136</v>
      </c>
      <c r="C1174" t="s">
        <v>2621</v>
      </c>
      <c r="D1174" t="s">
        <v>333</v>
      </c>
      <c r="F1174">
        <v>7385796</v>
      </c>
      <c r="G1174">
        <v>13432837</v>
      </c>
      <c r="H1174">
        <v>5598389</v>
      </c>
      <c r="I1174">
        <v>6342996</v>
      </c>
      <c r="J1174">
        <v>8582690</v>
      </c>
      <c r="K1174">
        <v>3398463</v>
      </c>
      <c r="L1174">
        <v>4224412</v>
      </c>
      <c r="M1174">
        <v>6311136</v>
      </c>
      <c r="P1174">
        <v>194</v>
      </c>
      <c r="Q1174" t="s">
        <v>2622</v>
      </c>
    </row>
    <row r="1175" spans="1:17" x14ac:dyDescent="0.3">
      <c r="A1175" t="s">
        <v>17</v>
      </c>
      <c r="B1175" t="str">
        <f>"603138"</f>
        <v>603138</v>
      </c>
      <c r="C1175" t="s">
        <v>2623</v>
      </c>
      <c r="D1175" t="s">
        <v>316</v>
      </c>
      <c r="F1175">
        <v>123923228</v>
      </c>
      <c r="G1175">
        <v>99018521</v>
      </c>
      <c r="H1175">
        <v>134954955</v>
      </c>
      <c r="I1175">
        <v>108258582</v>
      </c>
      <c r="J1175">
        <v>60895217</v>
      </c>
      <c r="K1175">
        <v>65914875</v>
      </c>
      <c r="L1175">
        <v>74149405</v>
      </c>
      <c r="M1175">
        <v>76283803</v>
      </c>
      <c r="P1175">
        <v>147</v>
      </c>
      <c r="Q1175" t="s">
        <v>2624</v>
      </c>
    </row>
    <row r="1176" spans="1:17" x14ac:dyDescent="0.3">
      <c r="A1176" t="s">
        <v>17</v>
      </c>
      <c r="B1176" t="str">
        <f>"603139"</f>
        <v>603139</v>
      </c>
      <c r="C1176" t="s">
        <v>2625</v>
      </c>
      <c r="D1176" t="s">
        <v>188</v>
      </c>
      <c r="F1176">
        <v>146142010</v>
      </c>
      <c r="G1176">
        <v>145930528</v>
      </c>
      <c r="H1176">
        <v>171915209</v>
      </c>
      <c r="I1176">
        <v>246782730</v>
      </c>
      <c r="J1176">
        <v>247364033</v>
      </c>
      <c r="K1176">
        <v>233818704</v>
      </c>
      <c r="L1176">
        <v>249864711</v>
      </c>
      <c r="M1176">
        <v>200684989</v>
      </c>
      <c r="P1176">
        <v>97</v>
      </c>
      <c r="Q1176" t="s">
        <v>2626</v>
      </c>
    </row>
    <row r="1177" spans="1:17" x14ac:dyDescent="0.3">
      <c r="A1177" t="s">
        <v>17</v>
      </c>
      <c r="B1177" t="str">
        <f>"603150"</f>
        <v>603150</v>
      </c>
      <c r="C1177" t="s">
        <v>2627</v>
      </c>
      <c r="F1177">
        <v>462414554</v>
      </c>
      <c r="G1177">
        <v>347339613</v>
      </c>
      <c r="H1177">
        <v>221732463</v>
      </c>
      <c r="I1177">
        <v>178676901</v>
      </c>
      <c r="P1177">
        <v>5</v>
      </c>
      <c r="Q1177" t="s">
        <v>2628</v>
      </c>
    </row>
    <row r="1178" spans="1:17" x14ac:dyDescent="0.3">
      <c r="A1178" t="s">
        <v>17</v>
      </c>
      <c r="B1178" t="str">
        <f>"603155"</f>
        <v>603155</v>
      </c>
      <c r="C1178" t="s">
        <v>2629</v>
      </c>
      <c r="D1178" t="s">
        <v>1205</v>
      </c>
      <c r="F1178">
        <v>142080485</v>
      </c>
      <c r="G1178">
        <v>68699466</v>
      </c>
      <c r="H1178">
        <v>60294968</v>
      </c>
      <c r="I1178">
        <v>69470954</v>
      </c>
      <c r="J1178">
        <v>46649396</v>
      </c>
      <c r="P1178">
        <v>76</v>
      </c>
      <c r="Q1178" t="s">
        <v>2630</v>
      </c>
    </row>
    <row r="1179" spans="1:17" x14ac:dyDescent="0.3">
      <c r="A1179" t="s">
        <v>17</v>
      </c>
      <c r="B1179" t="str">
        <f>"603156"</f>
        <v>603156</v>
      </c>
      <c r="C1179" t="s">
        <v>2631</v>
      </c>
      <c r="D1179" t="s">
        <v>440</v>
      </c>
      <c r="F1179">
        <v>25099571</v>
      </c>
      <c r="G1179">
        <v>31194159</v>
      </c>
      <c r="H1179">
        <v>43547929</v>
      </c>
      <c r="I1179">
        <v>37552609</v>
      </c>
      <c r="J1179">
        <v>17693771</v>
      </c>
      <c r="K1179">
        <v>22250002</v>
      </c>
      <c r="L1179">
        <v>6744632</v>
      </c>
      <c r="M1179">
        <v>7472269</v>
      </c>
      <c r="P1179">
        <v>1235</v>
      </c>
      <c r="Q1179" t="s">
        <v>2632</v>
      </c>
    </row>
    <row r="1180" spans="1:17" x14ac:dyDescent="0.3">
      <c r="A1180" t="s">
        <v>17</v>
      </c>
      <c r="B1180" t="str">
        <f>"603157"</f>
        <v>603157</v>
      </c>
      <c r="C1180" t="s">
        <v>2633</v>
      </c>
      <c r="D1180" t="s">
        <v>255</v>
      </c>
      <c r="F1180">
        <v>88718000</v>
      </c>
      <c r="G1180">
        <v>270637000</v>
      </c>
      <c r="H1180">
        <v>587123000</v>
      </c>
      <c r="I1180">
        <v>1031810000</v>
      </c>
      <c r="J1180">
        <v>1053436000</v>
      </c>
      <c r="K1180">
        <v>1052184000</v>
      </c>
      <c r="L1180">
        <v>1044456000</v>
      </c>
      <c r="M1180">
        <v>1028901000</v>
      </c>
      <c r="P1180">
        <v>88</v>
      </c>
      <c r="Q1180" t="s">
        <v>2634</v>
      </c>
    </row>
    <row r="1181" spans="1:17" x14ac:dyDescent="0.3">
      <c r="A1181" t="s">
        <v>17</v>
      </c>
      <c r="B1181" t="str">
        <f>"603158"</f>
        <v>603158</v>
      </c>
      <c r="C1181" t="s">
        <v>2635</v>
      </c>
      <c r="D1181" t="s">
        <v>348</v>
      </c>
      <c r="F1181">
        <v>579598171</v>
      </c>
      <c r="G1181">
        <v>646476755</v>
      </c>
      <c r="H1181">
        <v>512845407</v>
      </c>
      <c r="I1181">
        <v>283037864</v>
      </c>
      <c r="J1181">
        <v>239429643</v>
      </c>
      <c r="K1181">
        <v>221326934</v>
      </c>
      <c r="L1181">
        <v>137224543</v>
      </c>
      <c r="M1181">
        <v>133891944</v>
      </c>
      <c r="N1181">
        <v>128827812</v>
      </c>
      <c r="O1181">
        <v>93548953</v>
      </c>
      <c r="P1181">
        <v>145</v>
      </c>
      <c r="Q1181" t="s">
        <v>2636</v>
      </c>
    </row>
    <row r="1182" spans="1:17" x14ac:dyDescent="0.3">
      <c r="A1182" t="s">
        <v>17</v>
      </c>
      <c r="B1182" t="str">
        <f>"603159"</f>
        <v>603159</v>
      </c>
      <c r="C1182" t="s">
        <v>2637</v>
      </c>
      <c r="D1182" t="s">
        <v>741</v>
      </c>
      <c r="F1182">
        <v>140971995</v>
      </c>
      <c r="G1182">
        <v>133286626</v>
      </c>
      <c r="H1182">
        <v>132583013</v>
      </c>
      <c r="I1182">
        <v>130150963</v>
      </c>
      <c r="J1182">
        <v>128042569</v>
      </c>
      <c r="K1182">
        <v>108182056</v>
      </c>
      <c r="L1182">
        <v>81653548</v>
      </c>
      <c r="M1182">
        <v>80216266</v>
      </c>
      <c r="N1182">
        <v>73775625</v>
      </c>
      <c r="P1182">
        <v>62</v>
      </c>
      <c r="Q1182" t="s">
        <v>2638</v>
      </c>
    </row>
    <row r="1183" spans="1:17" x14ac:dyDescent="0.3">
      <c r="A1183" t="s">
        <v>17</v>
      </c>
      <c r="B1183" t="str">
        <f>"603160"</f>
        <v>603160</v>
      </c>
      <c r="C1183" t="s">
        <v>2639</v>
      </c>
      <c r="D1183" t="s">
        <v>401</v>
      </c>
      <c r="F1183">
        <v>1105214984</v>
      </c>
      <c r="G1183">
        <v>594753816</v>
      </c>
      <c r="H1183">
        <v>637175757</v>
      </c>
      <c r="I1183">
        <v>830081509</v>
      </c>
      <c r="J1183">
        <v>419178289</v>
      </c>
      <c r="K1183">
        <v>643037527</v>
      </c>
      <c r="L1183">
        <v>201628241</v>
      </c>
      <c r="M1183">
        <v>104167710</v>
      </c>
      <c r="N1183">
        <v>55595202</v>
      </c>
      <c r="P1183">
        <v>2243</v>
      </c>
      <c r="Q1183" t="s">
        <v>2640</v>
      </c>
    </row>
    <row r="1184" spans="1:17" x14ac:dyDescent="0.3">
      <c r="A1184" t="s">
        <v>17</v>
      </c>
      <c r="B1184" t="str">
        <f>"603161"</f>
        <v>603161</v>
      </c>
      <c r="C1184" t="s">
        <v>2641</v>
      </c>
      <c r="D1184" t="s">
        <v>348</v>
      </c>
      <c r="F1184">
        <v>549422400</v>
      </c>
      <c r="G1184">
        <v>538164524</v>
      </c>
      <c r="H1184">
        <v>541016879</v>
      </c>
      <c r="I1184">
        <v>592691376</v>
      </c>
      <c r="J1184">
        <v>341816147</v>
      </c>
      <c r="K1184">
        <v>262251959</v>
      </c>
      <c r="L1184">
        <v>223522450</v>
      </c>
      <c r="M1184">
        <v>184278637</v>
      </c>
      <c r="P1184">
        <v>81</v>
      </c>
      <c r="Q1184" t="s">
        <v>2642</v>
      </c>
    </row>
    <row r="1185" spans="1:17" x14ac:dyDescent="0.3">
      <c r="A1185" t="s">
        <v>17</v>
      </c>
      <c r="B1185" t="str">
        <f>"603165"</f>
        <v>603165</v>
      </c>
      <c r="C1185" t="s">
        <v>2643</v>
      </c>
      <c r="D1185" t="s">
        <v>694</v>
      </c>
      <c r="F1185">
        <v>265517181</v>
      </c>
      <c r="G1185">
        <v>172239070</v>
      </c>
      <c r="H1185">
        <v>131521097</v>
      </c>
      <c r="I1185">
        <v>195473964</v>
      </c>
      <c r="J1185">
        <v>171348740</v>
      </c>
      <c r="K1185">
        <v>148477096</v>
      </c>
      <c r="L1185">
        <v>108019684</v>
      </c>
      <c r="M1185">
        <v>103302336</v>
      </c>
      <c r="N1185">
        <v>111714564</v>
      </c>
      <c r="P1185">
        <v>587</v>
      </c>
      <c r="Q1185" t="s">
        <v>2644</v>
      </c>
    </row>
    <row r="1186" spans="1:17" x14ac:dyDescent="0.3">
      <c r="A1186" t="s">
        <v>17</v>
      </c>
      <c r="B1186" t="str">
        <f>"603166"</f>
        <v>603166</v>
      </c>
      <c r="C1186" t="s">
        <v>2645</v>
      </c>
      <c r="D1186" t="s">
        <v>348</v>
      </c>
      <c r="F1186">
        <v>404686744</v>
      </c>
      <c r="G1186">
        <v>500386331</v>
      </c>
      <c r="H1186">
        <v>441052463</v>
      </c>
      <c r="I1186">
        <v>345864234</v>
      </c>
      <c r="J1186">
        <v>375883039</v>
      </c>
      <c r="K1186">
        <v>372341938</v>
      </c>
      <c r="L1186">
        <v>327606507</v>
      </c>
      <c r="M1186">
        <v>355634601</v>
      </c>
      <c r="N1186">
        <v>329142302</v>
      </c>
      <c r="O1186">
        <v>330398296</v>
      </c>
      <c r="P1186">
        <v>141</v>
      </c>
      <c r="Q1186" t="s">
        <v>2646</v>
      </c>
    </row>
    <row r="1187" spans="1:17" x14ac:dyDescent="0.3">
      <c r="A1187" t="s">
        <v>17</v>
      </c>
      <c r="B1187" t="str">
        <f>"603167"</f>
        <v>603167</v>
      </c>
      <c r="C1187" t="s">
        <v>2647</v>
      </c>
      <c r="D1187" t="s">
        <v>69</v>
      </c>
      <c r="F1187">
        <v>97478321</v>
      </c>
      <c r="G1187">
        <v>27460524</v>
      </c>
      <c r="H1187">
        <v>40913606</v>
      </c>
      <c r="I1187">
        <v>21133501</v>
      </c>
      <c r="J1187">
        <v>17127568</v>
      </c>
      <c r="K1187">
        <v>22283541</v>
      </c>
      <c r="L1187">
        <v>17697174</v>
      </c>
      <c r="M1187">
        <v>13242857</v>
      </c>
      <c r="N1187">
        <v>16602134</v>
      </c>
      <c r="O1187">
        <v>16645426</v>
      </c>
      <c r="P1187">
        <v>239</v>
      </c>
      <c r="Q1187" t="s">
        <v>2648</v>
      </c>
    </row>
    <row r="1188" spans="1:17" x14ac:dyDescent="0.3">
      <c r="A1188" t="s">
        <v>17</v>
      </c>
      <c r="B1188" t="str">
        <f>"603168"</f>
        <v>603168</v>
      </c>
      <c r="C1188" t="s">
        <v>2649</v>
      </c>
      <c r="D1188" t="s">
        <v>143</v>
      </c>
      <c r="F1188">
        <v>15452638</v>
      </c>
      <c r="G1188">
        <v>22169618</v>
      </c>
      <c r="H1188">
        <v>26766532</v>
      </c>
      <c r="I1188">
        <v>26855497</v>
      </c>
      <c r="J1188">
        <v>30968290</v>
      </c>
      <c r="K1188">
        <v>21439104</v>
      </c>
      <c r="L1188">
        <v>10258513</v>
      </c>
      <c r="M1188">
        <v>18514250</v>
      </c>
      <c r="N1188">
        <v>23036907</v>
      </c>
      <c r="O1188">
        <v>36696080</v>
      </c>
      <c r="P1188">
        <v>528</v>
      </c>
      <c r="Q1188" t="s">
        <v>2650</v>
      </c>
    </row>
    <row r="1189" spans="1:17" x14ac:dyDescent="0.3">
      <c r="A1189" t="s">
        <v>17</v>
      </c>
      <c r="B1189" t="str">
        <f>"603169"</f>
        <v>603169</v>
      </c>
      <c r="C1189" t="s">
        <v>2651</v>
      </c>
      <c r="D1189" t="s">
        <v>395</v>
      </c>
      <c r="F1189">
        <v>1313150294</v>
      </c>
      <c r="G1189">
        <v>1970656628</v>
      </c>
      <c r="H1189">
        <v>1967856735</v>
      </c>
      <c r="I1189">
        <v>2349092889</v>
      </c>
      <c r="J1189">
        <v>2079638617</v>
      </c>
      <c r="K1189">
        <v>1416247848</v>
      </c>
      <c r="L1189">
        <v>1284295202</v>
      </c>
      <c r="M1189">
        <v>1094787146</v>
      </c>
      <c r="N1189">
        <v>962689745</v>
      </c>
      <c r="O1189">
        <v>669441112</v>
      </c>
      <c r="P1189">
        <v>81</v>
      </c>
      <c r="Q1189" t="s">
        <v>2652</v>
      </c>
    </row>
    <row r="1190" spans="1:17" x14ac:dyDescent="0.3">
      <c r="A1190" t="s">
        <v>17</v>
      </c>
      <c r="B1190" t="str">
        <f>"603171"</f>
        <v>603171</v>
      </c>
      <c r="C1190" t="s">
        <v>2653</v>
      </c>
      <c r="D1190" t="s">
        <v>316</v>
      </c>
      <c r="F1190">
        <v>105609417</v>
      </c>
      <c r="G1190">
        <v>52560344</v>
      </c>
      <c r="H1190">
        <v>19704743</v>
      </c>
      <c r="I1190">
        <v>16581162</v>
      </c>
      <c r="J1190">
        <v>17614070</v>
      </c>
      <c r="P1190">
        <v>54</v>
      </c>
      <c r="Q1190" t="s">
        <v>2654</v>
      </c>
    </row>
    <row r="1191" spans="1:17" x14ac:dyDescent="0.3">
      <c r="A1191" t="s">
        <v>17</v>
      </c>
      <c r="B1191" t="str">
        <f>"603176"</f>
        <v>603176</v>
      </c>
      <c r="C1191" t="s">
        <v>2655</v>
      </c>
      <c r="D1191" t="s">
        <v>101</v>
      </c>
      <c r="F1191">
        <v>1063669172</v>
      </c>
      <c r="G1191">
        <v>885290308</v>
      </c>
      <c r="H1191">
        <v>1169744754</v>
      </c>
      <c r="I1191">
        <v>941388886</v>
      </c>
      <c r="J1191">
        <v>989558384</v>
      </c>
      <c r="P1191">
        <v>17</v>
      </c>
      <c r="Q1191" t="s">
        <v>2656</v>
      </c>
    </row>
    <row r="1192" spans="1:17" x14ac:dyDescent="0.3">
      <c r="A1192" t="s">
        <v>17</v>
      </c>
      <c r="B1192" t="str">
        <f>"603177"</f>
        <v>603177</v>
      </c>
      <c r="C1192" t="s">
        <v>2657</v>
      </c>
      <c r="D1192" t="s">
        <v>663</v>
      </c>
      <c r="F1192">
        <v>351298666</v>
      </c>
      <c r="G1192">
        <v>335406552</v>
      </c>
      <c r="H1192">
        <v>401641221</v>
      </c>
      <c r="I1192">
        <v>456851784</v>
      </c>
      <c r="J1192">
        <v>514615635</v>
      </c>
      <c r="K1192">
        <v>455057003</v>
      </c>
      <c r="L1192">
        <v>382396253</v>
      </c>
      <c r="M1192">
        <v>311544420</v>
      </c>
      <c r="N1192">
        <v>240558767</v>
      </c>
      <c r="P1192">
        <v>68</v>
      </c>
      <c r="Q1192" t="s">
        <v>2658</v>
      </c>
    </row>
    <row r="1193" spans="1:17" x14ac:dyDescent="0.3">
      <c r="A1193" t="s">
        <v>17</v>
      </c>
      <c r="B1193" t="str">
        <f>"603178"</f>
        <v>603178</v>
      </c>
      <c r="C1193" t="s">
        <v>2659</v>
      </c>
      <c r="D1193" t="s">
        <v>348</v>
      </c>
      <c r="F1193">
        <v>385929496</v>
      </c>
      <c r="G1193">
        <v>325133716</v>
      </c>
      <c r="H1193">
        <v>277837621</v>
      </c>
      <c r="I1193">
        <v>216812901</v>
      </c>
      <c r="J1193">
        <v>343738375</v>
      </c>
      <c r="K1193">
        <v>267886385</v>
      </c>
      <c r="L1193">
        <v>216927746</v>
      </c>
      <c r="M1193">
        <v>164029529</v>
      </c>
      <c r="N1193">
        <v>117554327</v>
      </c>
      <c r="P1193">
        <v>80</v>
      </c>
      <c r="Q1193" t="s">
        <v>2660</v>
      </c>
    </row>
    <row r="1194" spans="1:17" x14ac:dyDescent="0.3">
      <c r="A1194" t="s">
        <v>17</v>
      </c>
      <c r="B1194" t="str">
        <f>"603179"</f>
        <v>603179</v>
      </c>
      <c r="C1194" t="s">
        <v>2661</v>
      </c>
      <c r="D1194" t="s">
        <v>1415</v>
      </c>
      <c r="F1194">
        <v>1202316047</v>
      </c>
      <c r="G1194">
        <v>1004139611</v>
      </c>
      <c r="H1194">
        <v>707173757</v>
      </c>
      <c r="I1194">
        <v>0</v>
      </c>
      <c r="J1194">
        <v>555811249</v>
      </c>
      <c r="K1194">
        <v>460456616</v>
      </c>
      <c r="L1194">
        <v>228468298</v>
      </c>
      <c r="M1194">
        <v>248891296</v>
      </c>
      <c r="P1194">
        <v>302</v>
      </c>
      <c r="Q1194" t="s">
        <v>2662</v>
      </c>
    </row>
    <row r="1195" spans="1:17" x14ac:dyDescent="0.3">
      <c r="A1195" t="s">
        <v>17</v>
      </c>
      <c r="B1195" t="str">
        <f>"603180"</f>
        <v>603180</v>
      </c>
      <c r="C1195" t="s">
        <v>2663</v>
      </c>
      <c r="D1195" t="s">
        <v>2664</v>
      </c>
      <c r="F1195">
        <v>89813725</v>
      </c>
      <c r="G1195">
        <v>52130007</v>
      </c>
      <c r="H1195">
        <v>38097954</v>
      </c>
      <c r="I1195">
        <v>25694223</v>
      </c>
      <c r="J1195">
        <v>16827380</v>
      </c>
      <c r="K1195">
        <v>8090940</v>
      </c>
      <c r="L1195">
        <v>8041862</v>
      </c>
      <c r="M1195">
        <v>7213725</v>
      </c>
      <c r="P1195">
        <v>1304</v>
      </c>
      <c r="Q1195" t="s">
        <v>2665</v>
      </c>
    </row>
    <row r="1196" spans="1:17" x14ac:dyDescent="0.3">
      <c r="A1196" t="s">
        <v>17</v>
      </c>
      <c r="B1196" t="str">
        <f>"603181"</f>
        <v>603181</v>
      </c>
      <c r="C1196" t="s">
        <v>2666</v>
      </c>
      <c r="D1196" t="s">
        <v>1192</v>
      </c>
      <c r="F1196">
        <v>228132348</v>
      </c>
      <c r="G1196">
        <v>245348869</v>
      </c>
      <c r="H1196">
        <v>228989690</v>
      </c>
      <c r="I1196">
        <v>201703217</v>
      </c>
      <c r="J1196">
        <v>261516653</v>
      </c>
      <c r="K1196">
        <v>240956852</v>
      </c>
      <c r="L1196">
        <v>215883689</v>
      </c>
      <c r="M1196">
        <v>237242564</v>
      </c>
      <c r="P1196">
        <v>160</v>
      </c>
      <c r="Q1196" t="s">
        <v>2667</v>
      </c>
    </row>
    <row r="1197" spans="1:17" x14ac:dyDescent="0.3">
      <c r="A1197" t="s">
        <v>17</v>
      </c>
      <c r="B1197" t="str">
        <f>"603183"</f>
        <v>603183</v>
      </c>
      <c r="C1197" t="s">
        <v>2668</v>
      </c>
      <c r="D1197" t="s">
        <v>2510</v>
      </c>
      <c r="F1197">
        <v>450422639</v>
      </c>
      <c r="G1197">
        <v>327365790</v>
      </c>
      <c r="H1197">
        <v>334774041</v>
      </c>
      <c r="I1197">
        <v>262542911</v>
      </c>
      <c r="J1197">
        <v>202520020</v>
      </c>
      <c r="K1197">
        <v>150929035</v>
      </c>
      <c r="L1197">
        <v>126142198</v>
      </c>
      <c r="M1197">
        <v>105911960</v>
      </c>
      <c r="P1197">
        <v>92</v>
      </c>
      <c r="Q1197" t="s">
        <v>2669</v>
      </c>
    </row>
    <row r="1198" spans="1:17" x14ac:dyDescent="0.3">
      <c r="A1198" t="s">
        <v>17</v>
      </c>
      <c r="B1198" t="str">
        <f>"603185"</f>
        <v>603185</v>
      </c>
      <c r="C1198" t="s">
        <v>2670</v>
      </c>
      <c r="D1198" t="s">
        <v>2671</v>
      </c>
      <c r="F1198">
        <v>129847294</v>
      </c>
      <c r="G1198">
        <v>151739518</v>
      </c>
      <c r="H1198">
        <v>401366955</v>
      </c>
      <c r="I1198">
        <v>301014984</v>
      </c>
      <c r="J1198">
        <v>0</v>
      </c>
      <c r="K1198">
        <v>0</v>
      </c>
      <c r="L1198">
        <v>0</v>
      </c>
      <c r="P1198">
        <v>516</v>
      </c>
      <c r="Q1198" t="s">
        <v>2672</v>
      </c>
    </row>
    <row r="1199" spans="1:17" x14ac:dyDescent="0.3">
      <c r="A1199" t="s">
        <v>17</v>
      </c>
      <c r="B1199" t="str">
        <f>"603186"</f>
        <v>603186</v>
      </c>
      <c r="C1199" t="s">
        <v>2673</v>
      </c>
      <c r="D1199" t="s">
        <v>425</v>
      </c>
      <c r="F1199">
        <v>1361637322</v>
      </c>
      <c r="G1199">
        <v>883209358</v>
      </c>
      <c r="H1199">
        <v>768455314</v>
      </c>
      <c r="I1199">
        <v>660286826</v>
      </c>
      <c r="J1199">
        <v>538328614</v>
      </c>
      <c r="K1199">
        <v>458659924</v>
      </c>
      <c r="L1199">
        <v>330718877</v>
      </c>
      <c r="M1199">
        <v>280321177</v>
      </c>
      <c r="N1199">
        <v>291978677</v>
      </c>
      <c r="P1199">
        <v>328</v>
      </c>
      <c r="Q1199" t="s">
        <v>2674</v>
      </c>
    </row>
    <row r="1200" spans="1:17" x14ac:dyDescent="0.3">
      <c r="A1200" t="s">
        <v>17</v>
      </c>
      <c r="B1200" t="str">
        <f>"603187"</f>
        <v>603187</v>
      </c>
      <c r="C1200" t="s">
        <v>2675</v>
      </c>
      <c r="D1200" t="s">
        <v>988</v>
      </c>
      <c r="F1200">
        <v>798465117</v>
      </c>
      <c r="G1200">
        <v>480849403</v>
      </c>
      <c r="H1200">
        <v>420038081</v>
      </c>
      <c r="I1200">
        <v>330225312</v>
      </c>
      <c r="J1200">
        <v>212142299</v>
      </c>
      <c r="K1200">
        <v>214642215</v>
      </c>
      <c r="L1200">
        <v>172570972</v>
      </c>
      <c r="P1200">
        <v>704</v>
      </c>
      <c r="Q1200" t="s">
        <v>2676</v>
      </c>
    </row>
    <row r="1201" spans="1:17" x14ac:dyDescent="0.3">
      <c r="A1201" t="s">
        <v>17</v>
      </c>
      <c r="B1201" t="str">
        <f>"603188"</f>
        <v>603188</v>
      </c>
      <c r="C1201" t="s">
        <v>2677</v>
      </c>
      <c r="D1201" t="s">
        <v>779</v>
      </c>
      <c r="F1201">
        <v>123668083</v>
      </c>
      <c r="G1201">
        <v>53329079</v>
      </c>
      <c r="H1201">
        <v>175380203</v>
      </c>
      <c r="I1201">
        <v>208066117</v>
      </c>
      <c r="J1201">
        <v>292827595</v>
      </c>
      <c r="K1201">
        <v>265875544</v>
      </c>
      <c r="L1201">
        <v>274904003</v>
      </c>
      <c r="M1201">
        <v>221169926</v>
      </c>
      <c r="N1201">
        <v>244863706</v>
      </c>
      <c r="O1201">
        <v>259979839</v>
      </c>
      <c r="P1201">
        <v>206</v>
      </c>
      <c r="Q1201" t="s">
        <v>2678</v>
      </c>
    </row>
    <row r="1202" spans="1:17" x14ac:dyDescent="0.3">
      <c r="A1202" t="s">
        <v>17</v>
      </c>
      <c r="B1202" t="str">
        <f>"603189"</f>
        <v>603189</v>
      </c>
      <c r="C1202" t="s">
        <v>2679</v>
      </c>
      <c r="D1202" t="s">
        <v>945</v>
      </c>
      <c r="F1202">
        <v>237174821</v>
      </c>
      <c r="G1202">
        <v>113052472</v>
      </c>
      <c r="H1202">
        <v>188469228</v>
      </c>
      <c r="I1202">
        <v>139509326</v>
      </c>
      <c r="J1202">
        <v>130151138</v>
      </c>
      <c r="K1202">
        <v>119687080</v>
      </c>
      <c r="L1202">
        <v>102872390</v>
      </c>
      <c r="M1202">
        <v>78908010</v>
      </c>
      <c r="N1202">
        <v>62120611</v>
      </c>
      <c r="P1202">
        <v>166</v>
      </c>
      <c r="Q1202" t="s">
        <v>2680</v>
      </c>
    </row>
    <row r="1203" spans="1:17" x14ac:dyDescent="0.3">
      <c r="A1203" t="s">
        <v>17</v>
      </c>
      <c r="B1203" t="str">
        <f>"603191"</f>
        <v>603191</v>
      </c>
      <c r="C1203" t="s">
        <v>2681</v>
      </c>
      <c r="F1203">
        <v>563414463</v>
      </c>
      <c r="G1203">
        <v>494523306</v>
      </c>
      <c r="H1203">
        <v>438029096</v>
      </c>
      <c r="I1203">
        <v>385060100</v>
      </c>
      <c r="P1203">
        <v>5</v>
      </c>
      <c r="Q1203" t="s">
        <v>2682</v>
      </c>
    </row>
    <row r="1204" spans="1:17" x14ac:dyDescent="0.3">
      <c r="A1204" t="s">
        <v>17</v>
      </c>
      <c r="B1204" t="str">
        <f>"603192"</f>
        <v>603192</v>
      </c>
      <c r="C1204" t="s">
        <v>2683</v>
      </c>
      <c r="D1204" t="s">
        <v>528</v>
      </c>
      <c r="F1204">
        <v>435721510</v>
      </c>
      <c r="G1204">
        <v>247524923</v>
      </c>
      <c r="H1204">
        <v>222561763</v>
      </c>
      <c r="I1204">
        <v>219158843</v>
      </c>
      <c r="J1204">
        <v>230294717</v>
      </c>
      <c r="K1204">
        <v>238565742</v>
      </c>
      <c r="L1204">
        <v>184094308</v>
      </c>
      <c r="P1204">
        <v>82</v>
      </c>
      <c r="Q1204" t="s">
        <v>2684</v>
      </c>
    </row>
    <row r="1205" spans="1:17" x14ac:dyDescent="0.3">
      <c r="A1205" t="s">
        <v>17</v>
      </c>
      <c r="B1205" t="str">
        <f>"603195"</f>
        <v>603195</v>
      </c>
      <c r="C1205" t="s">
        <v>2685</v>
      </c>
      <c r="D1205" t="s">
        <v>2445</v>
      </c>
      <c r="F1205">
        <v>219259743</v>
      </c>
      <c r="G1205">
        <v>183928614</v>
      </c>
      <c r="H1205">
        <v>197206378</v>
      </c>
      <c r="I1205">
        <v>211295437</v>
      </c>
      <c r="J1205">
        <v>119675822</v>
      </c>
      <c r="K1205">
        <v>76271244</v>
      </c>
      <c r="P1205">
        <v>1473</v>
      </c>
      <c r="Q1205" t="s">
        <v>2686</v>
      </c>
    </row>
    <row r="1206" spans="1:17" x14ac:dyDescent="0.3">
      <c r="A1206" t="s">
        <v>17</v>
      </c>
      <c r="B1206" t="str">
        <f>"603196"</f>
        <v>603196</v>
      </c>
      <c r="C1206" t="s">
        <v>2687</v>
      </c>
      <c r="D1206" t="s">
        <v>255</v>
      </c>
      <c r="F1206">
        <v>39586367</v>
      </c>
      <c r="G1206">
        <v>43821878</v>
      </c>
      <c r="H1206">
        <v>75428868</v>
      </c>
      <c r="I1206">
        <v>86838484</v>
      </c>
      <c r="J1206">
        <v>85084398</v>
      </c>
      <c r="K1206">
        <v>67414455</v>
      </c>
      <c r="L1206">
        <v>73288600</v>
      </c>
      <c r="M1206">
        <v>49815209</v>
      </c>
      <c r="P1206">
        <v>70</v>
      </c>
      <c r="Q1206" t="s">
        <v>2688</v>
      </c>
    </row>
    <row r="1207" spans="1:17" x14ac:dyDescent="0.3">
      <c r="A1207" t="s">
        <v>17</v>
      </c>
      <c r="B1207" t="str">
        <f>"603197"</f>
        <v>603197</v>
      </c>
      <c r="C1207" t="s">
        <v>2689</v>
      </c>
      <c r="D1207" t="s">
        <v>985</v>
      </c>
      <c r="F1207">
        <v>822085587</v>
      </c>
      <c r="G1207">
        <v>742377271</v>
      </c>
      <c r="H1207">
        <v>704345948</v>
      </c>
      <c r="I1207">
        <v>499986984</v>
      </c>
      <c r="J1207">
        <v>436235959</v>
      </c>
      <c r="K1207">
        <v>401584422</v>
      </c>
      <c r="L1207">
        <v>312250927</v>
      </c>
      <c r="M1207">
        <v>238506169</v>
      </c>
      <c r="P1207">
        <v>357</v>
      </c>
      <c r="Q1207" t="s">
        <v>2690</v>
      </c>
    </row>
    <row r="1208" spans="1:17" x14ac:dyDescent="0.3">
      <c r="A1208" t="s">
        <v>17</v>
      </c>
      <c r="B1208" t="str">
        <f>"603198"</f>
        <v>603198</v>
      </c>
      <c r="C1208" t="s">
        <v>2691</v>
      </c>
      <c r="D1208" t="s">
        <v>458</v>
      </c>
      <c r="F1208">
        <v>49905778</v>
      </c>
      <c r="G1208">
        <v>56631368</v>
      </c>
      <c r="H1208">
        <v>47565511</v>
      </c>
      <c r="I1208">
        <v>55186888</v>
      </c>
      <c r="J1208">
        <v>69032296</v>
      </c>
      <c r="K1208">
        <v>71306535</v>
      </c>
      <c r="L1208">
        <v>61308290</v>
      </c>
      <c r="M1208">
        <v>72099022</v>
      </c>
      <c r="N1208">
        <v>74421110</v>
      </c>
      <c r="O1208">
        <v>68661578</v>
      </c>
      <c r="P1208">
        <v>5968</v>
      </c>
      <c r="Q1208" t="s">
        <v>2692</v>
      </c>
    </row>
    <row r="1209" spans="1:17" x14ac:dyDescent="0.3">
      <c r="A1209" t="s">
        <v>17</v>
      </c>
      <c r="B1209" t="str">
        <f>"603199"</f>
        <v>603199</v>
      </c>
      <c r="C1209" t="s">
        <v>2693</v>
      </c>
      <c r="D1209" t="s">
        <v>119</v>
      </c>
      <c r="F1209">
        <v>916763</v>
      </c>
      <c r="G1209">
        <v>1614642</v>
      </c>
      <c r="H1209">
        <v>1880183</v>
      </c>
      <c r="I1209">
        <v>2083498</v>
      </c>
      <c r="J1209">
        <v>2312856</v>
      </c>
      <c r="K1209">
        <v>2219332</v>
      </c>
      <c r="L1209">
        <v>1860412</v>
      </c>
      <c r="M1209">
        <v>2459683</v>
      </c>
      <c r="N1209">
        <v>2508046</v>
      </c>
      <c r="O1209">
        <v>2886577</v>
      </c>
      <c r="P1209">
        <v>144</v>
      </c>
      <c r="Q1209" t="s">
        <v>2694</v>
      </c>
    </row>
    <row r="1210" spans="1:17" x14ac:dyDescent="0.3">
      <c r="A1210" t="s">
        <v>17</v>
      </c>
      <c r="B1210" t="str">
        <f>"603200"</f>
        <v>603200</v>
      </c>
      <c r="C1210" t="s">
        <v>2695</v>
      </c>
      <c r="D1210" t="s">
        <v>33</v>
      </c>
      <c r="F1210">
        <v>290147976</v>
      </c>
      <c r="G1210">
        <v>259502494</v>
      </c>
      <c r="H1210">
        <v>312129158</v>
      </c>
      <c r="I1210">
        <v>224664543</v>
      </c>
      <c r="J1210">
        <v>157879879</v>
      </c>
      <c r="K1210">
        <v>171430609</v>
      </c>
      <c r="L1210">
        <v>169384055</v>
      </c>
      <c r="M1210">
        <v>138247040</v>
      </c>
      <c r="P1210">
        <v>101</v>
      </c>
      <c r="Q1210" t="s">
        <v>2696</v>
      </c>
    </row>
    <row r="1211" spans="1:17" x14ac:dyDescent="0.3">
      <c r="A1211" t="s">
        <v>17</v>
      </c>
      <c r="B1211" t="str">
        <f>"603203"</f>
        <v>603203</v>
      </c>
      <c r="C1211" t="s">
        <v>2697</v>
      </c>
      <c r="D1211" t="s">
        <v>2432</v>
      </c>
      <c r="F1211">
        <v>217833454</v>
      </c>
      <c r="G1211">
        <v>108545335</v>
      </c>
      <c r="H1211">
        <v>88799513</v>
      </c>
      <c r="I1211">
        <v>67873028</v>
      </c>
      <c r="J1211">
        <v>48430788</v>
      </c>
      <c r="K1211">
        <v>36844567</v>
      </c>
      <c r="L1211">
        <v>34778594</v>
      </c>
      <c r="M1211">
        <v>42529289</v>
      </c>
      <c r="N1211">
        <v>37951163</v>
      </c>
      <c r="P1211">
        <v>2649</v>
      </c>
      <c r="Q1211" t="s">
        <v>2698</v>
      </c>
    </row>
    <row r="1212" spans="1:17" x14ac:dyDescent="0.3">
      <c r="A1212" t="s">
        <v>17</v>
      </c>
      <c r="B1212" t="str">
        <f>"603206"</f>
        <v>603206</v>
      </c>
      <c r="C1212" t="s">
        <v>2699</v>
      </c>
      <c r="F1212">
        <v>993634110</v>
      </c>
      <c r="G1212">
        <v>547987258</v>
      </c>
      <c r="H1212">
        <v>468501537</v>
      </c>
      <c r="I1212">
        <v>595013199</v>
      </c>
      <c r="Q1212" t="s">
        <v>2700</v>
      </c>
    </row>
    <row r="1213" spans="1:17" x14ac:dyDescent="0.3">
      <c r="A1213" t="s">
        <v>17</v>
      </c>
      <c r="B1213" t="str">
        <f>"603208"</f>
        <v>603208</v>
      </c>
      <c r="C1213" t="s">
        <v>2701</v>
      </c>
      <c r="D1213" t="s">
        <v>2664</v>
      </c>
      <c r="F1213">
        <v>941053414</v>
      </c>
      <c r="G1213">
        <v>498491038</v>
      </c>
      <c r="H1213">
        <v>393719615</v>
      </c>
      <c r="I1213">
        <v>241835399</v>
      </c>
      <c r="J1213">
        <v>171380525</v>
      </c>
      <c r="K1213">
        <v>87549135</v>
      </c>
      <c r="L1213">
        <v>79085530</v>
      </c>
      <c r="M1213">
        <v>38401632</v>
      </c>
      <c r="N1213">
        <v>35584081</v>
      </c>
      <c r="P1213">
        <v>493</v>
      </c>
      <c r="Q1213" t="s">
        <v>2702</v>
      </c>
    </row>
    <row r="1214" spans="1:17" x14ac:dyDescent="0.3">
      <c r="A1214" t="s">
        <v>17</v>
      </c>
      <c r="B1214" t="str">
        <f>"603209"</f>
        <v>603209</v>
      </c>
      <c r="C1214" t="s">
        <v>2703</v>
      </c>
      <c r="F1214">
        <v>32002887</v>
      </c>
      <c r="G1214">
        <v>41819561</v>
      </c>
      <c r="H1214">
        <v>35472860</v>
      </c>
      <c r="I1214">
        <v>20209700</v>
      </c>
      <c r="P1214">
        <v>12</v>
      </c>
      <c r="Q1214" t="s">
        <v>2704</v>
      </c>
    </row>
    <row r="1215" spans="1:17" x14ac:dyDescent="0.3">
      <c r="A1215" t="s">
        <v>17</v>
      </c>
      <c r="B1215" t="str">
        <f>"603212"</f>
        <v>603212</v>
      </c>
      <c r="C1215" t="s">
        <v>2705</v>
      </c>
      <c r="D1215" t="s">
        <v>478</v>
      </c>
      <c r="F1215">
        <v>1208524101</v>
      </c>
      <c r="G1215">
        <v>1033931693</v>
      </c>
      <c r="H1215">
        <v>833752983</v>
      </c>
      <c r="I1215">
        <v>757518498</v>
      </c>
      <c r="J1215">
        <v>596039851</v>
      </c>
      <c r="P1215">
        <v>129</v>
      </c>
      <c r="Q1215" t="s">
        <v>2706</v>
      </c>
    </row>
    <row r="1216" spans="1:17" x14ac:dyDescent="0.3">
      <c r="A1216" t="s">
        <v>17</v>
      </c>
      <c r="B1216" t="str">
        <f>"603213"</f>
        <v>603213</v>
      </c>
      <c r="C1216" t="s">
        <v>2707</v>
      </c>
      <c r="D1216" t="s">
        <v>175</v>
      </c>
      <c r="F1216">
        <v>55345878</v>
      </c>
      <c r="G1216">
        <v>31652636</v>
      </c>
      <c r="H1216">
        <v>32185454</v>
      </c>
      <c r="I1216">
        <v>30460545</v>
      </c>
      <c r="J1216">
        <v>56279051</v>
      </c>
      <c r="P1216">
        <v>32</v>
      </c>
      <c r="Q1216" t="s">
        <v>2708</v>
      </c>
    </row>
    <row r="1217" spans="1:17" x14ac:dyDescent="0.3">
      <c r="A1217" t="s">
        <v>17</v>
      </c>
      <c r="B1217" t="str">
        <f>"603214"</f>
        <v>603214</v>
      </c>
      <c r="C1217" t="s">
        <v>2709</v>
      </c>
      <c r="D1217" t="s">
        <v>295</v>
      </c>
      <c r="F1217">
        <v>67067385</v>
      </c>
      <c r="G1217">
        <v>15604777</v>
      </c>
      <c r="H1217">
        <v>19213815</v>
      </c>
      <c r="I1217">
        <v>0</v>
      </c>
      <c r="J1217">
        <v>9133413</v>
      </c>
      <c r="K1217">
        <v>9897410</v>
      </c>
      <c r="L1217">
        <v>28898470</v>
      </c>
      <c r="P1217">
        <v>290</v>
      </c>
      <c r="Q1217" t="s">
        <v>2710</v>
      </c>
    </row>
    <row r="1218" spans="1:17" x14ac:dyDescent="0.3">
      <c r="A1218" t="s">
        <v>17</v>
      </c>
      <c r="B1218" t="str">
        <f>"603215"</f>
        <v>603215</v>
      </c>
      <c r="C1218" t="s">
        <v>2711</v>
      </c>
      <c r="F1218">
        <v>365561063</v>
      </c>
      <c r="G1218">
        <v>284050217</v>
      </c>
      <c r="H1218">
        <v>128354653</v>
      </c>
      <c r="I1218">
        <v>65043417</v>
      </c>
      <c r="P1218">
        <v>13</v>
      </c>
      <c r="Q1218" t="s">
        <v>2712</v>
      </c>
    </row>
    <row r="1219" spans="1:17" x14ac:dyDescent="0.3">
      <c r="A1219" t="s">
        <v>17</v>
      </c>
      <c r="B1219" t="str">
        <f>"603216"</f>
        <v>603216</v>
      </c>
      <c r="C1219" t="s">
        <v>2713</v>
      </c>
      <c r="D1219" t="s">
        <v>2664</v>
      </c>
      <c r="F1219">
        <v>40460408</v>
      </c>
      <c r="G1219">
        <v>21888698</v>
      </c>
      <c r="H1219">
        <v>17183739</v>
      </c>
      <c r="I1219">
        <v>23149185</v>
      </c>
      <c r="J1219">
        <v>23699425</v>
      </c>
      <c r="P1219">
        <v>22</v>
      </c>
      <c r="Q1219" t="s">
        <v>2714</v>
      </c>
    </row>
    <row r="1220" spans="1:17" x14ac:dyDescent="0.3">
      <c r="A1220" t="s">
        <v>17</v>
      </c>
      <c r="B1220" t="str">
        <f>"603217"</f>
        <v>603217</v>
      </c>
      <c r="C1220" t="s">
        <v>2715</v>
      </c>
      <c r="D1220" t="s">
        <v>386</v>
      </c>
      <c r="F1220">
        <v>138785454</v>
      </c>
      <c r="G1220">
        <v>90719757</v>
      </c>
      <c r="H1220">
        <v>75999048</v>
      </c>
      <c r="I1220">
        <v>0</v>
      </c>
      <c r="J1220">
        <v>0</v>
      </c>
      <c r="K1220">
        <v>0</v>
      </c>
      <c r="P1220">
        <v>71</v>
      </c>
      <c r="Q1220" t="s">
        <v>2716</v>
      </c>
    </row>
    <row r="1221" spans="1:17" x14ac:dyDescent="0.3">
      <c r="A1221" t="s">
        <v>17</v>
      </c>
      <c r="B1221" t="str">
        <f>"603218"</f>
        <v>603218</v>
      </c>
      <c r="C1221" t="s">
        <v>2717</v>
      </c>
      <c r="D1221" t="s">
        <v>950</v>
      </c>
      <c r="F1221">
        <v>1237920534</v>
      </c>
      <c r="G1221">
        <v>1120722504</v>
      </c>
      <c r="H1221">
        <v>1122413444</v>
      </c>
      <c r="I1221">
        <v>865392309</v>
      </c>
      <c r="J1221">
        <v>740416888</v>
      </c>
      <c r="K1221">
        <v>620777039</v>
      </c>
      <c r="L1221">
        <v>600265186</v>
      </c>
      <c r="M1221">
        <v>415051037</v>
      </c>
      <c r="N1221">
        <v>296252637</v>
      </c>
      <c r="P1221">
        <v>566</v>
      </c>
      <c r="Q1221" t="s">
        <v>2718</v>
      </c>
    </row>
    <row r="1222" spans="1:17" x14ac:dyDescent="0.3">
      <c r="A1222" t="s">
        <v>17</v>
      </c>
      <c r="B1222" t="str">
        <f>"603219"</f>
        <v>603219</v>
      </c>
      <c r="C1222" t="s">
        <v>2719</v>
      </c>
      <c r="D1222" t="s">
        <v>2720</v>
      </c>
      <c r="F1222">
        <v>693824478</v>
      </c>
      <c r="G1222">
        <v>433616580</v>
      </c>
      <c r="H1222">
        <v>217356057</v>
      </c>
      <c r="I1222">
        <v>261059186</v>
      </c>
      <c r="J1222">
        <v>189513622</v>
      </c>
      <c r="P1222">
        <v>23</v>
      </c>
      <c r="Q1222" t="s">
        <v>2721</v>
      </c>
    </row>
    <row r="1223" spans="1:17" x14ac:dyDescent="0.3">
      <c r="A1223" t="s">
        <v>17</v>
      </c>
      <c r="B1223" t="str">
        <f>"603220"</f>
        <v>603220</v>
      </c>
      <c r="C1223" t="s">
        <v>2722</v>
      </c>
      <c r="D1223" t="s">
        <v>654</v>
      </c>
      <c r="F1223">
        <v>1864362018</v>
      </c>
      <c r="G1223">
        <v>1875591408</v>
      </c>
      <c r="H1223">
        <v>1661228441</v>
      </c>
      <c r="I1223">
        <v>1465380654</v>
      </c>
      <c r="J1223">
        <v>0</v>
      </c>
      <c r="K1223">
        <v>0</v>
      </c>
      <c r="L1223">
        <v>0</v>
      </c>
      <c r="P1223">
        <v>146</v>
      </c>
      <c r="Q1223" t="s">
        <v>2723</v>
      </c>
    </row>
    <row r="1224" spans="1:17" x14ac:dyDescent="0.3">
      <c r="A1224" t="s">
        <v>17</v>
      </c>
      <c r="B1224" t="str">
        <f>"603221"</f>
        <v>603221</v>
      </c>
      <c r="C1224" t="s">
        <v>2724</v>
      </c>
      <c r="D1224" t="s">
        <v>178</v>
      </c>
      <c r="F1224">
        <v>163550328</v>
      </c>
      <c r="G1224">
        <v>189182689</v>
      </c>
      <c r="H1224">
        <v>198614813</v>
      </c>
      <c r="I1224">
        <v>169030442</v>
      </c>
      <c r="J1224">
        <v>227986442</v>
      </c>
      <c r="P1224">
        <v>79</v>
      </c>
      <c r="Q1224" t="s">
        <v>2725</v>
      </c>
    </row>
    <row r="1225" spans="1:17" x14ac:dyDescent="0.3">
      <c r="A1225" t="s">
        <v>17</v>
      </c>
      <c r="B1225" t="str">
        <f>"603222"</f>
        <v>603222</v>
      </c>
      <c r="C1225" t="s">
        <v>2726</v>
      </c>
      <c r="D1225" t="s">
        <v>1077</v>
      </c>
      <c r="F1225">
        <v>170776277</v>
      </c>
      <c r="G1225">
        <v>198585917</v>
      </c>
      <c r="H1225">
        <v>161933446</v>
      </c>
      <c r="I1225">
        <v>184753803</v>
      </c>
      <c r="J1225">
        <v>156032719</v>
      </c>
      <c r="K1225">
        <v>133303859</v>
      </c>
      <c r="L1225">
        <v>122732090</v>
      </c>
      <c r="M1225">
        <v>126115025</v>
      </c>
      <c r="N1225">
        <v>177565477</v>
      </c>
      <c r="O1225">
        <v>153402795</v>
      </c>
      <c r="P1225">
        <v>171</v>
      </c>
      <c r="Q1225" t="s">
        <v>2727</v>
      </c>
    </row>
    <row r="1226" spans="1:17" x14ac:dyDescent="0.3">
      <c r="A1226" t="s">
        <v>17</v>
      </c>
      <c r="B1226" t="str">
        <f>"603223"</f>
        <v>603223</v>
      </c>
      <c r="C1226" t="s">
        <v>2728</v>
      </c>
      <c r="D1226" t="s">
        <v>2503</v>
      </c>
      <c r="F1226">
        <v>114341365</v>
      </c>
      <c r="G1226">
        <v>132441961</v>
      </c>
      <c r="H1226">
        <v>126700385</v>
      </c>
      <c r="I1226">
        <v>184176610</v>
      </c>
      <c r="J1226">
        <v>62810280</v>
      </c>
      <c r="K1226">
        <v>55143465</v>
      </c>
      <c r="L1226">
        <v>63913357</v>
      </c>
      <c r="M1226">
        <v>46461509</v>
      </c>
      <c r="N1226">
        <v>56561185</v>
      </c>
      <c r="O1226">
        <v>48829933</v>
      </c>
      <c r="P1226">
        <v>98</v>
      </c>
      <c r="Q1226" t="s">
        <v>2729</v>
      </c>
    </row>
    <row r="1227" spans="1:17" x14ac:dyDescent="0.3">
      <c r="A1227" t="s">
        <v>17</v>
      </c>
      <c r="B1227" t="str">
        <f>"603225"</f>
        <v>603225</v>
      </c>
      <c r="C1227" t="s">
        <v>2730</v>
      </c>
      <c r="D1227" t="s">
        <v>2731</v>
      </c>
      <c r="F1227">
        <v>535231667</v>
      </c>
      <c r="G1227">
        <v>439834487</v>
      </c>
      <c r="H1227">
        <v>314279773</v>
      </c>
      <c r="I1227">
        <v>398665884</v>
      </c>
      <c r="J1227">
        <v>125024070</v>
      </c>
      <c r="K1227">
        <v>203015081</v>
      </c>
      <c r="L1227">
        <v>244575705</v>
      </c>
      <c r="M1227">
        <v>102000499</v>
      </c>
      <c r="P1227">
        <v>388</v>
      </c>
      <c r="Q1227" t="s">
        <v>2732</v>
      </c>
    </row>
    <row r="1228" spans="1:17" x14ac:dyDescent="0.3">
      <c r="A1228" t="s">
        <v>17</v>
      </c>
      <c r="B1228" t="str">
        <f>"603226"</f>
        <v>603226</v>
      </c>
      <c r="C1228" t="s">
        <v>2733</v>
      </c>
      <c r="D1228" t="s">
        <v>178</v>
      </c>
      <c r="F1228">
        <v>34269553</v>
      </c>
      <c r="G1228">
        <v>14425307</v>
      </c>
      <c r="H1228">
        <v>13696970</v>
      </c>
      <c r="I1228">
        <v>960347</v>
      </c>
      <c r="J1228">
        <v>1329844</v>
      </c>
      <c r="K1228">
        <v>181261</v>
      </c>
      <c r="L1228">
        <v>24526</v>
      </c>
      <c r="M1228">
        <v>1772657</v>
      </c>
      <c r="P1228">
        <v>113</v>
      </c>
      <c r="Q1228" t="s">
        <v>2734</v>
      </c>
    </row>
    <row r="1229" spans="1:17" x14ac:dyDescent="0.3">
      <c r="A1229" t="s">
        <v>17</v>
      </c>
      <c r="B1229" t="str">
        <f>"603227"</f>
        <v>603227</v>
      </c>
      <c r="C1229" t="s">
        <v>2735</v>
      </c>
      <c r="D1229" t="s">
        <v>2736</v>
      </c>
      <c r="F1229">
        <v>328907445</v>
      </c>
      <c r="G1229">
        <v>359741444</v>
      </c>
      <c r="H1229">
        <v>372771736</v>
      </c>
      <c r="I1229">
        <v>314993520</v>
      </c>
      <c r="J1229">
        <v>252206984</v>
      </c>
      <c r="K1229">
        <v>185069167</v>
      </c>
      <c r="L1229">
        <v>215878611</v>
      </c>
      <c r="M1229">
        <v>101928934</v>
      </c>
      <c r="N1229">
        <v>93440589</v>
      </c>
      <c r="O1229">
        <v>84774353</v>
      </c>
      <c r="P1229">
        <v>80</v>
      </c>
      <c r="Q1229" t="s">
        <v>2737</v>
      </c>
    </row>
    <row r="1230" spans="1:17" x14ac:dyDescent="0.3">
      <c r="A1230" t="s">
        <v>17</v>
      </c>
      <c r="B1230" t="str">
        <f>"603228"</f>
        <v>603228</v>
      </c>
      <c r="C1230" t="s">
        <v>2738</v>
      </c>
      <c r="D1230" t="s">
        <v>425</v>
      </c>
      <c r="F1230">
        <v>3092727198</v>
      </c>
      <c r="G1230">
        <v>2371968301</v>
      </c>
      <c r="H1230">
        <v>2145892789</v>
      </c>
      <c r="I1230">
        <v>1641550553</v>
      </c>
      <c r="J1230">
        <v>1302325202</v>
      </c>
      <c r="K1230">
        <v>1065612831</v>
      </c>
      <c r="L1230">
        <v>859543068</v>
      </c>
      <c r="M1230">
        <v>678267178</v>
      </c>
      <c r="N1230">
        <v>534096597</v>
      </c>
      <c r="P1230">
        <v>1624</v>
      </c>
      <c r="Q1230" t="s">
        <v>2739</v>
      </c>
    </row>
    <row r="1231" spans="1:17" x14ac:dyDescent="0.3">
      <c r="A1231" t="s">
        <v>17</v>
      </c>
      <c r="B1231" t="str">
        <f>"603229"</f>
        <v>603229</v>
      </c>
      <c r="C1231" t="s">
        <v>2740</v>
      </c>
      <c r="D1231" t="s">
        <v>496</v>
      </c>
      <c r="F1231">
        <v>66239788</v>
      </c>
      <c r="G1231">
        <v>45563248</v>
      </c>
      <c r="H1231">
        <v>62385908</v>
      </c>
      <c r="I1231">
        <v>75735629</v>
      </c>
      <c r="J1231">
        <v>80363236</v>
      </c>
      <c r="K1231">
        <v>68085061</v>
      </c>
      <c r="L1231">
        <v>109899017</v>
      </c>
      <c r="M1231">
        <v>49010073</v>
      </c>
      <c r="P1231">
        <v>164</v>
      </c>
      <c r="Q1231" t="s">
        <v>2741</v>
      </c>
    </row>
    <row r="1232" spans="1:17" x14ac:dyDescent="0.3">
      <c r="A1232" t="s">
        <v>17</v>
      </c>
      <c r="B1232" t="str">
        <f>"603230"</f>
        <v>603230</v>
      </c>
      <c r="C1232" t="s">
        <v>2742</v>
      </c>
      <c r="D1232" t="s">
        <v>1536</v>
      </c>
      <c r="F1232">
        <v>315076253</v>
      </c>
      <c r="G1232">
        <v>317732180</v>
      </c>
      <c r="H1232">
        <v>342399227</v>
      </c>
      <c r="I1232">
        <v>255760305</v>
      </c>
      <c r="J1232">
        <v>197153900</v>
      </c>
      <c r="P1232">
        <v>17</v>
      </c>
      <c r="Q1232" t="s">
        <v>2743</v>
      </c>
    </row>
    <row r="1233" spans="1:17" x14ac:dyDescent="0.3">
      <c r="A1233" t="s">
        <v>17</v>
      </c>
      <c r="B1233" t="str">
        <f>"603232"</f>
        <v>603232</v>
      </c>
      <c r="C1233" t="s">
        <v>2744</v>
      </c>
      <c r="D1233" t="s">
        <v>945</v>
      </c>
      <c r="F1233">
        <v>222053111</v>
      </c>
      <c r="G1233">
        <v>216059668</v>
      </c>
      <c r="H1233">
        <v>222172110</v>
      </c>
      <c r="I1233">
        <v>194933840</v>
      </c>
      <c r="J1233">
        <v>159896943</v>
      </c>
      <c r="K1233">
        <v>75137712</v>
      </c>
      <c r="L1233">
        <v>74216799</v>
      </c>
      <c r="M1233">
        <v>80939736</v>
      </c>
      <c r="P1233">
        <v>159</v>
      </c>
      <c r="Q1233" t="s">
        <v>2745</v>
      </c>
    </row>
    <row r="1234" spans="1:17" x14ac:dyDescent="0.3">
      <c r="A1234" t="s">
        <v>17</v>
      </c>
      <c r="B1234" t="str">
        <f>"603233"</f>
        <v>603233</v>
      </c>
      <c r="C1234" t="s">
        <v>2746</v>
      </c>
      <c r="D1234" t="s">
        <v>1686</v>
      </c>
      <c r="F1234">
        <v>739223620</v>
      </c>
      <c r="G1234">
        <v>432307991</v>
      </c>
      <c r="H1234">
        <v>355592763</v>
      </c>
      <c r="I1234">
        <v>276957396</v>
      </c>
      <c r="J1234">
        <v>246564048</v>
      </c>
      <c r="K1234">
        <v>206813033</v>
      </c>
      <c r="L1234">
        <v>110912317</v>
      </c>
      <c r="M1234">
        <v>105276082</v>
      </c>
      <c r="P1234">
        <v>1786</v>
      </c>
      <c r="Q1234" t="s">
        <v>2747</v>
      </c>
    </row>
    <row r="1235" spans="1:17" x14ac:dyDescent="0.3">
      <c r="A1235" t="s">
        <v>17</v>
      </c>
      <c r="B1235" t="str">
        <f>"603236"</f>
        <v>603236</v>
      </c>
      <c r="C1235" t="s">
        <v>2748</v>
      </c>
      <c r="D1235" t="s">
        <v>786</v>
      </c>
      <c r="F1235">
        <v>1573978551</v>
      </c>
      <c r="G1235">
        <v>871530879</v>
      </c>
      <c r="H1235">
        <v>480932488</v>
      </c>
      <c r="I1235">
        <v>211524659</v>
      </c>
      <c r="J1235">
        <v>0</v>
      </c>
      <c r="K1235">
        <v>0</v>
      </c>
      <c r="P1235">
        <v>589</v>
      </c>
      <c r="Q1235" t="s">
        <v>2749</v>
      </c>
    </row>
    <row r="1236" spans="1:17" x14ac:dyDescent="0.3">
      <c r="A1236" t="s">
        <v>17</v>
      </c>
      <c r="B1236" t="str">
        <f>"603238"</f>
        <v>603238</v>
      </c>
      <c r="C1236" t="s">
        <v>2750</v>
      </c>
      <c r="D1236" t="s">
        <v>2751</v>
      </c>
      <c r="F1236">
        <v>179066253</v>
      </c>
      <c r="G1236">
        <v>227357507</v>
      </c>
      <c r="H1236">
        <v>137021074</v>
      </c>
      <c r="I1236">
        <v>113201578</v>
      </c>
      <c r="J1236">
        <v>75448262</v>
      </c>
      <c r="K1236">
        <v>28277949</v>
      </c>
      <c r="L1236">
        <v>26380737</v>
      </c>
      <c r="M1236">
        <v>19411753</v>
      </c>
      <c r="N1236">
        <v>19548520</v>
      </c>
      <c r="P1236">
        <v>240</v>
      </c>
      <c r="Q1236" t="s">
        <v>2752</v>
      </c>
    </row>
    <row r="1237" spans="1:17" x14ac:dyDescent="0.3">
      <c r="A1237" t="s">
        <v>17</v>
      </c>
      <c r="B1237" t="str">
        <f>"603239"</f>
        <v>603239</v>
      </c>
      <c r="C1237" t="s">
        <v>2753</v>
      </c>
      <c r="D1237" t="s">
        <v>985</v>
      </c>
      <c r="F1237">
        <v>266612204</v>
      </c>
      <c r="G1237">
        <v>224768335</v>
      </c>
      <c r="H1237">
        <v>229272260</v>
      </c>
      <c r="I1237">
        <v>180478465</v>
      </c>
      <c r="J1237">
        <v>246222723</v>
      </c>
      <c r="K1237">
        <v>175188871</v>
      </c>
      <c r="L1237">
        <v>132761885</v>
      </c>
      <c r="M1237">
        <v>89129290</v>
      </c>
      <c r="N1237">
        <v>108310445</v>
      </c>
      <c r="P1237">
        <v>166</v>
      </c>
      <c r="Q1237" t="s">
        <v>2754</v>
      </c>
    </row>
    <row r="1238" spans="1:17" x14ac:dyDescent="0.3">
      <c r="A1238" t="s">
        <v>17</v>
      </c>
      <c r="B1238" t="str">
        <f>"603256"</f>
        <v>603256</v>
      </c>
      <c r="C1238" t="s">
        <v>2755</v>
      </c>
      <c r="D1238" t="s">
        <v>411</v>
      </c>
      <c r="F1238">
        <v>251541310</v>
      </c>
      <c r="G1238">
        <v>191211285</v>
      </c>
      <c r="H1238">
        <v>203461019</v>
      </c>
      <c r="I1238">
        <v>226600958</v>
      </c>
      <c r="J1238">
        <v>0</v>
      </c>
      <c r="K1238">
        <v>0</v>
      </c>
      <c r="P1238">
        <v>340</v>
      </c>
      <c r="Q1238" t="s">
        <v>2756</v>
      </c>
    </row>
    <row r="1239" spans="1:17" x14ac:dyDescent="0.3">
      <c r="A1239" t="s">
        <v>17</v>
      </c>
      <c r="B1239" t="str">
        <f>"603258"</f>
        <v>603258</v>
      </c>
      <c r="C1239" t="s">
        <v>2757</v>
      </c>
      <c r="D1239" t="s">
        <v>517</v>
      </c>
      <c r="F1239">
        <v>50562343</v>
      </c>
      <c r="G1239">
        <v>125420353</v>
      </c>
      <c r="H1239">
        <v>81503441</v>
      </c>
      <c r="I1239">
        <v>6411048</v>
      </c>
      <c r="J1239">
        <v>6930435</v>
      </c>
      <c r="K1239">
        <v>2299976</v>
      </c>
      <c r="L1239">
        <v>22493223</v>
      </c>
      <c r="M1239">
        <v>1452745</v>
      </c>
      <c r="N1239">
        <v>2492082</v>
      </c>
      <c r="P1239">
        <v>770</v>
      </c>
      <c r="Q1239" t="s">
        <v>2758</v>
      </c>
    </row>
    <row r="1240" spans="1:17" x14ac:dyDescent="0.3">
      <c r="A1240" t="s">
        <v>17</v>
      </c>
      <c r="B1240" t="str">
        <f>"603259"</f>
        <v>603259</v>
      </c>
      <c r="C1240" t="s">
        <v>2759</v>
      </c>
      <c r="D1240" t="s">
        <v>1461</v>
      </c>
      <c r="F1240">
        <v>4619550092</v>
      </c>
      <c r="G1240">
        <v>3664789833</v>
      </c>
      <c r="H1240">
        <v>2936543069</v>
      </c>
      <c r="I1240">
        <v>1994688445</v>
      </c>
      <c r="J1240">
        <v>1596832559</v>
      </c>
      <c r="K1240">
        <v>1374167672</v>
      </c>
      <c r="L1240">
        <v>1462638752</v>
      </c>
      <c r="P1240">
        <v>3985</v>
      </c>
      <c r="Q1240" t="s">
        <v>2760</v>
      </c>
    </row>
    <row r="1241" spans="1:17" x14ac:dyDescent="0.3">
      <c r="A1241" t="s">
        <v>17</v>
      </c>
      <c r="B1241" t="str">
        <f>"603260"</f>
        <v>603260</v>
      </c>
      <c r="C1241" t="s">
        <v>2761</v>
      </c>
      <c r="D1241" t="s">
        <v>2762</v>
      </c>
      <c r="F1241">
        <v>767010687</v>
      </c>
      <c r="G1241">
        <v>293113231</v>
      </c>
      <c r="H1241">
        <v>412461005</v>
      </c>
      <c r="I1241">
        <v>481782882</v>
      </c>
      <c r="J1241">
        <v>250362144</v>
      </c>
      <c r="K1241">
        <v>174831967</v>
      </c>
      <c r="L1241">
        <v>181009273</v>
      </c>
      <c r="M1241">
        <v>190111127</v>
      </c>
      <c r="P1241">
        <v>700</v>
      </c>
      <c r="Q1241" t="s">
        <v>2763</v>
      </c>
    </row>
    <row r="1242" spans="1:17" x14ac:dyDescent="0.3">
      <c r="A1242" t="s">
        <v>17</v>
      </c>
      <c r="B1242" t="str">
        <f>"603261"</f>
        <v>603261</v>
      </c>
      <c r="C1242" t="s">
        <v>2764</v>
      </c>
      <c r="F1242">
        <v>175290331</v>
      </c>
      <c r="G1242">
        <v>109246525</v>
      </c>
      <c r="H1242">
        <v>187271409</v>
      </c>
      <c r="I1242">
        <v>125359042</v>
      </c>
      <c r="J1242">
        <v>56295000</v>
      </c>
      <c r="P1242">
        <v>7</v>
      </c>
      <c r="Q1242" t="s">
        <v>2765</v>
      </c>
    </row>
    <row r="1243" spans="1:17" x14ac:dyDescent="0.3">
      <c r="A1243" t="s">
        <v>17</v>
      </c>
      <c r="B1243" t="str">
        <f>"603266"</f>
        <v>603266</v>
      </c>
      <c r="C1243" t="s">
        <v>2766</v>
      </c>
      <c r="D1243" t="s">
        <v>1192</v>
      </c>
      <c r="F1243">
        <v>427212413</v>
      </c>
      <c r="G1243">
        <v>405598276</v>
      </c>
      <c r="H1243">
        <v>356694075</v>
      </c>
      <c r="I1243">
        <v>299725281</v>
      </c>
      <c r="J1243">
        <v>268608710</v>
      </c>
      <c r="K1243">
        <v>256790718</v>
      </c>
      <c r="L1243">
        <v>211832707</v>
      </c>
      <c r="M1243">
        <v>173110424</v>
      </c>
      <c r="N1243">
        <v>186860480</v>
      </c>
      <c r="P1243">
        <v>95</v>
      </c>
      <c r="Q1243" t="s">
        <v>2767</v>
      </c>
    </row>
    <row r="1244" spans="1:17" x14ac:dyDescent="0.3">
      <c r="A1244" t="s">
        <v>17</v>
      </c>
      <c r="B1244" t="str">
        <f>"603267"</f>
        <v>603267</v>
      </c>
      <c r="C1244" t="s">
        <v>2768</v>
      </c>
      <c r="D1244" t="s">
        <v>1136</v>
      </c>
      <c r="F1244">
        <v>1064318951</v>
      </c>
      <c r="G1244">
        <v>895498413</v>
      </c>
      <c r="H1244">
        <v>583113384</v>
      </c>
      <c r="I1244">
        <v>0</v>
      </c>
      <c r="J1244">
        <v>0</v>
      </c>
      <c r="K1244">
        <v>0</v>
      </c>
      <c r="P1244">
        <v>469</v>
      </c>
      <c r="Q1244" t="s">
        <v>2769</v>
      </c>
    </row>
    <row r="1245" spans="1:17" x14ac:dyDescent="0.3">
      <c r="A1245" t="s">
        <v>17</v>
      </c>
      <c r="B1245" t="str">
        <f>"603268"</f>
        <v>603268</v>
      </c>
      <c r="C1245" t="s">
        <v>2770</v>
      </c>
      <c r="D1245" t="s">
        <v>2445</v>
      </c>
      <c r="F1245">
        <v>156970084</v>
      </c>
      <c r="G1245">
        <v>161033850</v>
      </c>
      <c r="H1245">
        <v>140872109</v>
      </c>
      <c r="I1245">
        <v>135606322</v>
      </c>
      <c r="J1245">
        <v>141365801</v>
      </c>
      <c r="K1245">
        <v>111939426</v>
      </c>
      <c r="L1245">
        <v>100430530</v>
      </c>
      <c r="M1245">
        <v>74968257</v>
      </c>
      <c r="N1245">
        <v>78797569</v>
      </c>
      <c r="O1245">
        <v>61337086</v>
      </c>
      <c r="P1245">
        <v>70</v>
      </c>
      <c r="Q1245" t="s">
        <v>2771</v>
      </c>
    </row>
    <row r="1246" spans="1:17" x14ac:dyDescent="0.3">
      <c r="A1246" t="s">
        <v>17</v>
      </c>
      <c r="B1246" t="str">
        <f>"603269"</f>
        <v>603269</v>
      </c>
      <c r="C1246" t="s">
        <v>2772</v>
      </c>
      <c r="D1246" t="s">
        <v>560</v>
      </c>
      <c r="F1246">
        <v>479954361</v>
      </c>
      <c r="G1246">
        <v>447215700</v>
      </c>
      <c r="H1246">
        <v>381902370</v>
      </c>
      <c r="I1246">
        <v>406388366</v>
      </c>
      <c r="J1246">
        <v>343595917</v>
      </c>
      <c r="K1246">
        <v>343179809</v>
      </c>
      <c r="L1246">
        <v>365442821</v>
      </c>
      <c r="M1246">
        <v>313631361</v>
      </c>
      <c r="P1246">
        <v>63</v>
      </c>
      <c r="Q1246" t="s">
        <v>2773</v>
      </c>
    </row>
    <row r="1247" spans="1:17" x14ac:dyDescent="0.3">
      <c r="A1247" t="s">
        <v>17</v>
      </c>
      <c r="B1247" t="str">
        <f>"603272"</f>
        <v>603272</v>
      </c>
      <c r="C1247" t="s">
        <v>2774</v>
      </c>
      <c r="F1247">
        <v>64908</v>
      </c>
      <c r="G1247">
        <v>1221152</v>
      </c>
      <c r="H1247">
        <v>2631802</v>
      </c>
      <c r="I1247">
        <v>577035</v>
      </c>
      <c r="Q1247" t="s">
        <v>2775</v>
      </c>
    </row>
    <row r="1248" spans="1:17" x14ac:dyDescent="0.3">
      <c r="A1248" t="s">
        <v>17</v>
      </c>
      <c r="B1248" t="str">
        <f>"603277"</f>
        <v>603277</v>
      </c>
      <c r="C1248" t="s">
        <v>2776</v>
      </c>
      <c r="D1248" t="s">
        <v>988</v>
      </c>
      <c r="F1248">
        <v>212110221</v>
      </c>
      <c r="G1248">
        <v>157812606</v>
      </c>
      <c r="H1248">
        <v>142668029</v>
      </c>
      <c r="I1248">
        <v>95804184</v>
      </c>
      <c r="J1248">
        <v>76234355</v>
      </c>
      <c r="K1248">
        <v>70993694</v>
      </c>
      <c r="L1248">
        <v>77078455</v>
      </c>
      <c r="M1248">
        <v>43409830</v>
      </c>
      <c r="P1248">
        <v>136</v>
      </c>
      <c r="Q1248" t="s">
        <v>2777</v>
      </c>
    </row>
    <row r="1249" spans="1:17" x14ac:dyDescent="0.3">
      <c r="A1249" t="s">
        <v>17</v>
      </c>
      <c r="B1249" t="str">
        <f>"603278"</f>
        <v>603278</v>
      </c>
      <c r="C1249" t="s">
        <v>2778</v>
      </c>
      <c r="D1249" t="s">
        <v>274</v>
      </c>
      <c r="F1249">
        <v>1227434869</v>
      </c>
      <c r="G1249">
        <v>848341300</v>
      </c>
      <c r="H1249">
        <v>648581864</v>
      </c>
      <c r="I1249">
        <v>622853712</v>
      </c>
      <c r="J1249">
        <v>581995280</v>
      </c>
      <c r="K1249">
        <v>451579361</v>
      </c>
      <c r="L1249">
        <v>432181459</v>
      </c>
      <c r="M1249">
        <v>369137146</v>
      </c>
      <c r="P1249">
        <v>122</v>
      </c>
      <c r="Q1249" t="s">
        <v>2779</v>
      </c>
    </row>
    <row r="1250" spans="1:17" x14ac:dyDescent="0.3">
      <c r="A1250" t="s">
        <v>17</v>
      </c>
      <c r="B1250" t="str">
        <f>"603279"</f>
        <v>603279</v>
      </c>
      <c r="C1250" t="s">
        <v>2780</v>
      </c>
      <c r="D1250" t="s">
        <v>1070</v>
      </c>
      <c r="F1250">
        <v>530135253</v>
      </c>
      <c r="G1250">
        <v>439082020</v>
      </c>
      <c r="H1250">
        <v>582494957</v>
      </c>
      <c r="I1250">
        <v>572601639</v>
      </c>
      <c r="J1250">
        <v>529516654</v>
      </c>
      <c r="K1250">
        <v>507939578</v>
      </c>
      <c r="P1250">
        <v>231</v>
      </c>
      <c r="Q1250" t="s">
        <v>2781</v>
      </c>
    </row>
    <row r="1251" spans="1:17" x14ac:dyDescent="0.3">
      <c r="A1251" t="s">
        <v>17</v>
      </c>
      <c r="B1251" t="str">
        <f>"603283"</f>
        <v>603283</v>
      </c>
      <c r="C1251" t="s">
        <v>2782</v>
      </c>
      <c r="D1251" t="s">
        <v>2432</v>
      </c>
      <c r="F1251">
        <v>1051033820</v>
      </c>
      <c r="G1251">
        <v>1349517598</v>
      </c>
      <c r="H1251">
        <v>412420104</v>
      </c>
      <c r="I1251">
        <v>329575518</v>
      </c>
      <c r="J1251">
        <v>114146944</v>
      </c>
      <c r="K1251">
        <v>103718857</v>
      </c>
      <c r="L1251">
        <v>39581645</v>
      </c>
      <c r="M1251">
        <v>21726092</v>
      </c>
      <c r="P1251">
        <v>216</v>
      </c>
      <c r="Q1251" t="s">
        <v>2783</v>
      </c>
    </row>
    <row r="1252" spans="1:17" x14ac:dyDescent="0.3">
      <c r="A1252" t="s">
        <v>17</v>
      </c>
      <c r="B1252" t="str">
        <f>"603286"</f>
        <v>603286</v>
      </c>
      <c r="C1252" t="s">
        <v>2784</v>
      </c>
      <c r="D1252" t="s">
        <v>348</v>
      </c>
      <c r="F1252">
        <v>183929423</v>
      </c>
      <c r="G1252">
        <v>151173274</v>
      </c>
      <c r="H1252">
        <v>170788857</v>
      </c>
      <c r="I1252">
        <v>101945021</v>
      </c>
      <c r="J1252">
        <v>89312294</v>
      </c>
      <c r="K1252">
        <v>82435774</v>
      </c>
      <c r="L1252">
        <v>56200915</v>
      </c>
      <c r="M1252">
        <v>56423936</v>
      </c>
      <c r="P1252">
        <v>66</v>
      </c>
      <c r="Q1252" t="s">
        <v>2785</v>
      </c>
    </row>
    <row r="1253" spans="1:17" x14ac:dyDescent="0.3">
      <c r="A1253" t="s">
        <v>17</v>
      </c>
      <c r="B1253" t="str">
        <f>"603288"</f>
        <v>603288</v>
      </c>
      <c r="C1253" t="s">
        <v>2786</v>
      </c>
      <c r="D1253" t="s">
        <v>433</v>
      </c>
      <c r="F1253">
        <v>56045139</v>
      </c>
      <c r="G1253">
        <v>41492650</v>
      </c>
      <c r="H1253">
        <v>2463315</v>
      </c>
      <c r="I1253">
        <v>2444555</v>
      </c>
      <c r="J1253">
        <v>2466645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54149</v>
      </c>
      <c r="Q1253" t="s">
        <v>2787</v>
      </c>
    </row>
    <row r="1254" spans="1:17" x14ac:dyDescent="0.3">
      <c r="A1254" t="s">
        <v>17</v>
      </c>
      <c r="B1254" t="str">
        <f>"603289"</f>
        <v>603289</v>
      </c>
      <c r="C1254" t="s">
        <v>2788</v>
      </c>
      <c r="D1254" t="s">
        <v>741</v>
      </c>
      <c r="F1254">
        <v>296216914</v>
      </c>
      <c r="G1254">
        <v>274830375</v>
      </c>
      <c r="H1254">
        <v>287797187</v>
      </c>
      <c r="I1254">
        <v>228685314</v>
      </c>
      <c r="J1254">
        <v>226086280</v>
      </c>
      <c r="K1254">
        <v>171469592</v>
      </c>
      <c r="L1254">
        <v>168392883</v>
      </c>
      <c r="M1254">
        <v>117092097</v>
      </c>
      <c r="P1254">
        <v>115</v>
      </c>
      <c r="Q1254" t="s">
        <v>2789</v>
      </c>
    </row>
    <row r="1255" spans="1:17" x14ac:dyDescent="0.3">
      <c r="A1255" t="s">
        <v>17</v>
      </c>
      <c r="B1255" t="str">
        <f>"603290"</f>
        <v>603290</v>
      </c>
      <c r="C1255" t="s">
        <v>2790</v>
      </c>
      <c r="D1255" t="s">
        <v>795</v>
      </c>
      <c r="F1255">
        <v>340086351</v>
      </c>
      <c r="G1255">
        <v>250267742</v>
      </c>
      <c r="H1255">
        <v>217240809</v>
      </c>
      <c r="I1255">
        <v>132010501</v>
      </c>
      <c r="J1255">
        <v>146892286</v>
      </c>
      <c r="K1255">
        <v>136300690</v>
      </c>
      <c r="P1255">
        <v>635</v>
      </c>
      <c r="Q1255" t="s">
        <v>2791</v>
      </c>
    </row>
    <row r="1256" spans="1:17" x14ac:dyDescent="0.3">
      <c r="A1256" t="s">
        <v>17</v>
      </c>
      <c r="B1256" t="str">
        <f>"603297"</f>
        <v>603297</v>
      </c>
      <c r="C1256" t="s">
        <v>2792</v>
      </c>
      <c r="D1256" t="s">
        <v>164</v>
      </c>
      <c r="F1256">
        <v>159281438</v>
      </c>
      <c r="G1256">
        <v>126519435</v>
      </c>
      <c r="H1256">
        <v>124971339</v>
      </c>
      <c r="I1256">
        <v>95086591</v>
      </c>
      <c r="J1256">
        <v>72803297</v>
      </c>
      <c r="K1256">
        <v>0</v>
      </c>
      <c r="L1256">
        <v>0</v>
      </c>
      <c r="P1256">
        <v>238</v>
      </c>
      <c r="Q1256" t="s">
        <v>2793</v>
      </c>
    </row>
    <row r="1257" spans="1:17" x14ac:dyDescent="0.3">
      <c r="A1257" t="s">
        <v>17</v>
      </c>
      <c r="B1257" t="str">
        <f>"603298"</f>
        <v>603298</v>
      </c>
      <c r="C1257" t="s">
        <v>2794</v>
      </c>
      <c r="D1257" t="s">
        <v>83</v>
      </c>
      <c r="F1257">
        <v>1080393947</v>
      </c>
      <c r="G1257">
        <v>799873788</v>
      </c>
      <c r="H1257">
        <v>651980425</v>
      </c>
      <c r="I1257">
        <v>541676468</v>
      </c>
      <c r="J1257">
        <v>418073762</v>
      </c>
      <c r="K1257">
        <v>422791639</v>
      </c>
      <c r="L1257">
        <v>404822981</v>
      </c>
      <c r="M1257">
        <v>434432838</v>
      </c>
      <c r="N1257">
        <v>401915435</v>
      </c>
      <c r="P1257">
        <v>451</v>
      </c>
      <c r="Q1257" t="s">
        <v>2795</v>
      </c>
    </row>
    <row r="1258" spans="1:17" x14ac:dyDescent="0.3">
      <c r="A1258" t="s">
        <v>17</v>
      </c>
      <c r="B1258" t="str">
        <f>"603299"</f>
        <v>603299</v>
      </c>
      <c r="C1258" t="s">
        <v>2796</v>
      </c>
      <c r="D1258" t="s">
        <v>736</v>
      </c>
      <c r="F1258">
        <v>207259936</v>
      </c>
      <c r="G1258">
        <v>208918792</v>
      </c>
      <c r="H1258">
        <v>162114783</v>
      </c>
      <c r="I1258">
        <v>121130141</v>
      </c>
      <c r="J1258">
        <v>121060237</v>
      </c>
      <c r="K1258">
        <v>132840915</v>
      </c>
      <c r="L1258">
        <v>178368025</v>
      </c>
      <c r="M1258">
        <v>207836188</v>
      </c>
      <c r="N1258">
        <v>187770310</v>
      </c>
      <c r="O1258">
        <v>140250485</v>
      </c>
      <c r="P1258">
        <v>139</v>
      </c>
      <c r="Q1258" t="s">
        <v>2797</v>
      </c>
    </row>
    <row r="1259" spans="1:17" x14ac:dyDescent="0.3">
      <c r="A1259" t="s">
        <v>17</v>
      </c>
      <c r="B1259" t="str">
        <f>"603300"</f>
        <v>603300</v>
      </c>
      <c r="C1259" t="s">
        <v>2798</v>
      </c>
      <c r="D1259" t="s">
        <v>336</v>
      </c>
      <c r="F1259">
        <v>2098794570</v>
      </c>
      <c r="G1259">
        <v>1443901265</v>
      </c>
      <c r="H1259">
        <v>943301225</v>
      </c>
      <c r="I1259">
        <v>576296664</v>
      </c>
      <c r="J1259">
        <v>412057027</v>
      </c>
      <c r="K1259">
        <v>365380857</v>
      </c>
      <c r="L1259">
        <v>303772201</v>
      </c>
      <c r="M1259">
        <v>265072659</v>
      </c>
      <c r="N1259">
        <v>245279202</v>
      </c>
      <c r="O1259">
        <v>231496311</v>
      </c>
      <c r="P1259">
        <v>123</v>
      </c>
      <c r="Q1259" t="s">
        <v>2799</v>
      </c>
    </row>
    <row r="1260" spans="1:17" x14ac:dyDescent="0.3">
      <c r="A1260" t="s">
        <v>17</v>
      </c>
      <c r="B1260" t="str">
        <f>"603301"</f>
        <v>603301</v>
      </c>
      <c r="C1260" t="s">
        <v>2800</v>
      </c>
      <c r="D1260" t="s">
        <v>1077</v>
      </c>
      <c r="F1260">
        <v>690396880</v>
      </c>
      <c r="G1260">
        <v>663663920</v>
      </c>
      <c r="H1260">
        <v>372973359</v>
      </c>
      <c r="I1260">
        <v>267134597</v>
      </c>
      <c r="J1260">
        <v>189269286</v>
      </c>
      <c r="K1260">
        <v>177517677</v>
      </c>
      <c r="L1260">
        <v>172865078</v>
      </c>
      <c r="P1260">
        <v>1533</v>
      </c>
      <c r="Q1260" t="s">
        <v>2801</v>
      </c>
    </row>
    <row r="1261" spans="1:17" x14ac:dyDescent="0.3">
      <c r="A1261" t="s">
        <v>17</v>
      </c>
      <c r="B1261" t="str">
        <f>"603302"</f>
        <v>603302</v>
      </c>
      <c r="C1261" t="s">
        <v>2802</v>
      </c>
      <c r="K1261">
        <v>234940476</v>
      </c>
      <c r="L1261">
        <v>160220057</v>
      </c>
      <c r="M1261">
        <v>207725101</v>
      </c>
      <c r="P1261">
        <v>19</v>
      </c>
      <c r="Q1261" t="s">
        <v>2803</v>
      </c>
    </row>
    <row r="1262" spans="1:17" x14ac:dyDescent="0.3">
      <c r="A1262" t="s">
        <v>17</v>
      </c>
      <c r="B1262" t="str">
        <f>"603303"</f>
        <v>603303</v>
      </c>
      <c r="C1262" t="s">
        <v>2804</v>
      </c>
      <c r="D1262" t="s">
        <v>598</v>
      </c>
      <c r="F1262">
        <v>1590888820</v>
      </c>
      <c r="G1262">
        <v>1123496311</v>
      </c>
      <c r="H1262">
        <v>1160964068</v>
      </c>
      <c r="I1262">
        <v>0</v>
      </c>
      <c r="J1262">
        <v>793511670</v>
      </c>
      <c r="K1262">
        <v>816979170</v>
      </c>
      <c r="L1262">
        <v>664802864</v>
      </c>
      <c r="M1262">
        <v>517760901</v>
      </c>
      <c r="P1262">
        <v>180</v>
      </c>
      <c r="Q1262" t="s">
        <v>2805</v>
      </c>
    </row>
    <row r="1263" spans="1:17" x14ac:dyDescent="0.3">
      <c r="A1263" t="s">
        <v>17</v>
      </c>
      <c r="B1263" t="str">
        <f>"603305"</f>
        <v>603305</v>
      </c>
      <c r="C1263" t="s">
        <v>2806</v>
      </c>
      <c r="D1263" t="s">
        <v>348</v>
      </c>
      <c r="F1263">
        <v>969897105</v>
      </c>
      <c r="G1263">
        <v>421774271</v>
      </c>
      <c r="H1263">
        <v>183263763</v>
      </c>
      <c r="I1263">
        <v>248631969</v>
      </c>
      <c r="J1263">
        <v>169397539</v>
      </c>
      <c r="K1263">
        <v>148448675</v>
      </c>
      <c r="L1263">
        <v>100020595</v>
      </c>
      <c r="M1263">
        <v>49412101</v>
      </c>
      <c r="P1263">
        <v>506</v>
      </c>
      <c r="Q1263" t="s">
        <v>2807</v>
      </c>
    </row>
    <row r="1264" spans="1:17" x14ac:dyDescent="0.3">
      <c r="A1264" t="s">
        <v>17</v>
      </c>
      <c r="B1264" t="str">
        <f>"603306"</f>
        <v>603306</v>
      </c>
      <c r="C1264" t="s">
        <v>2808</v>
      </c>
      <c r="D1264" t="s">
        <v>191</v>
      </c>
      <c r="F1264">
        <v>324921383</v>
      </c>
      <c r="G1264">
        <v>336658121</v>
      </c>
      <c r="H1264">
        <v>335426996</v>
      </c>
      <c r="I1264">
        <v>256505429</v>
      </c>
      <c r="J1264">
        <v>312501450</v>
      </c>
      <c r="K1264">
        <v>307647409</v>
      </c>
      <c r="L1264">
        <v>208944878</v>
      </c>
      <c r="M1264">
        <v>153905010</v>
      </c>
      <c r="N1264">
        <v>110283431</v>
      </c>
      <c r="O1264">
        <v>83209444</v>
      </c>
      <c r="P1264">
        <v>631</v>
      </c>
      <c r="Q1264" t="s">
        <v>2809</v>
      </c>
    </row>
    <row r="1265" spans="1:17" x14ac:dyDescent="0.3">
      <c r="A1265" t="s">
        <v>17</v>
      </c>
      <c r="B1265" t="str">
        <f>"603308"</f>
        <v>603308</v>
      </c>
      <c r="C1265" t="s">
        <v>2810</v>
      </c>
      <c r="D1265" t="s">
        <v>274</v>
      </c>
      <c r="F1265">
        <v>913196787</v>
      </c>
      <c r="G1265">
        <v>695642698</v>
      </c>
      <c r="H1265">
        <v>572620484</v>
      </c>
      <c r="I1265">
        <v>686285669</v>
      </c>
      <c r="J1265">
        <v>654378270</v>
      </c>
      <c r="K1265">
        <v>652707502</v>
      </c>
      <c r="L1265">
        <v>548710506</v>
      </c>
      <c r="M1265">
        <v>433953141</v>
      </c>
      <c r="N1265">
        <v>345124606</v>
      </c>
      <c r="O1265">
        <v>312973191</v>
      </c>
      <c r="P1265">
        <v>233</v>
      </c>
      <c r="Q1265" t="s">
        <v>2811</v>
      </c>
    </row>
    <row r="1266" spans="1:17" x14ac:dyDescent="0.3">
      <c r="A1266" t="s">
        <v>17</v>
      </c>
      <c r="B1266" t="str">
        <f>"603309"</f>
        <v>603309</v>
      </c>
      <c r="C1266" t="s">
        <v>2812</v>
      </c>
      <c r="D1266" t="s">
        <v>1077</v>
      </c>
      <c r="F1266">
        <v>132862829</v>
      </c>
      <c r="G1266">
        <v>95585421</v>
      </c>
      <c r="H1266">
        <v>107417394</v>
      </c>
      <c r="I1266">
        <v>91399114</v>
      </c>
      <c r="J1266">
        <v>74764708</v>
      </c>
      <c r="K1266">
        <v>69471894</v>
      </c>
      <c r="L1266">
        <v>77100169</v>
      </c>
      <c r="M1266">
        <v>77776410</v>
      </c>
      <c r="N1266">
        <v>72235086</v>
      </c>
      <c r="O1266">
        <v>67028295</v>
      </c>
      <c r="P1266">
        <v>147</v>
      </c>
      <c r="Q1266" t="s">
        <v>2813</v>
      </c>
    </row>
    <row r="1267" spans="1:17" x14ac:dyDescent="0.3">
      <c r="A1267" t="s">
        <v>17</v>
      </c>
      <c r="B1267" t="str">
        <f>"603311"</f>
        <v>603311</v>
      </c>
      <c r="C1267" t="s">
        <v>2814</v>
      </c>
      <c r="D1267" t="s">
        <v>1253</v>
      </c>
      <c r="F1267">
        <v>176988721</v>
      </c>
      <c r="G1267">
        <v>168828834</v>
      </c>
      <c r="H1267">
        <v>131481152</v>
      </c>
      <c r="I1267">
        <v>111607285</v>
      </c>
      <c r="J1267">
        <v>126578496</v>
      </c>
      <c r="K1267">
        <v>134810242</v>
      </c>
      <c r="L1267">
        <v>112964875</v>
      </c>
      <c r="M1267">
        <v>109832496</v>
      </c>
      <c r="N1267">
        <v>94226200</v>
      </c>
      <c r="O1267">
        <v>74529996</v>
      </c>
      <c r="P1267">
        <v>96</v>
      </c>
      <c r="Q1267" t="s">
        <v>2815</v>
      </c>
    </row>
    <row r="1268" spans="1:17" x14ac:dyDescent="0.3">
      <c r="A1268" t="s">
        <v>17</v>
      </c>
      <c r="B1268" t="str">
        <f>"603313"</f>
        <v>603313</v>
      </c>
      <c r="C1268" t="s">
        <v>2816</v>
      </c>
      <c r="D1268" t="s">
        <v>757</v>
      </c>
      <c r="F1268">
        <v>1125245843</v>
      </c>
      <c r="G1268">
        <v>997203326</v>
      </c>
      <c r="H1268">
        <v>791096800</v>
      </c>
      <c r="I1268">
        <v>567026972</v>
      </c>
      <c r="J1268">
        <v>386954362</v>
      </c>
      <c r="K1268">
        <v>215445688</v>
      </c>
      <c r="L1268">
        <v>178735078</v>
      </c>
      <c r="M1268">
        <v>125002819</v>
      </c>
      <c r="N1268">
        <v>130467411</v>
      </c>
      <c r="P1268">
        <v>580</v>
      </c>
      <c r="Q1268" t="s">
        <v>2817</v>
      </c>
    </row>
    <row r="1269" spans="1:17" x14ac:dyDescent="0.3">
      <c r="A1269" t="s">
        <v>17</v>
      </c>
      <c r="B1269" t="str">
        <f>"603315"</f>
        <v>603315</v>
      </c>
      <c r="C1269" t="s">
        <v>2818</v>
      </c>
      <c r="D1269" t="s">
        <v>274</v>
      </c>
      <c r="F1269">
        <v>812566046</v>
      </c>
      <c r="G1269">
        <v>727706322</v>
      </c>
      <c r="H1269">
        <v>656070165</v>
      </c>
      <c r="I1269">
        <v>335564896</v>
      </c>
      <c r="J1269">
        <v>269819845</v>
      </c>
      <c r="K1269">
        <v>221782937</v>
      </c>
      <c r="L1269">
        <v>261295018</v>
      </c>
      <c r="M1269">
        <v>192926163</v>
      </c>
      <c r="N1269">
        <v>173862389</v>
      </c>
      <c r="O1269">
        <v>169775586</v>
      </c>
      <c r="P1269">
        <v>57</v>
      </c>
      <c r="Q1269" t="s">
        <v>2819</v>
      </c>
    </row>
    <row r="1270" spans="1:17" x14ac:dyDescent="0.3">
      <c r="A1270" t="s">
        <v>17</v>
      </c>
      <c r="B1270" t="str">
        <f>"603316"</f>
        <v>603316</v>
      </c>
      <c r="C1270" t="s">
        <v>2820</v>
      </c>
      <c r="D1270" t="s">
        <v>2417</v>
      </c>
      <c r="F1270">
        <v>409556681</v>
      </c>
      <c r="G1270">
        <v>287503386</v>
      </c>
      <c r="H1270">
        <v>356426448</v>
      </c>
      <c r="I1270">
        <v>361236899</v>
      </c>
      <c r="J1270">
        <v>300557570</v>
      </c>
      <c r="K1270">
        <v>257784368</v>
      </c>
      <c r="L1270">
        <v>204331387</v>
      </c>
      <c r="M1270">
        <v>237950799</v>
      </c>
      <c r="P1270">
        <v>59</v>
      </c>
      <c r="Q1270" t="s">
        <v>2821</v>
      </c>
    </row>
    <row r="1271" spans="1:17" x14ac:dyDescent="0.3">
      <c r="A1271" t="s">
        <v>17</v>
      </c>
      <c r="B1271" t="str">
        <f>"603317"</f>
        <v>603317</v>
      </c>
      <c r="C1271" t="s">
        <v>2822</v>
      </c>
      <c r="D1271" t="s">
        <v>433</v>
      </c>
      <c r="F1271">
        <v>13644231</v>
      </c>
      <c r="G1271">
        <v>11176230</v>
      </c>
      <c r="H1271">
        <v>11172991</v>
      </c>
      <c r="I1271">
        <v>0</v>
      </c>
      <c r="J1271">
        <v>0</v>
      </c>
      <c r="K1271">
        <v>0</v>
      </c>
      <c r="P1271">
        <v>1436</v>
      </c>
      <c r="Q1271" t="s">
        <v>2823</v>
      </c>
    </row>
    <row r="1272" spans="1:17" x14ac:dyDescent="0.3">
      <c r="A1272" t="s">
        <v>17</v>
      </c>
      <c r="B1272" t="str">
        <f>"603318"</f>
        <v>603318</v>
      </c>
      <c r="C1272" t="s">
        <v>2824</v>
      </c>
      <c r="D1272" t="s">
        <v>749</v>
      </c>
      <c r="F1272">
        <v>155304316</v>
      </c>
      <c r="G1272">
        <v>134861380</v>
      </c>
      <c r="H1272">
        <v>240186407</v>
      </c>
      <c r="I1272">
        <v>339382270</v>
      </c>
      <c r="J1272">
        <v>334310616</v>
      </c>
      <c r="K1272">
        <v>335418565</v>
      </c>
      <c r="L1272">
        <v>372626316</v>
      </c>
      <c r="M1272">
        <v>179000670</v>
      </c>
      <c r="N1272">
        <v>140522915</v>
      </c>
      <c r="O1272">
        <v>111975360</v>
      </c>
      <c r="P1272">
        <v>63</v>
      </c>
      <c r="Q1272" t="s">
        <v>2825</v>
      </c>
    </row>
    <row r="1273" spans="1:17" x14ac:dyDescent="0.3">
      <c r="A1273" t="s">
        <v>17</v>
      </c>
      <c r="B1273" t="str">
        <f>"603319"</f>
        <v>603319</v>
      </c>
      <c r="C1273" t="s">
        <v>2826</v>
      </c>
      <c r="D1273" t="s">
        <v>348</v>
      </c>
      <c r="F1273">
        <v>379849327</v>
      </c>
      <c r="G1273">
        <v>389908287</v>
      </c>
      <c r="H1273">
        <v>344512237</v>
      </c>
      <c r="I1273">
        <v>278263037</v>
      </c>
      <c r="J1273">
        <v>272137630</v>
      </c>
      <c r="K1273">
        <v>185781593</v>
      </c>
      <c r="L1273">
        <v>134310659</v>
      </c>
      <c r="M1273">
        <v>120783726</v>
      </c>
      <c r="N1273">
        <v>127788628</v>
      </c>
      <c r="P1273">
        <v>171</v>
      </c>
      <c r="Q1273" t="s">
        <v>2827</v>
      </c>
    </row>
    <row r="1274" spans="1:17" x14ac:dyDescent="0.3">
      <c r="A1274" t="s">
        <v>17</v>
      </c>
      <c r="B1274" t="str">
        <f>"603320"</f>
        <v>603320</v>
      </c>
      <c r="C1274" t="s">
        <v>2828</v>
      </c>
      <c r="D1274" t="s">
        <v>1171</v>
      </c>
      <c r="F1274">
        <v>135198269</v>
      </c>
      <c r="G1274">
        <v>107305780</v>
      </c>
      <c r="H1274">
        <v>97392784</v>
      </c>
      <c r="I1274">
        <v>87879644</v>
      </c>
      <c r="J1274">
        <v>95989073</v>
      </c>
      <c r="K1274">
        <v>72918795</v>
      </c>
      <c r="L1274">
        <v>68323646</v>
      </c>
      <c r="M1274">
        <v>73216975</v>
      </c>
      <c r="P1274">
        <v>94</v>
      </c>
      <c r="Q1274" t="s">
        <v>2829</v>
      </c>
    </row>
    <row r="1275" spans="1:17" x14ac:dyDescent="0.3">
      <c r="A1275" t="s">
        <v>17</v>
      </c>
      <c r="B1275" t="str">
        <f>"603321"</f>
        <v>603321</v>
      </c>
      <c r="C1275" t="s">
        <v>2830</v>
      </c>
      <c r="D1275" t="s">
        <v>1691</v>
      </c>
      <c r="F1275">
        <v>300871003</v>
      </c>
      <c r="G1275">
        <v>177730152</v>
      </c>
      <c r="H1275">
        <v>198747342</v>
      </c>
      <c r="I1275">
        <v>267731545</v>
      </c>
      <c r="J1275">
        <v>262228514</v>
      </c>
      <c r="K1275">
        <v>215392614</v>
      </c>
      <c r="L1275">
        <v>186938158</v>
      </c>
      <c r="M1275">
        <v>169341832</v>
      </c>
      <c r="P1275">
        <v>59</v>
      </c>
      <c r="Q1275" t="s">
        <v>2831</v>
      </c>
    </row>
    <row r="1276" spans="1:17" x14ac:dyDescent="0.3">
      <c r="A1276" t="s">
        <v>17</v>
      </c>
      <c r="B1276" t="str">
        <f>"603322"</f>
        <v>603322</v>
      </c>
      <c r="C1276" t="s">
        <v>2832</v>
      </c>
      <c r="D1276" t="s">
        <v>654</v>
      </c>
      <c r="F1276">
        <v>788751629</v>
      </c>
      <c r="G1276">
        <v>916200693</v>
      </c>
      <c r="H1276">
        <v>1227303922</v>
      </c>
      <c r="I1276">
        <v>1251876244</v>
      </c>
      <c r="J1276">
        <v>809214287</v>
      </c>
      <c r="K1276">
        <v>624013616</v>
      </c>
      <c r="L1276">
        <v>454552712</v>
      </c>
      <c r="M1276">
        <v>304164657</v>
      </c>
      <c r="N1276">
        <v>247258878</v>
      </c>
      <c r="P1276">
        <v>184</v>
      </c>
      <c r="Q1276" t="s">
        <v>2833</v>
      </c>
    </row>
    <row r="1277" spans="1:17" x14ac:dyDescent="0.3">
      <c r="A1277" t="s">
        <v>17</v>
      </c>
      <c r="B1277" t="str">
        <f>"603323"</f>
        <v>603323</v>
      </c>
      <c r="C1277" t="s">
        <v>2834</v>
      </c>
      <c r="D1277" t="s">
        <v>1831</v>
      </c>
      <c r="P1277">
        <v>498</v>
      </c>
      <c r="Q1277" t="s">
        <v>2835</v>
      </c>
    </row>
    <row r="1278" spans="1:17" x14ac:dyDescent="0.3">
      <c r="A1278" t="s">
        <v>17</v>
      </c>
      <c r="B1278" t="str">
        <f>"603324"</f>
        <v>603324</v>
      </c>
      <c r="C1278" t="s">
        <v>2836</v>
      </c>
      <c r="D1278" t="s">
        <v>1070</v>
      </c>
      <c r="F1278">
        <v>686989771</v>
      </c>
      <c r="G1278">
        <v>505322318</v>
      </c>
      <c r="H1278">
        <v>440402457</v>
      </c>
      <c r="I1278">
        <v>369853151</v>
      </c>
      <c r="J1278">
        <v>242044569</v>
      </c>
      <c r="P1278">
        <v>29</v>
      </c>
      <c r="Q1278" t="s">
        <v>2837</v>
      </c>
    </row>
    <row r="1279" spans="1:17" x14ac:dyDescent="0.3">
      <c r="A1279" t="s">
        <v>17</v>
      </c>
      <c r="B1279" t="str">
        <f>"603326"</f>
        <v>603326</v>
      </c>
      <c r="C1279" t="s">
        <v>2838</v>
      </c>
      <c r="D1279" t="s">
        <v>2664</v>
      </c>
      <c r="F1279">
        <v>160762322</v>
      </c>
      <c r="G1279">
        <v>195359315</v>
      </c>
      <c r="H1279">
        <v>200346732</v>
      </c>
      <c r="I1279">
        <v>94951049</v>
      </c>
      <c r="J1279">
        <v>68571527</v>
      </c>
      <c r="K1279">
        <v>32451544</v>
      </c>
      <c r="L1279">
        <v>34538838</v>
      </c>
      <c r="M1279">
        <v>35894293</v>
      </c>
      <c r="P1279">
        <v>247</v>
      </c>
      <c r="Q1279" t="s">
        <v>2839</v>
      </c>
    </row>
    <row r="1280" spans="1:17" x14ac:dyDescent="0.3">
      <c r="A1280" t="s">
        <v>17</v>
      </c>
      <c r="B1280" t="str">
        <f>"603327"</f>
        <v>603327</v>
      </c>
      <c r="C1280" t="s">
        <v>2840</v>
      </c>
      <c r="D1280" t="s">
        <v>313</v>
      </c>
      <c r="F1280">
        <v>554508188</v>
      </c>
      <c r="G1280">
        <v>395235487</v>
      </c>
      <c r="H1280">
        <v>277661205</v>
      </c>
      <c r="I1280">
        <v>0</v>
      </c>
      <c r="J1280">
        <v>179917800</v>
      </c>
      <c r="K1280">
        <v>0</v>
      </c>
      <c r="P1280">
        <v>347</v>
      </c>
      <c r="Q1280" t="s">
        <v>2841</v>
      </c>
    </row>
    <row r="1281" spans="1:17" x14ac:dyDescent="0.3">
      <c r="A1281" t="s">
        <v>17</v>
      </c>
      <c r="B1281" t="str">
        <f>"603328"</f>
        <v>603328</v>
      </c>
      <c r="C1281" t="s">
        <v>2842</v>
      </c>
      <c r="D1281" t="s">
        <v>425</v>
      </c>
      <c r="F1281">
        <v>975772873</v>
      </c>
      <c r="G1281">
        <v>862646846</v>
      </c>
      <c r="H1281">
        <v>969708269</v>
      </c>
      <c r="I1281">
        <v>1255282229</v>
      </c>
      <c r="J1281">
        <v>1034826131</v>
      </c>
      <c r="K1281">
        <v>1010809884</v>
      </c>
      <c r="L1281">
        <v>929489572</v>
      </c>
      <c r="M1281">
        <v>871011662</v>
      </c>
      <c r="N1281">
        <v>815431247</v>
      </c>
      <c r="O1281">
        <v>792112206</v>
      </c>
      <c r="P1281">
        <v>590</v>
      </c>
      <c r="Q1281" t="s">
        <v>2843</v>
      </c>
    </row>
    <row r="1282" spans="1:17" x14ac:dyDescent="0.3">
      <c r="A1282" t="s">
        <v>17</v>
      </c>
      <c r="B1282" t="str">
        <f>"603329"</f>
        <v>603329</v>
      </c>
      <c r="C1282" t="s">
        <v>2844</v>
      </c>
      <c r="D1282" t="s">
        <v>128</v>
      </c>
      <c r="F1282">
        <v>132981420</v>
      </c>
      <c r="G1282">
        <v>85770198</v>
      </c>
      <c r="H1282">
        <v>96092838</v>
      </c>
      <c r="I1282">
        <v>164714653</v>
      </c>
      <c r="J1282">
        <v>86880470</v>
      </c>
      <c r="K1282">
        <v>58105445</v>
      </c>
      <c r="L1282">
        <v>89997749</v>
      </c>
      <c r="M1282">
        <v>82466486</v>
      </c>
      <c r="P1282">
        <v>62</v>
      </c>
      <c r="Q1282" t="s">
        <v>2845</v>
      </c>
    </row>
    <row r="1283" spans="1:17" x14ac:dyDescent="0.3">
      <c r="A1283" t="s">
        <v>17</v>
      </c>
      <c r="B1283" t="str">
        <f>"603330"</f>
        <v>603330</v>
      </c>
      <c r="C1283" t="s">
        <v>2846</v>
      </c>
      <c r="D1283" t="s">
        <v>1192</v>
      </c>
      <c r="F1283">
        <v>279943495</v>
      </c>
      <c r="G1283">
        <v>198321942</v>
      </c>
      <c r="H1283">
        <v>165852944</v>
      </c>
      <c r="I1283">
        <v>150476499</v>
      </c>
      <c r="J1283">
        <v>155570795</v>
      </c>
      <c r="K1283">
        <v>127197852</v>
      </c>
      <c r="L1283">
        <v>103537733</v>
      </c>
      <c r="M1283">
        <v>96653862</v>
      </c>
      <c r="N1283">
        <v>75360027</v>
      </c>
      <c r="P1283">
        <v>136</v>
      </c>
      <c r="Q1283" t="s">
        <v>2847</v>
      </c>
    </row>
    <row r="1284" spans="1:17" x14ac:dyDescent="0.3">
      <c r="A1284" t="s">
        <v>17</v>
      </c>
      <c r="B1284" t="str">
        <f>"603331"</f>
        <v>603331</v>
      </c>
      <c r="C1284" t="s">
        <v>2848</v>
      </c>
      <c r="D1284" t="s">
        <v>560</v>
      </c>
      <c r="F1284">
        <v>320876061</v>
      </c>
      <c r="G1284">
        <v>315899580</v>
      </c>
      <c r="H1284">
        <v>227208660</v>
      </c>
      <c r="I1284">
        <v>178324250</v>
      </c>
      <c r="J1284">
        <v>212877435</v>
      </c>
      <c r="K1284">
        <v>140963180</v>
      </c>
      <c r="L1284">
        <v>118770702</v>
      </c>
      <c r="M1284">
        <v>131423630</v>
      </c>
      <c r="P1284">
        <v>83</v>
      </c>
      <c r="Q1284" t="s">
        <v>2849</v>
      </c>
    </row>
    <row r="1285" spans="1:17" x14ac:dyDescent="0.3">
      <c r="A1285" t="s">
        <v>17</v>
      </c>
      <c r="B1285" t="str">
        <f>"603332"</f>
        <v>603332</v>
      </c>
      <c r="C1285" t="s">
        <v>2850</v>
      </c>
      <c r="D1285" t="s">
        <v>2731</v>
      </c>
      <c r="F1285">
        <v>820097</v>
      </c>
      <c r="G1285">
        <v>2413542</v>
      </c>
      <c r="H1285">
        <v>1628378</v>
      </c>
      <c r="I1285">
        <v>3803022</v>
      </c>
      <c r="J1285">
        <v>0</v>
      </c>
      <c r="K1285">
        <v>0</v>
      </c>
      <c r="L1285">
        <v>0</v>
      </c>
      <c r="P1285">
        <v>59</v>
      </c>
      <c r="Q1285" t="s">
        <v>2851</v>
      </c>
    </row>
    <row r="1286" spans="1:17" x14ac:dyDescent="0.3">
      <c r="A1286" t="s">
        <v>17</v>
      </c>
      <c r="B1286" t="str">
        <f>"603333"</f>
        <v>603333</v>
      </c>
      <c r="C1286" t="s">
        <v>2852</v>
      </c>
      <c r="D1286" t="s">
        <v>1164</v>
      </c>
      <c r="F1286">
        <v>994118452</v>
      </c>
      <c r="G1286">
        <v>809415418</v>
      </c>
      <c r="H1286">
        <v>1199206395</v>
      </c>
      <c r="I1286">
        <v>1004256659</v>
      </c>
      <c r="J1286">
        <v>560455451</v>
      </c>
      <c r="K1286">
        <v>475482629</v>
      </c>
      <c r="L1286">
        <v>505292055</v>
      </c>
      <c r="M1286">
        <v>556537087</v>
      </c>
      <c r="N1286">
        <v>683651471</v>
      </c>
      <c r="O1286">
        <v>671360085</v>
      </c>
      <c r="P1286">
        <v>134</v>
      </c>
      <c r="Q1286" t="s">
        <v>2853</v>
      </c>
    </row>
    <row r="1287" spans="1:17" x14ac:dyDescent="0.3">
      <c r="A1287" t="s">
        <v>17</v>
      </c>
      <c r="B1287" t="str">
        <f>"603335"</f>
        <v>603335</v>
      </c>
      <c r="C1287" t="s">
        <v>2854</v>
      </c>
      <c r="D1287" t="s">
        <v>422</v>
      </c>
      <c r="F1287">
        <v>73203722</v>
      </c>
      <c r="G1287">
        <v>47144890</v>
      </c>
      <c r="H1287">
        <v>54367961</v>
      </c>
      <c r="I1287">
        <v>60915549</v>
      </c>
      <c r="J1287">
        <v>60633345</v>
      </c>
      <c r="K1287">
        <v>51959397</v>
      </c>
      <c r="L1287">
        <v>43026095</v>
      </c>
      <c r="M1287">
        <v>47613260</v>
      </c>
      <c r="P1287">
        <v>66</v>
      </c>
      <c r="Q1287" t="s">
        <v>2855</v>
      </c>
    </row>
    <row r="1288" spans="1:17" x14ac:dyDescent="0.3">
      <c r="A1288" t="s">
        <v>17</v>
      </c>
      <c r="B1288" t="str">
        <f>"603336"</f>
        <v>603336</v>
      </c>
      <c r="C1288" t="s">
        <v>2856</v>
      </c>
      <c r="D1288" t="s">
        <v>258</v>
      </c>
      <c r="F1288">
        <v>422497931</v>
      </c>
      <c r="G1288">
        <v>349024869</v>
      </c>
      <c r="H1288">
        <v>292784963</v>
      </c>
      <c r="I1288">
        <v>226583778</v>
      </c>
      <c r="J1288">
        <v>173471406</v>
      </c>
      <c r="K1288">
        <v>198395772</v>
      </c>
      <c r="L1288">
        <v>166446753</v>
      </c>
      <c r="M1288">
        <v>104264960</v>
      </c>
      <c r="N1288">
        <v>111822742</v>
      </c>
      <c r="P1288">
        <v>179</v>
      </c>
      <c r="Q1288" t="s">
        <v>2857</v>
      </c>
    </row>
    <row r="1289" spans="1:17" x14ac:dyDescent="0.3">
      <c r="A1289" t="s">
        <v>17</v>
      </c>
      <c r="B1289" t="str">
        <f>"603337"</f>
        <v>603337</v>
      </c>
      <c r="C1289" t="s">
        <v>2858</v>
      </c>
      <c r="D1289" t="s">
        <v>534</v>
      </c>
      <c r="F1289">
        <v>839170823</v>
      </c>
      <c r="G1289">
        <v>462849027</v>
      </c>
      <c r="H1289">
        <v>386069685</v>
      </c>
      <c r="I1289">
        <v>455697869</v>
      </c>
      <c r="J1289">
        <v>225085601</v>
      </c>
      <c r="K1289">
        <v>188791170</v>
      </c>
      <c r="L1289">
        <v>163619136</v>
      </c>
      <c r="M1289">
        <v>153763352</v>
      </c>
      <c r="N1289">
        <v>191251891</v>
      </c>
      <c r="P1289">
        <v>370</v>
      </c>
      <c r="Q1289" t="s">
        <v>2859</v>
      </c>
    </row>
    <row r="1290" spans="1:17" x14ac:dyDescent="0.3">
      <c r="A1290" t="s">
        <v>17</v>
      </c>
      <c r="B1290" t="str">
        <f>"603338"</f>
        <v>603338</v>
      </c>
      <c r="C1290" t="s">
        <v>2860</v>
      </c>
      <c r="D1290" t="s">
        <v>83</v>
      </c>
      <c r="F1290">
        <v>1620191874</v>
      </c>
      <c r="G1290">
        <v>635971724</v>
      </c>
      <c r="H1290">
        <v>797615199</v>
      </c>
      <c r="I1290">
        <v>521189227</v>
      </c>
      <c r="J1290">
        <v>291717185</v>
      </c>
      <c r="K1290">
        <v>177719767</v>
      </c>
      <c r="L1290">
        <v>101127515</v>
      </c>
      <c r="M1290">
        <v>76007148</v>
      </c>
      <c r="N1290">
        <v>53159816</v>
      </c>
      <c r="O1290">
        <v>25061090</v>
      </c>
      <c r="P1290">
        <v>12811</v>
      </c>
      <c r="Q1290" t="s">
        <v>2861</v>
      </c>
    </row>
    <row r="1291" spans="1:17" x14ac:dyDescent="0.3">
      <c r="A1291" t="s">
        <v>17</v>
      </c>
      <c r="B1291" t="str">
        <f>"603339"</f>
        <v>603339</v>
      </c>
      <c r="C1291" t="s">
        <v>2862</v>
      </c>
      <c r="D1291" t="s">
        <v>988</v>
      </c>
      <c r="F1291">
        <v>40683540</v>
      </c>
      <c r="G1291">
        <v>45943193</v>
      </c>
      <c r="H1291">
        <v>35667317</v>
      </c>
      <c r="I1291">
        <v>50873346</v>
      </c>
      <c r="J1291">
        <v>96913576</v>
      </c>
      <c r="K1291">
        <v>81693968</v>
      </c>
      <c r="L1291">
        <v>88277429</v>
      </c>
      <c r="M1291">
        <v>50025599</v>
      </c>
      <c r="N1291">
        <v>53191208</v>
      </c>
      <c r="P1291">
        <v>163</v>
      </c>
      <c r="Q1291" t="s">
        <v>2863</v>
      </c>
    </row>
    <row r="1292" spans="1:17" x14ac:dyDescent="0.3">
      <c r="A1292" t="s">
        <v>17</v>
      </c>
      <c r="B1292" t="str">
        <f>"603345"</f>
        <v>603345</v>
      </c>
      <c r="C1292" t="s">
        <v>2864</v>
      </c>
      <c r="D1292" t="s">
        <v>2865</v>
      </c>
      <c r="F1292">
        <v>540978280</v>
      </c>
      <c r="G1292">
        <v>349693016</v>
      </c>
      <c r="H1292">
        <v>169382516</v>
      </c>
      <c r="I1292">
        <v>116936394</v>
      </c>
      <c r="J1292">
        <v>114719200</v>
      </c>
      <c r="K1292">
        <v>105941405</v>
      </c>
      <c r="L1292">
        <v>85966757</v>
      </c>
      <c r="M1292">
        <v>106451144</v>
      </c>
      <c r="N1292">
        <v>110193432</v>
      </c>
      <c r="P1292">
        <v>1174</v>
      </c>
      <c r="Q1292" t="s">
        <v>2866</v>
      </c>
    </row>
    <row r="1293" spans="1:17" x14ac:dyDescent="0.3">
      <c r="A1293" t="s">
        <v>17</v>
      </c>
      <c r="B1293" t="str">
        <f>"603348"</f>
        <v>603348</v>
      </c>
      <c r="C1293" t="s">
        <v>2867</v>
      </c>
      <c r="D1293" t="s">
        <v>985</v>
      </c>
      <c r="F1293">
        <v>1019472944</v>
      </c>
      <c r="G1293">
        <v>786793039</v>
      </c>
      <c r="H1293">
        <v>359948577</v>
      </c>
      <c r="I1293">
        <v>350174912</v>
      </c>
      <c r="J1293">
        <v>360996479</v>
      </c>
      <c r="K1293">
        <v>310771164</v>
      </c>
      <c r="L1293">
        <v>292795134</v>
      </c>
      <c r="P1293">
        <v>193</v>
      </c>
      <c r="Q1293" t="s">
        <v>2868</v>
      </c>
    </row>
    <row r="1294" spans="1:17" x14ac:dyDescent="0.3">
      <c r="A1294" t="s">
        <v>17</v>
      </c>
      <c r="B1294" t="str">
        <f>"603351"</f>
        <v>603351</v>
      </c>
      <c r="C1294" t="s">
        <v>2869</v>
      </c>
      <c r="D1294" t="s">
        <v>496</v>
      </c>
      <c r="F1294">
        <v>120214745</v>
      </c>
      <c r="G1294">
        <v>80032585</v>
      </c>
      <c r="H1294">
        <v>94242372</v>
      </c>
      <c r="I1294">
        <v>85186980</v>
      </c>
      <c r="J1294">
        <v>79471422</v>
      </c>
      <c r="K1294">
        <v>87752572</v>
      </c>
      <c r="L1294">
        <v>76155170</v>
      </c>
      <c r="P1294">
        <v>87</v>
      </c>
      <c r="Q1294" t="s">
        <v>2870</v>
      </c>
    </row>
    <row r="1295" spans="1:17" x14ac:dyDescent="0.3">
      <c r="A1295" t="s">
        <v>17</v>
      </c>
      <c r="B1295" t="str">
        <f>"603353"</f>
        <v>603353</v>
      </c>
      <c r="C1295" t="s">
        <v>2871</v>
      </c>
      <c r="D1295" t="s">
        <v>584</v>
      </c>
      <c r="F1295">
        <v>6563487</v>
      </c>
      <c r="G1295">
        <v>5646936</v>
      </c>
      <c r="H1295">
        <v>8466572</v>
      </c>
      <c r="I1295">
        <v>4172543</v>
      </c>
      <c r="J1295">
        <v>5428069</v>
      </c>
      <c r="P1295">
        <v>103</v>
      </c>
      <c r="Q1295" t="s">
        <v>2872</v>
      </c>
    </row>
    <row r="1296" spans="1:17" x14ac:dyDescent="0.3">
      <c r="A1296" t="s">
        <v>17</v>
      </c>
      <c r="B1296" t="str">
        <f>"603355"</f>
        <v>603355</v>
      </c>
      <c r="C1296" t="s">
        <v>2873</v>
      </c>
      <c r="D1296" t="s">
        <v>2720</v>
      </c>
      <c r="F1296">
        <v>1619234455</v>
      </c>
      <c r="G1296">
        <v>1370619264</v>
      </c>
      <c r="H1296">
        <v>934754641</v>
      </c>
      <c r="I1296">
        <v>1097229022</v>
      </c>
      <c r="J1296">
        <v>1079368130</v>
      </c>
      <c r="K1296">
        <v>847146476</v>
      </c>
      <c r="L1296">
        <v>639386690</v>
      </c>
      <c r="M1296">
        <v>642670750</v>
      </c>
      <c r="N1296">
        <v>600970357</v>
      </c>
      <c r="O1296">
        <v>644097869</v>
      </c>
      <c r="P1296">
        <v>557</v>
      </c>
      <c r="Q1296" t="s">
        <v>2874</v>
      </c>
    </row>
    <row r="1297" spans="1:17" x14ac:dyDescent="0.3">
      <c r="A1297" t="s">
        <v>17</v>
      </c>
      <c r="B1297" t="str">
        <f>"603356"</f>
        <v>603356</v>
      </c>
      <c r="C1297" t="s">
        <v>2875</v>
      </c>
      <c r="D1297" t="s">
        <v>1691</v>
      </c>
      <c r="F1297">
        <v>728287317</v>
      </c>
      <c r="G1297">
        <v>674805512</v>
      </c>
      <c r="H1297">
        <v>497548808</v>
      </c>
      <c r="I1297">
        <v>374999705</v>
      </c>
      <c r="J1297">
        <v>201575964</v>
      </c>
      <c r="K1297">
        <v>156452377</v>
      </c>
      <c r="L1297">
        <v>95587853</v>
      </c>
      <c r="M1297">
        <v>87987969</v>
      </c>
      <c r="P1297">
        <v>65</v>
      </c>
      <c r="Q1297" t="s">
        <v>2876</v>
      </c>
    </row>
    <row r="1298" spans="1:17" x14ac:dyDescent="0.3">
      <c r="A1298" t="s">
        <v>17</v>
      </c>
      <c r="B1298" t="str">
        <f>"603357"</f>
        <v>603357</v>
      </c>
      <c r="C1298" t="s">
        <v>2877</v>
      </c>
      <c r="D1298" t="s">
        <v>1272</v>
      </c>
      <c r="F1298">
        <v>909520107</v>
      </c>
      <c r="G1298">
        <v>666417575</v>
      </c>
      <c r="H1298">
        <v>1679419287</v>
      </c>
      <c r="I1298">
        <v>1415930448</v>
      </c>
      <c r="J1298">
        <v>1135224030</v>
      </c>
      <c r="K1298">
        <v>777995268</v>
      </c>
      <c r="L1298">
        <v>738397454</v>
      </c>
      <c r="M1298">
        <v>692508009</v>
      </c>
      <c r="P1298">
        <v>361</v>
      </c>
      <c r="Q1298" t="s">
        <v>2878</v>
      </c>
    </row>
    <row r="1299" spans="1:17" x14ac:dyDescent="0.3">
      <c r="A1299" t="s">
        <v>17</v>
      </c>
      <c r="B1299" t="str">
        <f>"603358"</f>
        <v>603358</v>
      </c>
      <c r="C1299" t="s">
        <v>2879</v>
      </c>
      <c r="D1299" t="s">
        <v>985</v>
      </c>
      <c r="F1299">
        <v>895098566</v>
      </c>
      <c r="G1299">
        <v>899142506</v>
      </c>
      <c r="H1299">
        <v>772270388</v>
      </c>
      <c r="I1299">
        <v>739121298</v>
      </c>
      <c r="J1299">
        <v>480112057</v>
      </c>
      <c r="K1299">
        <v>454399019</v>
      </c>
      <c r="L1299">
        <v>376340668</v>
      </c>
      <c r="M1299">
        <v>336984932</v>
      </c>
      <c r="N1299">
        <v>293592228</v>
      </c>
      <c r="P1299">
        <v>131</v>
      </c>
      <c r="Q1299" t="s">
        <v>2880</v>
      </c>
    </row>
    <row r="1300" spans="1:17" x14ac:dyDescent="0.3">
      <c r="A1300" t="s">
        <v>17</v>
      </c>
      <c r="B1300" t="str">
        <f>"603359"</f>
        <v>603359</v>
      </c>
      <c r="C1300" t="s">
        <v>2881</v>
      </c>
      <c r="D1300" t="s">
        <v>2417</v>
      </c>
      <c r="F1300">
        <v>1128016082</v>
      </c>
      <c r="G1300">
        <v>833267679</v>
      </c>
      <c r="H1300">
        <v>676866931</v>
      </c>
      <c r="I1300">
        <v>620833903</v>
      </c>
      <c r="J1300">
        <v>855567767</v>
      </c>
      <c r="K1300">
        <v>867451680</v>
      </c>
      <c r="L1300">
        <v>815685624</v>
      </c>
      <c r="M1300">
        <v>460894451</v>
      </c>
      <c r="P1300">
        <v>187</v>
      </c>
      <c r="Q1300" t="s">
        <v>2882</v>
      </c>
    </row>
    <row r="1301" spans="1:17" x14ac:dyDescent="0.3">
      <c r="A1301" t="s">
        <v>17</v>
      </c>
      <c r="B1301" t="str">
        <f>"603360"</f>
        <v>603360</v>
      </c>
      <c r="C1301" t="s">
        <v>2883</v>
      </c>
      <c r="D1301" t="s">
        <v>853</v>
      </c>
      <c r="F1301">
        <v>187302822</v>
      </c>
      <c r="G1301">
        <v>123535362</v>
      </c>
      <c r="H1301">
        <v>158272436</v>
      </c>
      <c r="I1301">
        <v>96213729</v>
      </c>
      <c r="J1301">
        <v>99832728</v>
      </c>
      <c r="K1301">
        <v>76986153</v>
      </c>
      <c r="L1301">
        <v>72005282</v>
      </c>
      <c r="M1301">
        <v>68532085</v>
      </c>
      <c r="N1301">
        <v>52800557</v>
      </c>
      <c r="P1301">
        <v>402</v>
      </c>
      <c r="Q1301" t="s">
        <v>2884</v>
      </c>
    </row>
    <row r="1302" spans="1:17" x14ac:dyDescent="0.3">
      <c r="A1302" t="s">
        <v>17</v>
      </c>
      <c r="B1302" t="str">
        <f>"603363"</f>
        <v>603363</v>
      </c>
      <c r="C1302" t="s">
        <v>2885</v>
      </c>
      <c r="D1302" t="s">
        <v>2886</v>
      </c>
      <c r="F1302">
        <v>526651638</v>
      </c>
      <c r="G1302">
        <v>449056574</v>
      </c>
      <c r="H1302">
        <v>427176469</v>
      </c>
      <c r="I1302">
        <v>482077714</v>
      </c>
      <c r="J1302">
        <v>342046688</v>
      </c>
      <c r="K1302">
        <v>265410423</v>
      </c>
      <c r="L1302">
        <v>266804627</v>
      </c>
      <c r="M1302">
        <v>163343736</v>
      </c>
      <c r="P1302">
        <v>310</v>
      </c>
      <c r="Q1302" t="s">
        <v>2887</v>
      </c>
    </row>
    <row r="1303" spans="1:17" x14ac:dyDescent="0.3">
      <c r="A1303" t="s">
        <v>17</v>
      </c>
      <c r="B1303" t="str">
        <f>"603365"</f>
        <v>603365</v>
      </c>
      <c r="C1303" t="s">
        <v>2888</v>
      </c>
      <c r="D1303" t="s">
        <v>2889</v>
      </c>
      <c r="F1303">
        <v>216699484</v>
      </c>
      <c r="G1303">
        <v>286201417</v>
      </c>
      <c r="H1303">
        <v>184492940</v>
      </c>
      <c r="I1303">
        <v>176510319</v>
      </c>
      <c r="J1303">
        <v>120139612</v>
      </c>
      <c r="K1303">
        <v>96815550</v>
      </c>
      <c r="L1303">
        <v>98856919</v>
      </c>
      <c r="M1303">
        <v>93944570</v>
      </c>
      <c r="P1303">
        <v>243</v>
      </c>
      <c r="Q1303" t="s">
        <v>2890</v>
      </c>
    </row>
    <row r="1304" spans="1:17" x14ac:dyDescent="0.3">
      <c r="A1304" t="s">
        <v>17</v>
      </c>
      <c r="B1304" t="str">
        <f>"603366"</f>
        <v>603366</v>
      </c>
      <c r="C1304" t="s">
        <v>2891</v>
      </c>
      <c r="D1304" t="s">
        <v>2892</v>
      </c>
      <c r="F1304">
        <v>276514016</v>
      </c>
      <c r="G1304">
        <v>235115540</v>
      </c>
      <c r="H1304">
        <v>266984994</v>
      </c>
      <c r="I1304">
        <v>171505651</v>
      </c>
      <c r="J1304">
        <v>85583615</v>
      </c>
      <c r="K1304">
        <v>28742080</v>
      </c>
      <c r="L1304">
        <v>25435544</v>
      </c>
      <c r="M1304">
        <v>43468799</v>
      </c>
      <c r="N1304">
        <v>35578899</v>
      </c>
      <c r="O1304">
        <v>37226376</v>
      </c>
      <c r="P1304">
        <v>121</v>
      </c>
      <c r="Q1304" t="s">
        <v>2893</v>
      </c>
    </row>
    <row r="1305" spans="1:17" x14ac:dyDescent="0.3">
      <c r="A1305" t="s">
        <v>17</v>
      </c>
      <c r="B1305" t="str">
        <f>"603367"</f>
        <v>603367</v>
      </c>
      <c r="C1305" t="s">
        <v>2894</v>
      </c>
      <c r="D1305" t="s">
        <v>143</v>
      </c>
      <c r="F1305">
        <v>508206714</v>
      </c>
      <c r="G1305">
        <v>498901812</v>
      </c>
      <c r="H1305">
        <v>604879114</v>
      </c>
      <c r="I1305">
        <v>509468022</v>
      </c>
      <c r="J1305">
        <v>442123384</v>
      </c>
      <c r="K1305">
        <v>386881483</v>
      </c>
      <c r="L1305">
        <v>306044834</v>
      </c>
      <c r="M1305">
        <v>233811571</v>
      </c>
      <c r="P1305">
        <v>245</v>
      </c>
      <c r="Q1305" t="s">
        <v>2895</v>
      </c>
    </row>
    <row r="1306" spans="1:17" x14ac:dyDescent="0.3">
      <c r="A1306" t="s">
        <v>17</v>
      </c>
      <c r="B1306" t="str">
        <f>"603368"</f>
        <v>603368</v>
      </c>
      <c r="C1306" t="s">
        <v>2896</v>
      </c>
      <c r="D1306" t="s">
        <v>125</v>
      </c>
      <c r="F1306">
        <v>7285456243</v>
      </c>
      <c r="G1306">
        <v>6364288291</v>
      </c>
      <c r="H1306">
        <v>5989376716</v>
      </c>
      <c r="I1306">
        <v>5026535705</v>
      </c>
      <c r="J1306">
        <v>3793363854</v>
      </c>
      <c r="K1306">
        <v>2903153431</v>
      </c>
      <c r="L1306">
        <v>2337889763</v>
      </c>
      <c r="M1306">
        <v>1800801607</v>
      </c>
      <c r="N1306">
        <v>1339394142</v>
      </c>
      <c r="O1306">
        <v>946703395</v>
      </c>
      <c r="P1306">
        <v>532</v>
      </c>
      <c r="Q1306" t="s">
        <v>2897</v>
      </c>
    </row>
    <row r="1307" spans="1:17" x14ac:dyDescent="0.3">
      <c r="A1307" t="s">
        <v>17</v>
      </c>
      <c r="B1307" t="str">
        <f>"603369"</f>
        <v>603369</v>
      </c>
      <c r="C1307" t="s">
        <v>2898</v>
      </c>
      <c r="D1307" t="s">
        <v>458</v>
      </c>
      <c r="F1307">
        <v>39845495</v>
      </c>
      <c r="G1307">
        <v>29107707</v>
      </c>
      <c r="H1307">
        <v>32153802</v>
      </c>
      <c r="I1307">
        <v>50944514</v>
      </c>
      <c r="J1307">
        <v>16277396</v>
      </c>
      <c r="K1307">
        <v>22052687</v>
      </c>
      <c r="L1307">
        <v>28922470</v>
      </c>
      <c r="M1307">
        <v>35866367</v>
      </c>
      <c r="N1307">
        <v>30817860</v>
      </c>
      <c r="O1307">
        <v>38864893</v>
      </c>
      <c r="P1307">
        <v>35436</v>
      </c>
      <c r="Q1307" t="s">
        <v>2899</v>
      </c>
    </row>
    <row r="1308" spans="1:17" x14ac:dyDescent="0.3">
      <c r="A1308" t="s">
        <v>17</v>
      </c>
      <c r="B1308" t="str">
        <f>"603377"</f>
        <v>603377</v>
      </c>
      <c r="C1308" t="s">
        <v>2900</v>
      </c>
      <c r="D1308" t="s">
        <v>1336</v>
      </c>
      <c r="F1308">
        <v>15097405</v>
      </c>
      <c r="G1308">
        <v>13024651</v>
      </c>
      <c r="H1308">
        <v>6829454</v>
      </c>
      <c r="I1308">
        <v>84222</v>
      </c>
      <c r="J1308">
        <v>91766</v>
      </c>
      <c r="K1308">
        <v>131185</v>
      </c>
      <c r="L1308">
        <v>72092</v>
      </c>
      <c r="M1308">
        <v>41239</v>
      </c>
      <c r="N1308">
        <v>209020</v>
      </c>
      <c r="O1308">
        <v>10422</v>
      </c>
      <c r="P1308">
        <v>171</v>
      </c>
      <c r="Q1308" t="s">
        <v>2901</v>
      </c>
    </row>
    <row r="1309" spans="1:17" x14ac:dyDescent="0.3">
      <c r="A1309" t="s">
        <v>17</v>
      </c>
      <c r="B1309" t="str">
        <f>"603378"</f>
        <v>603378</v>
      </c>
      <c r="C1309" t="s">
        <v>2902</v>
      </c>
      <c r="D1309" t="s">
        <v>2903</v>
      </c>
      <c r="F1309">
        <v>2130222098</v>
      </c>
      <c r="G1309">
        <v>1459749018</v>
      </c>
      <c r="H1309">
        <v>832254215</v>
      </c>
      <c r="I1309">
        <v>647966908</v>
      </c>
      <c r="J1309">
        <v>484146364</v>
      </c>
      <c r="K1309">
        <v>283715755</v>
      </c>
      <c r="L1309">
        <v>205886274</v>
      </c>
      <c r="M1309">
        <v>169193248</v>
      </c>
      <c r="P1309">
        <v>203</v>
      </c>
      <c r="Q1309" t="s">
        <v>2904</v>
      </c>
    </row>
    <row r="1310" spans="1:17" x14ac:dyDescent="0.3">
      <c r="A1310" t="s">
        <v>17</v>
      </c>
      <c r="B1310" t="str">
        <f>"603379"</f>
        <v>603379</v>
      </c>
      <c r="C1310" t="s">
        <v>2905</v>
      </c>
      <c r="D1310" t="s">
        <v>375</v>
      </c>
      <c r="F1310">
        <v>636633698</v>
      </c>
      <c r="G1310">
        <v>224565194</v>
      </c>
      <c r="H1310">
        <v>348919471</v>
      </c>
      <c r="I1310">
        <v>0</v>
      </c>
      <c r="J1310">
        <v>0</v>
      </c>
      <c r="K1310">
        <v>0</v>
      </c>
      <c r="P1310">
        <v>140</v>
      </c>
      <c r="Q1310" t="s">
        <v>2906</v>
      </c>
    </row>
    <row r="1311" spans="1:17" x14ac:dyDescent="0.3">
      <c r="A1311" t="s">
        <v>17</v>
      </c>
      <c r="B1311" t="str">
        <f>"603380"</f>
        <v>603380</v>
      </c>
      <c r="C1311" t="s">
        <v>2907</v>
      </c>
      <c r="D1311" t="s">
        <v>313</v>
      </c>
      <c r="F1311">
        <v>401788813</v>
      </c>
      <c r="G1311">
        <v>282949079</v>
      </c>
      <c r="H1311">
        <v>257954930</v>
      </c>
      <c r="I1311">
        <v>253075441</v>
      </c>
      <c r="J1311">
        <v>232622520</v>
      </c>
      <c r="K1311">
        <v>196851587</v>
      </c>
      <c r="L1311">
        <v>150706819</v>
      </c>
      <c r="M1311">
        <v>87148771</v>
      </c>
      <c r="P1311">
        <v>209</v>
      </c>
      <c r="Q1311" t="s">
        <v>2908</v>
      </c>
    </row>
    <row r="1312" spans="1:17" x14ac:dyDescent="0.3">
      <c r="A1312" t="s">
        <v>17</v>
      </c>
      <c r="B1312" t="str">
        <f>"603383"</f>
        <v>603383</v>
      </c>
      <c r="C1312" t="s">
        <v>2909</v>
      </c>
      <c r="D1312" t="s">
        <v>945</v>
      </c>
      <c r="F1312">
        <v>27564910</v>
      </c>
      <c r="G1312">
        <v>21824737</v>
      </c>
      <c r="H1312">
        <v>25033037</v>
      </c>
      <c r="I1312">
        <v>21592392</v>
      </c>
      <c r="J1312">
        <v>17867104</v>
      </c>
      <c r="K1312">
        <v>17778227</v>
      </c>
      <c r="L1312">
        <v>17494182</v>
      </c>
      <c r="M1312">
        <v>23082089</v>
      </c>
      <c r="P1312">
        <v>190</v>
      </c>
      <c r="Q1312" t="s">
        <v>2910</v>
      </c>
    </row>
    <row r="1313" spans="1:17" x14ac:dyDescent="0.3">
      <c r="A1313" t="s">
        <v>17</v>
      </c>
      <c r="B1313" t="str">
        <f>"603385"</f>
        <v>603385</v>
      </c>
      <c r="C1313" t="s">
        <v>2911</v>
      </c>
      <c r="D1313" t="s">
        <v>2912</v>
      </c>
      <c r="F1313">
        <v>960729889</v>
      </c>
      <c r="G1313">
        <v>689325923</v>
      </c>
      <c r="H1313">
        <v>632361913</v>
      </c>
      <c r="I1313">
        <v>588839336</v>
      </c>
      <c r="J1313">
        <v>411370786</v>
      </c>
      <c r="K1313">
        <v>380189454</v>
      </c>
      <c r="L1313">
        <v>379576327</v>
      </c>
      <c r="M1313">
        <v>350617596</v>
      </c>
      <c r="P1313">
        <v>192</v>
      </c>
      <c r="Q1313" t="s">
        <v>2913</v>
      </c>
    </row>
    <row r="1314" spans="1:17" x14ac:dyDescent="0.3">
      <c r="A1314" t="s">
        <v>17</v>
      </c>
      <c r="B1314" t="str">
        <f>"603386"</f>
        <v>603386</v>
      </c>
      <c r="C1314" t="s">
        <v>2914</v>
      </c>
      <c r="D1314" t="s">
        <v>425</v>
      </c>
      <c r="F1314">
        <v>646995585</v>
      </c>
      <c r="G1314">
        <v>502753659</v>
      </c>
      <c r="H1314">
        <v>460118672</v>
      </c>
      <c r="I1314">
        <v>220588180</v>
      </c>
      <c r="J1314">
        <v>223348278</v>
      </c>
      <c r="K1314">
        <v>186024607</v>
      </c>
      <c r="L1314">
        <v>184809420</v>
      </c>
      <c r="M1314">
        <v>109624424</v>
      </c>
      <c r="P1314">
        <v>180</v>
      </c>
      <c r="Q1314" t="s">
        <v>2915</v>
      </c>
    </row>
    <row r="1315" spans="1:17" x14ac:dyDescent="0.3">
      <c r="A1315" t="s">
        <v>17</v>
      </c>
      <c r="B1315" t="str">
        <f>"603387"</f>
        <v>603387</v>
      </c>
      <c r="C1315" t="s">
        <v>2916</v>
      </c>
      <c r="D1315" t="s">
        <v>1305</v>
      </c>
      <c r="F1315">
        <v>438761506</v>
      </c>
      <c r="G1315">
        <v>456702598</v>
      </c>
      <c r="H1315">
        <v>227903320</v>
      </c>
      <c r="I1315">
        <v>76418167</v>
      </c>
      <c r="J1315">
        <v>33446289</v>
      </c>
      <c r="K1315">
        <v>18087642</v>
      </c>
      <c r="L1315">
        <v>15530188</v>
      </c>
      <c r="M1315">
        <v>15294043</v>
      </c>
      <c r="P1315">
        <v>1500</v>
      </c>
      <c r="Q1315" t="s">
        <v>2917</v>
      </c>
    </row>
    <row r="1316" spans="1:17" x14ac:dyDescent="0.3">
      <c r="A1316" t="s">
        <v>17</v>
      </c>
      <c r="B1316" t="str">
        <f>"603388"</f>
        <v>603388</v>
      </c>
      <c r="C1316" t="s">
        <v>2918</v>
      </c>
      <c r="D1316" t="s">
        <v>2417</v>
      </c>
      <c r="F1316">
        <v>232402891</v>
      </c>
      <c r="G1316">
        <v>524324955</v>
      </c>
      <c r="H1316">
        <v>123206053</v>
      </c>
      <c r="I1316">
        <v>107626802</v>
      </c>
      <c r="J1316">
        <v>82330987</v>
      </c>
      <c r="K1316">
        <v>94119408</v>
      </c>
      <c r="L1316">
        <v>72265448</v>
      </c>
      <c r="M1316">
        <v>82514071</v>
      </c>
      <c r="P1316">
        <v>63</v>
      </c>
      <c r="Q1316" t="s">
        <v>2919</v>
      </c>
    </row>
    <row r="1317" spans="1:17" x14ac:dyDescent="0.3">
      <c r="A1317" t="s">
        <v>17</v>
      </c>
      <c r="B1317" t="str">
        <f>"603389"</f>
        <v>603389</v>
      </c>
      <c r="C1317" t="s">
        <v>2920</v>
      </c>
      <c r="D1317" t="s">
        <v>757</v>
      </c>
      <c r="F1317">
        <v>28976650</v>
      </c>
      <c r="G1317">
        <v>29837840</v>
      </c>
      <c r="H1317">
        <v>17917907</v>
      </c>
      <c r="I1317">
        <v>27013112</v>
      </c>
      <c r="J1317">
        <v>33820420</v>
      </c>
      <c r="K1317">
        <v>24694469</v>
      </c>
      <c r="L1317">
        <v>33161821</v>
      </c>
      <c r="M1317">
        <v>28590513</v>
      </c>
      <c r="N1317">
        <v>23262398</v>
      </c>
      <c r="P1317">
        <v>80</v>
      </c>
      <c r="Q1317" t="s">
        <v>2921</v>
      </c>
    </row>
    <row r="1318" spans="1:17" x14ac:dyDescent="0.3">
      <c r="A1318" t="s">
        <v>17</v>
      </c>
      <c r="B1318" t="str">
        <f>"603390"</f>
        <v>603390</v>
      </c>
      <c r="C1318" t="s">
        <v>2922</v>
      </c>
      <c r="D1318" t="s">
        <v>1415</v>
      </c>
      <c r="F1318">
        <v>302591076</v>
      </c>
      <c r="G1318">
        <v>415298338</v>
      </c>
      <c r="H1318">
        <v>388199513</v>
      </c>
      <c r="I1318">
        <v>514699196</v>
      </c>
      <c r="J1318">
        <v>384866268</v>
      </c>
      <c r="K1318">
        <v>218476912</v>
      </c>
      <c r="P1318">
        <v>89</v>
      </c>
      <c r="Q1318" t="s">
        <v>2923</v>
      </c>
    </row>
    <row r="1319" spans="1:17" x14ac:dyDescent="0.3">
      <c r="A1319" t="s">
        <v>17</v>
      </c>
      <c r="B1319" t="str">
        <f>"603392"</f>
        <v>603392</v>
      </c>
      <c r="C1319" t="s">
        <v>2924</v>
      </c>
      <c r="D1319" t="s">
        <v>1305</v>
      </c>
      <c r="F1319">
        <v>2255917403</v>
      </c>
      <c r="G1319">
        <v>691330663</v>
      </c>
      <c r="H1319">
        <v>251494189</v>
      </c>
      <c r="I1319">
        <v>184916355</v>
      </c>
      <c r="J1319">
        <v>191179733</v>
      </c>
      <c r="P1319">
        <v>552</v>
      </c>
      <c r="Q1319" t="s">
        <v>2925</v>
      </c>
    </row>
    <row r="1320" spans="1:17" x14ac:dyDescent="0.3">
      <c r="A1320" t="s">
        <v>17</v>
      </c>
      <c r="B1320" t="str">
        <f>"603393"</f>
        <v>603393</v>
      </c>
      <c r="C1320" t="s">
        <v>2926</v>
      </c>
      <c r="D1320" t="s">
        <v>749</v>
      </c>
      <c r="F1320">
        <v>682584631</v>
      </c>
      <c r="G1320">
        <v>481185664</v>
      </c>
      <c r="H1320">
        <v>345544268</v>
      </c>
      <c r="I1320">
        <v>327620892</v>
      </c>
      <c r="J1320">
        <v>75080288</v>
      </c>
      <c r="K1320">
        <v>39499274</v>
      </c>
      <c r="L1320">
        <v>38481025</v>
      </c>
      <c r="M1320">
        <v>19446283</v>
      </c>
      <c r="N1320">
        <v>14129985</v>
      </c>
      <c r="P1320">
        <v>498</v>
      </c>
      <c r="Q1320" t="s">
        <v>2927</v>
      </c>
    </row>
    <row r="1321" spans="1:17" x14ac:dyDescent="0.3">
      <c r="A1321" t="s">
        <v>17</v>
      </c>
      <c r="B1321" t="str">
        <f>"603396"</f>
        <v>603396</v>
      </c>
      <c r="C1321" t="s">
        <v>2928</v>
      </c>
      <c r="D1321" t="s">
        <v>2671</v>
      </c>
      <c r="F1321">
        <v>737476397</v>
      </c>
      <c r="G1321">
        <v>505033403</v>
      </c>
      <c r="H1321">
        <v>403781604</v>
      </c>
      <c r="I1321">
        <v>298996887</v>
      </c>
      <c r="J1321">
        <v>195561432</v>
      </c>
      <c r="K1321">
        <v>144463206</v>
      </c>
      <c r="L1321">
        <v>131254880</v>
      </c>
      <c r="M1321">
        <v>131454481</v>
      </c>
      <c r="P1321">
        <v>217</v>
      </c>
      <c r="Q1321" t="s">
        <v>2929</v>
      </c>
    </row>
    <row r="1322" spans="1:17" x14ac:dyDescent="0.3">
      <c r="A1322" t="s">
        <v>17</v>
      </c>
      <c r="B1322" t="str">
        <f>"603398"</f>
        <v>603398</v>
      </c>
      <c r="C1322" t="s">
        <v>2930</v>
      </c>
      <c r="D1322" t="s">
        <v>2931</v>
      </c>
      <c r="F1322">
        <v>89200225</v>
      </c>
      <c r="G1322">
        <v>83512472</v>
      </c>
      <c r="H1322">
        <v>113598506</v>
      </c>
      <c r="I1322">
        <v>95824912</v>
      </c>
      <c r="J1322">
        <v>12141089</v>
      </c>
      <c r="K1322">
        <v>4321768</v>
      </c>
      <c r="L1322">
        <v>3855168</v>
      </c>
      <c r="M1322">
        <v>1970781</v>
      </c>
      <c r="N1322">
        <v>1113764</v>
      </c>
      <c r="O1322">
        <v>900073</v>
      </c>
      <c r="P1322">
        <v>89</v>
      </c>
      <c r="Q1322" t="s">
        <v>2932</v>
      </c>
    </row>
    <row r="1323" spans="1:17" x14ac:dyDescent="0.3">
      <c r="A1323" t="s">
        <v>17</v>
      </c>
      <c r="B1323" t="str">
        <f>"603399"</f>
        <v>603399</v>
      </c>
      <c r="C1323" t="s">
        <v>2933</v>
      </c>
      <c r="D1323" t="s">
        <v>2363</v>
      </c>
      <c r="F1323">
        <v>333569457</v>
      </c>
      <c r="G1323">
        <v>482951989</v>
      </c>
      <c r="H1323">
        <v>814557568</v>
      </c>
      <c r="I1323">
        <v>969037077</v>
      </c>
      <c r="J1323">
        <v>506505463</v>
      </c>
      <c r="K1323">
        <v>222980430</v>
      </c>
      <c r="L1323">
        <v>272082964</v>
      </c>
      <c r="M1323">
        <v>389123034</v>
      </c>
      <c r="N1323">
        <v>223060774</v>
      </c>
      <c r="O1323">
        <v>148236977</v>
      </c>
      <c r="P1323">
        <v>72</v>
      </c>
      <c r="Q1323" t="s">
        <v>2934</v>
      </c>
    </row>
    <row r="1324" spans="1:17" x14ac:dyDescent="0.3">
      <c r="A1324" t="s">
        <v>17</v>
      </c>
      <c r="B1324" t="str">
        <f>"603408"</f>
        <v>603408</v>
      </c>
      <c r="C1324" t="s">
        <v>2935</v>
      </c>
      <c r="D1324" t="s">
        <v>2912</v>
      </c>
      <c r="F1324">
        <v>932095310</v>
      </c>
      <c r="G1324">
        <v>811544449</v>
      </c>
      <c r="H1324">
        <v>666813430</v>
      </c>
      <c r="I1324">
        <v>658696171</v>
      </c>
      <c r="J1324">
        <v>629115158</v>
      </c>
      <c r="P1324">
        <v>98</v>
      </c>
      <c r="Q1324" t="s">
        <v>2936</v>
      </c>
    </row>
    <row r="1325" spans="1:17" x14ac:dyDescent="0.3">
      <c r="A1325" t="s">
        <v>17</v>
      </c>
      <c r="B1325" t="str">
        <f>"603416"</f>
        <v>603416</v>
      </c>
      <c r="C1325" t="s">
        <v>2937</v>
      </c>
      <c r="D1325" t="s">
        <v>2938</v>
      </c>
      <c r="F1325">
        <v>43175232</v>
      </c>
      <c r="G1325">
        <v>22513604</v>
      </c>
      <c r="H1325">
        <v>49743273</v>
      </c>
      <c r="I1325">
        <v>43712943</v>
      </c>
      <c r="J1325">
        <v>49205786</v>
      </c>
      <c r="K1325">
        <v>53902620</v>
      </c>
      <c r="L1325">
        <v>53850777</v>
      </c>
      <c r="M1325">
        <v>44750939</v>
      </c>
      <c r="N1325">
        <v>38954902</v>
      </c>
      <c r="P1325">
        <v>325</v>
      </c>
      <c r="Q1325" t="s">
        <v>2939</v>
      </c>
    </row>
    <row r="1326" spans="1:17" x14ac:dyDescent="0.3">
      <c r="A1326" t="s">
        <v>17</v>
      </c>
      <c r="B1326" t="str">
        <f>"603421"</f>
        <v>603421</v>
      </c>
      <c r="C1326" t="s">
        <v>2940</v>
      </c>
      <c r="D1326" t="s">
        <v>1019</v>
      </c>
      <c r="F1326">
        <v>1562508851</v>
      </c>
      <c r="G1326">
        <v>1152369104</v>
      </c>
      <c r="H1326">
        <v>910350011</v>
      </c>
      <c r="I1326">
        <v>772595049</v>
      </c>
      <c r="J1326">
        <v>688331453</v>
      </c>
      <c r="K1326">
        <v>523714249</v>
      </c>
      <c r="L1326">
        <v>448125884</v>
      </c>
      <c r="M1326">
        <v>317125794</v>
      </c>
      <c r="N1326">
        <v>179522509</v>
      </c>
      <c r="P1326">
        <v>138</v>
      </c>
      <c r="Q1326" t="s">
        <v>2941</v>
      </c>
    </row>
    <row r="1327" spans="1:17" x14ac:dyDescent="0.3">
      <c r="A1327" t="s">
        <v>17</v>
      </c>
      <c r="B1327" t="str">
        <f>"603429"</f>
        <v>603429</v>
      </c>
      <c r="C1327" t="s">
        <v>2942</v>
      </c>
      <c r="D1327" t="s">
        <v>2165</v>
      </c>
      <c r="F1327">
        <v>136188446</v>
      </c>
      <c r="G1327">
        <v>100263186</v>
      </c>
      <c r="H1327">
        <v>230541842</v>
      </c>
      <c r="I1327">
        <v>147457640</v>
      </c>
      <c r="J1327">
        <v>56619684</v>
      </c>
      <c r="K1327">
        <v>27523672</v>
      </c>
      <c r="L1327">
        <v>44919485</v>
      </c>
      <c r="M1327">
        <v>21181466</v>
      </c>
      <c r="N1327">
        <v>24760058</v>
      </c>
      <c r="P1327">
        <v>368</v>
      </c>
      <c r="Q1327" t="s">
        <v>2943</v>
      </c>
    </row>
    <row r="1328" spans="1:17" x14ac:dyDescent="0.3">
      <c r="A1328" t="s">
        <v>17</v>
      </c>
      <c r="B1328" t="str">
        <f>"603439"</f>
        <v>603439</v>
      </c>
      <c r="C1328" t="s">
        <v>2944</v>
      </c>
      <c r="D1328" t="s">
        <v>188</v>
      </c>
      <c r="F1328">
        <v>256673013</v>
      </c>
      <c r="G1328">
        <v>225458026</v>
      </c>
      <c r="H1328">
        <v>218002741</v>
      </c>
      <c r="I1328">
        <v>200423946</v>
      </c>
      <c r="J1328">
        <v>181381813</v>
      </c>
      <c r="P1328">
        <v>293</v>
      </c>
      <c r="Q1328" t="s">
        <v>2945</v>
      </c>
    </row>
    <row r="1329" spans="1:17" x14ac:dyDescent="0.3">
      <c r="A1329" t="s">
        <v>17</v>
      </c>
      <c r="B1329" t="str">
        <f>"603444"</f>
        <v>603444</v>
      </c>
      <c r="C1329" t="s">
        <v>2946</v>
      </c>
      <c r="D1329" t="s">
        <v>517</v>
      </c>
      <c r="F1329">
        <v>294204563</v>
      </c>
      <c r="G1329">
        <v>195483734</v>
      </c>
      <c r="H1329">
        <v>210443636</v>
      </c>
      <c r="I1329">
        <v>302905754</v>
      </c>
      <c r="J1329">
        <v>183911368</v>
      </c>
      <c r="K1329">
        <v>215855312</v>
      </c>
      <c r="L1329">
        <v>24570024</v>
      </c>
      <c r="M1329">
        <v>21008638</v>
      </c>
      <c r="N1329">
        <v>22292571</v>
      </c>
      <c r="P1329">
        <v>4237</v>
      </c>
      <c r="Q1329" t="s">
        <v>2947</v>
      </c>
    </row>
    <row r="1330" spans="1:17" x14ac:dyDescent="0.3">
      <c r="A1330" t="s">
        <v>17</v>
      </c>
      <c r="B1330" t="str">
        <f>"603456"</f>
        <v>603456</v>
      </c>
      <c r="C1330" t="s">
        <v>2948</v>
      </c>
      <c r="D1330" t="s">
        <v>1461</v>
      </c>
      <c r="F1330">
        <v>767032258</v>
      </c>
      <c r="G1330">
        <v>650259444</v>
      </c>
      <c r="H1330">
        <v>517486695</v>
      </c>
      <c r="I1330">
        <v>551100162</v>
      </c>
      <c r="J1330">
        <v>313366729</v>
      </c>
      <c r="K1330">
        <v>334193135</v>
      </c>
      <c r="L1330">
        <v>220383274</v>
      </c>
      <c r="M1330">
        <v>276778326</v>
      </c>
      <c r="N1330">
        <v>141611869</v>
      </c>
      <c r="O1330">
        <v>162275426</v>
      </c>
      <c r="P1330">
        <v>453</v>
      </c>
      <c r="Q1330" t="s">
        <v>2949</v>
      </c>
    </row>
    <row r="1331" spans="1:17" x14ac:dyDescent="0.3">
      <c r="A1331" t="s">
        <v>17</v>
      </c>
      <c r="B1331" t="str">
        <f>"603458"</f>
        <v>603458</v>
      </c>
      <c r="C1331" t="s">
        <v>2950</v>
      </c>
      <c r="D1331" t="s">
        <v>1272</v>
      </c>
      <c r="F1331">
        <v>2185829749</v>
      </c>
      <c r="G1331">
        <v>1569051105</v>
      </c>
      <c r="H1331">
        <v>2675671832</v>
      </c>
      <c r="I1331">
        <v>2060137545</v>
      </c>
      <c r="J1331">
        <v>1665003983</v>
      </c>
      <c r="K1331">
        <v>1263762258</v>
      </c>
      <c r="L1331">
        <v>1284436642</v>
      </c>
      <c r="M1331">
        <v>1040325918</v>
      </c>
      <c r="P1331">
        <v>474</v>
      </c>
      <c r="Q1331" t="s">
        <v>2951</v>
      </c>
    </row>
    <row r="1332" spans="1:17" x14ac:dyDescent="0.3">
      <c r="A1332" t="s">
        <v>17</v>
      </c>
      <c r="B1332" t="str">
        <f>"603466"</f>
        <v>603466</v>
      </c>
      <c r="C1332" t="s">
        <v>2952</v>
      </c>
      <c r="D1332" t="s">
        <v>2953</v>
      </c>
      <c r="F1332">
        <v>1401472288</v>
      </c>
      <c r="G1332">
        <v>1211425881</v>
      </c>
      <c r="H1332">
        <v>1005167451</v>
      </c>
      <c r="I1332">
        <v>842490019</v>
      </c>
      <c r="J1332">
        <v>680148410</v>
      </c>
      <c r="K1332">
        <v>511049382</v>
      </c>
      <c r="L1332">
        <v>427219634</v>
      </c>
      <c r="M1332">
        <v>318513546</v>
      </c>
      <c r="P1332">
        <v>406</v>
      </c>
      <c r="Q1332" t="s">
        <v>2954</v>
      </c>
    </row>
    <row r="1333" spans="1:17" x14ac:dyDescent="0.3">
      <c r="A1333" t="s">
        <v>17</v>
      </c>
      <c r="B1333" t="str">
        <f>"603477"</f>
        <v>603477</v>
      </c>
      <c r="C1333" t="s">
        <v>2955</v>
      </c>
      <c r="D1333" t="s">
        <v>2956</v>
      </c>
      <c r="F1333">
        <v>106463659</v>
      </c>
      <c r="G1333">
        <v>194559019</v>
      </c>
      <c r="H1333">
        <v>154927412</v>
      </c>
      <c r="I1333">
        <v>210974983</v>
      </c>
      <c r="J1333">
        <v>159051165</v>
      </c>
      <c r="K1333">
        <v>125136176</v>
      </c>
      <c r="L1333">
        <v>90641321</v>
      </c>
      <c r="M1333">
        <v>35257057</v>
      </c>
      <c r="P1333">
        <v>134</v>
      </c>
      <c r="Q1333" t="s">
        <v>2957</v>
      </c>
    </row>
    <row r="1334" spans="1:17" x14ac:dyDescent="0.3">
      <c r="A1334" t="s">
        <v>17</v>
      </c>
      <c r="B1334" t="str">
        <f>"603486"</f>
        <v>603486</v>
      </c>
      <c r="C1334" t="s">
        <v>2958</v>
      </c>
      <c r="D1334" t="s">
        <v>2720</v>
      </c>
      <c r="F1334">
        <v>1784411748</v>
      </c>
      <c r="G1334">
        <v>1288373612</v>
      </c>
      <c r="H1334">
        <v>927428593</v>
      </c>
      <c r="I1334">
        <v>882245030</v>
      </c>
      <c r="J1334">
        <v>566940421</v>
      </c>
      <c r="K1334">
        <v>490895967</v>
      </c>
      <c r="L1334">
        <v>320826025</v>
      </c>
      <c r="P1334">
        <v>833</v>
      </c>
      <c r="Q1334" t="s">
        <v>2959</v>
      </c>
    </row>
    <row r="1335" spans="1:17" x14ac:dyDescent="0.3">
      <c r="A1335" t="s">
        <v>17</v>
      </c>
      <c r="B1335" t="str">
        <f>"603488"</f>
        <v>603488</v>
      </c>
      <c r="C1335" t="s">
        <v>2960</v>
      </c>
      <c r="D1335" t="s">
        <v>1691</v>
      </c>
      <c r="F1335">
        <v>173340186</v>
      </c>
      <c r="G1335">
        <v>135785696</v>
      </c>
      <c r="H1335">
        <v>120350547</v>
      </c>
      <c r="I1335">
        <v>105338783</v>
      </c>
      <c r="J1335">
        <v>85111131</v>
      </c>
      <c r="K1335">
        <v>83570511</v>
      </c>
      <c r="L1335">
        <v>80891091</v>
      </c>
      <c r="M1335">
        <v>80121093</v>
      </c>
      <c r="P1335">
        <v>64</v>
      </c>
      <c r="Q1335" t="s">
        <v>2961</v>
      </c>
    </row>
    <row r="1336" spans="1:17" x14ac:dyDescent="0.3">
      <c r="A1336" t="s">
        <v>17</v>
      </c>
      <c r="B1336" t="str">
        <f>"603489"</f>
        <v>603489</v>
      </c>
      <c r="C1336" t="s">
        <v>2962</v>
      </c>
      <c r="D1336" t="s">
        <v>1171</v>
      </c>
      <c r="F1336">
        <v>601888366</v>
      </c>
      <c r="G1336">
        <v>295049738</v>
      </c>
      <c r="H1336">
        <v>189905165</v>
      </c>
      <c r="I1336">
        <v>145507914</v>
      </c>
      <c r="J1336">
        <v>91527340</v>
      </c>
      <c r="K1336">
        <v>69957072</v>
      </c>
      <c r="P1336">
        <v>490</v>
      </c>
      <c r="Q1336" t="s">
        <v>2963</v>
      </c>
    </row>
    <row r="1337" spans="1:17" x14ac:dyDescent="0.3">
      <c r="A1337" t="s">
        <v>17</v>
      </c>
      <c r="B1337" t="str">
        <f>"603496"</f>
        <v>603496</v>
      </c>
      <c r="C1337" t="s">
        <v>2964</v>
      </c>
      <c r="D1337" t="s">
        <v>236</v>
      </c>
      <c r="F1337">
        <v>228383853</v>
      </c>
      <c r="G1337">
        <v>238053707</v>
      </c>
      <c r="H1337">
        <v>197196660</v>
      </c>
      <c r="I1337">
        <v>220420252</v>
      </c>
      <c r="J1337">
        <v>130055732</v>
      </c>
      <c r="K1337">
        <v>61017394</v>
      </c>
      <c r="L1337">
        <v>66064654</v>
      </c>
      <c r="M1337">
        <v>48776716</v>
      </c>
      <c r="P1337">
        <v>194</v>
      </c>
      <c r="Q1337" t="s">
        <v>2965</v>
      </c>
    </row>
    <row r="1338" spans="1:17" x14ac:dyDescent="0.3">
      <c r="A1338" t="s">
        <v>17</v>
      </c>
      <c r="B1338" t="str">
        <f>"603499"</f>
        <v>603499</v>
      </c>
      <c r="C1338" t="s">
        <v>2966</v>
      </c>
      <c r="D1338" t="s">
        <v>2165</v>
      </c>
      <c r="F1338">
        <v>242159245</v>
      </c>
      <c r="G1338">
        <v>185337194</v>
      </c>
      <c r="H1338">
        <v>135751705</v>
      </c>
      <c r="I1338">
        <v>151073360</v>
      </c>
      <c r="J1338">
        <v>154071242</v>
      </c>
      <c r="K1338">
        <v>122516013</v>
      </c>
      <c r="L1338">
        <v>100365462</v>
      </c>
      <c r="M1338">
        <v>61191355</v>
      </c>
      <c r="P1338">
        <v>83</v>
      </c>
      <c r="Q1338" t="s">
        <v>2967</v>
      </c>
    </row>
    <row r="1339" spans="1:17" x14ac:dyDescent="0.3">
      <c r="A1339" t="s">
        <v>17</v>
      </c>
      <c r="B1339" t="str">
        <f>"603500"</f>
        <v>603500</v>
      </c>
      <c r="C1339" t="s">
        <v>2968</v>
      </c>
      <c r="D1339" t="s">
        <v>1012</v>
      </c>
      <c r="F1339">
        <v>262682841</v>
      </c>
      <c r="G1339">
        <v>244467051</v>
      </c>
      <c r="H1339">
        <v>212924677</v>
      </c>
      <c r="I1339">
        <v>176311606</v>
      </c>
      <c r="J1339">
        <v>231052642</v>
      </c>
      <c r="K1339">
        <v>190299635</v>
      </c>
      <c r="L1339">
        <v>201412858</v>
      </c>
      <c r="M1339">
        <v>124751522</v>
      </c>
      <c r="P1339">
        <v>91</v>
      </c>
      <c r="Q1339" t="s">
        <v>2969</v>
      </c>
    </row>
    <row r="1340" spans="1:17" x14ac:dyDescent="0.3">
      <c r="A1340" t="s">
        <v>17</v>
      </c>
      <c r="B1340" t="str">
        <f>"603501"</f>
        <v>603501</v>
      </c>
      <c r="C1340" t="s">
        <v>2970</v>
      </c>
      <c r="D1340" t="s">
        <v>461</v>
      </c>
      <c r="F1340">
        <v>2878259523</v>
      </c>
      <c r="G1340">
        <v>2526000315</v>
      </c>
      <c r="H1340">
        <v>2539895677</v>
      </c>
      <c r="I1340">
        <v>882660991</v>
      </c>
      <c r="J1340">
        <v>818117206</v>
      </c>
      <c r="K1340">
        <v>664093512</v>
      </c>
      <c r="L1340">
        <v>579834870</v>
      </c>
      <c r="M1340">
        <v>408399807</v>
      </c>
      <c r="P1340">
        <v>2200</v>
      </c>
      <c r="Q1340" t="s">
        <v>2971</v>
      </c>
    </row>
    <row r="1341" spans="1:17" x14ac:dyDescent="0.3">
      <c r="A1341" t="s">
        <v>17</v>
      </c>
      <c r="B1341" t="str">
        <f>"603505"</f>
        <v>603505</v>
      </c>
      <c r="C1341" t="s">
        <v>2972</v>
      </c>
      <c r="D1341" t="s">
        <v>375</v>
      </c>
      <c r="F1341">
        <v>161587539</v>
      </c>
      <c r="G1341">
        <v>89215984</v>
      </c>
      <c r="H1341">
        <v>70399497</v>
      </c>
      <c r="I1341">
        <v>69300804</v>
      </c>
      <c r="J1341">
        <v>53594951</v>
      </c>
      <c r="K1341">
        <v>10293570</v>
      </c>
      <c r="L1341">
        <v>13487039</v>
      </c>
      <c r="M1341">
        <v>11525253</v>
      </c>
      <c r="P1341">
        <v>325</v>
      </c>
      <c r="Q1341" t="s">
        <v>2973</v>
      </c>
    </row>
    <row r="1342" spans="1:17" x14ac:dyDescent="0.3">
      <c r="A1342" t="s">
        <v>17</v>
      </c>
      <c r="B1342" t="str">
        <f>"603506"</f>
        <v>603506</v>
      </c>
      <c r="C1342" t="s">
        <v>2974</v>
      </c>
      <c r="D1342" t="s">
        <v>2975</v>
      </c>
      <c r="F1342">
        <v>409530697</v>
      </c>
      <c r="G1342">
        <v>336744186</v>
      </c>
      <c r="H1342">
        <v>280048533</v>
      </c>
      <c r="I1342">
        <v>211997753</v>
      </c>
      <c r="J1342">
        <v>141736338</v>
      </c>
      <c r="K1342">
        <v>97926886</v>
      </c>
      <c r="L1342">
        <v>52632584</v>
      </c>
      <c r="M1342">
        <v>52594476</v>
      </c>
      <c r="P1342">
        <v>355</v>
      </c>
      <c r="Q1342" t="s">
        <v>2976</v>
      </c>
    </row>
    <row r="1343" spans="1:17" x14ac:dyDescent="0.3">
      <c r="A1343" t="s">
        <v>17</v>
      </c>
      <c r="B1343" t="str">
        <f>"603507"</f>
        <v>603507</v>
      </c>
      <c r="C1343" t="s">
        <v>2977</v>
      </c>
      <c r="D1343" t="s">
        <v>950</v>
      </c>
      <c r="F1343">
        <v>236054693</v>
      </c>
      <c r="G1343">
        <v>300636239</v>
      </c>
      <c r="H1343">
        <v>502279975</v>
      </c>
      <c r="I1343">
        <v>392357262</v>
      </c>
      <c r="J1343">
        <v>243870301</v>
      </c>
      <c r="K1343">
        <v>182262555</v>
      </c>
      <c r="L1343">
        <v>172890094</v>
      </c>
      <c r="M1343">
        <v>92152547</v>
      </c>
      <c r="P1343">
        <v>135</v>
      </c>
      <c r="Q1343" t="s">
        <v>2978</v>
      </c>
    </row>
    <row r="1344" spans="1:17" x14ac:dyDescent="0.3">
      <c r="A1344" t="s">
        <v>17</v>
      </c>
      <c r="B1344" t="str">
        <f>"603508"</f>
        <v>603508</v>
      </c>
      <c r="C1344" t="s">
        <v>2979</v>
      </c>
      <c r="D1344" t="s">
        <v>2980</v>
      </c>
      <c r="F1344">
        <v>623705932</v>
      </c>
      <c r="G1344">
        <v>342895683</v>
      </c>
      <c r="H1344">
        <v>345546041</v>
      </c>
      <c r="I1344">
        <v>229732792</v>
      </c>
      <c r="J1344">
        <v>276751128</v>
      </c>
      <c r="K1344">
        <v>343603756</v>
      </c>
      <c r="L1344">
        <v>363973568</v>
      </c>
      <c r="M1344">
        <v>301489363</v>
      </c>
      <c r="N1344">
        <v>256905454</v>
      </c>
      <c r="O1344">
        <v>148600714</v>
      </c>
      <c r="P1344">
        <v>219</v>
      </c>
      <c r="Q1344" t="s">
        <v>2981</v>
      </c>
    </row>
    <row r="1345" spans="1:17" x14ac:dyDescent="0.3">
      <c r="A1345" t="s">
        <v>17</v>
      </c>
      <c r="B1345" t="str">
        <f>"603511"</f>
        <v>603511</v>
      </c>
      <c r="C1345" t="s">
        <v>2982</v>
      </c>
      <c r="D1345" t="s">
        <v>330</v>
      </c>
      <c r="F1345">
        <v>178354651</v>
      </c>
      <c r="G1345">
        <v>183717810</v>
      </c>
      <c r="H1345">
        <v>205534463</v>
      </c>
      <c r="I1345">
        <v>215659454</v>
      </c>
      <c r="J1345">
        <v>178474619</v>
      </c>
      <c r="P1345">
        <v>47</v>
      </c>
      <c r="Q1345" t="s">
        <v>2983</v>
      </c>
    </row>
    <row r="1346" spans="1:17" x14ac:dyDescent="0.3">
      <c r="A1346" t="s">
        <v>17</v>
      </c>
      <c r="B1346" t="str">
        <f>"603515"</f>
        <v>603515</v>
      </c>
      <c r="C1346" t="s">
        <v>2984</v>
      </c>
      <c r="D1346" t="s">
        <v>598</v>
      </c>
      <c r="F1346">
        <v>445414973</v>
      </c>
      <c r="G1346">
        <v>436256538</v>
      </c>
      <c r="H1346">
        <v>475862910</v>
      </c>
      <c r="I1346">
        <v>610731991</v>
      </c>
      <c r="J1346">
        <v>424985472</v>
      </c>
      <c r="K1346">
        <v>306115094</v>
      </c>
      <c r="L1346">
        <v>268337430</v>
      </c>
      <c r="M1346">
        <v>156474358</v>
      </c>
      <c r="N1346">
        <v>125675439</v>
      </c>
      <c r="P1346">
        <v>2557</v>
      </c>
      <c r="Q1346" t="s">
        <v>2985</v>
      </c>
    </row>
    <row r="1347" spans="1:17" x14ac:dyDescent="0.3">
      <c r="A1347" t="s">
        <v>17</v>
      </c>
      <c r="B1347" t="str">
        <f>"603516"</f>
        <v>603516</v>
      </c>
      <c r="C1347" t="s">
        <v>2986</v>
      </c>
      <c r="D1347" t="s">
        <v>236</v>
      </c>
      <c r="F1347">
        <v>223984737</v>
      </c>
      <c r="G1347">
        <v>222295681</v>
      </c>
      <c r="H1347">
        <v>229382860</v>
      </c>
      <c r="I1347">
        <v>101585837</v>
      </c>
      <c r="J1347">
        <v>79539279</v>
      </c>
      <c r="K1347">
        <v>40976363</v>
      </c>
      <c r="L1347">
        <v>33157394</v>
      </c>
      <c r="M1347">
        <v>21557605</v>
      </c>
      <c r="P1347">
        <v>202</v>
      </c>
      <c r="Q1347" t="s">
        <v>2987</v>
      </c>
    </row>
    <row r="1348" spans="1:17" x14ac:dyDescent="0.3">
      <c r="A1348" t="s">
        <v>17</v>
      </c>
      <c r="B1348" t="str">
        <f>"603517"</f>
        <v>603517</v>
      </c>
      <c r="C1348" t="s">
        <v>2988</v>
      </c>
      <c r="D1348" t="s">
        <v>2989</v>
      </c>
      <c r="F1348">
        <v>154617488</v>
      </c>
      <c r="G1348">
        <v>37081222</v>
      </c>
      <c r="H1348">
        <v>10032564</v>
      </c>
      <c r="I1348">
        <v>4506731</v>
      </c>
      <c r="J1348">
        <v>4349404</v>
      </c>
      <c r="K1348">
        <v>3531721</v>
      </c>
      <c r="L1348">
        <v>1574860</v>
      </c>
      <c r="M1348">
        <v>706059</v>
      </c>
      <c r="N1348">
        <v>4550748</v>
      </c>
      <c r="P1348">
        <v>2367</v>
      </c>
      <c r="Q1348" t="s">
        <v>2990</v>
      </c>
    </row>
    <row r="1349" spans="1:17" x14ac:dyDescent="0.3">
      <c r="A1349" t="s">
        <v>17</v>
      </c>
      <c r="B1349" t="str">
        <f>"603518"</f>
        <v>603518</v>
      </c>
      <c r="C1349" t="s">
        <v>2991</v>
      </c>
      <c r="D1349" t="s">
        <v>255</v>
      </c>
      <c r="F1349">
        <v>514282315</v>
      </c>
      <c r="G1349">
        <v>449680418</v>
      </c>
      <c r="H1349">
        <v>522404194</v>
      </c>
      <c r="I1349">
        <v>547086327</v>
      </c>
      <c r="J1349">
        <v>527186412</v>
      </c>
      <c r="K1349">
        <v>57780506</v>
      </c>
      <c r="L1349">
        <v>61265274</v>
      </c>
      <c r="M1349">
        <v>54422430</v>
      </c>
      <c r="N1349">
        <v>36610434</v>
      </c>
      <c r="O1349">
        <v>36649565</v>
      </c>
      <c r="P1349">
        <v>204</v>
      </c>
      <c r="Q1349" t="s">
        <v>2992</v>
      </c>
    </row>
    <row r="1350" spans="1:17" x14ac:dyDescent="0.3">
      <c r="A1350" t="s">
        <v>17</v>
      </c>
      <c r="B1350" t="str">
        <f>"603519"</f>
        <v>603519</v>
      </c>
      <c r="C1350" t="s">
        <v>2993</v>
      </c>
      <c r="D1350" t="s">
        <v>1253</v>
      </c>
      <c r="F1350">
        <v>221035279</v>
      </c>
      <c r="G1350">
        <v>287005449</v>
      </c>
      <c r="H1350">
        <v>219708356</v>
      </c>
      <c r="I1350">
        <v>298724293</v>
      </c>
      <c r="J1350">
        <v>242090477</v>
      </c>
      <c r="K1350">
        <v>243394825</v>
      </c>
      <c r="L1350">
        <v>169002652</v>
      </c>
      <c r="M1350">
        <v>169951748</v>
      </c>
      <c r="N1350">
        <v>161143981</v>
      </c>
      <c r="O1350">
        <v>128392652</v>
      </c>
      <c r="P1350">
        <v>148</v>
      </c>
      <c r="Q1350" t="s">
        <v>2994</v>
      </c>
    </row>
    <row r="1351" spans="1:17" x14ac:dyDescent="0.3">
      <c r="A1351" t="s">
        <v>17</v>
      </c>
      <c r="B1351" t="str">
        <f>"603520"</f>
        <v>603520</v>
      </c>
      <c r="C1351" t="s">
        <v>2995</v>
      </c>
      <c r="D1351" t="s">
        <v>496</v>
      </c>
      <c r="F1351">
        <v>543928714</v>
      </c>
      <c r="G1351">
        <v>297914568</v>
      </c>
      <c r="H1351">
        <v>235266589</v>
      </c>
      <c r="I1351">
        <v>287629140</v>
      </c>
      <c r="J1351">
        <v>154758968</v>
      </c>
      <c r="K1351">
        <v>103058424</v>
      </c>
      <c r="L1351">
        <v>114989280</v>
      </c>
      <c r="M1351">
        <v>64727307</v>
      </c>
      <c r="N1351">
        <v>51392354</v>
      </c>
      <c r="O1351">
        <v>57288957</v>
      </c>
      <c r="P1351">
        <v>382</v>
      </c>
      <c r="Q1351" t="s">
        <v>2996</v>
      </c>
    </row>
    <row r="1352" spans="1:17" x14ac:dyDescent="0.3">
      <c r="A1352" t="s">
        <v>17</v>
      </c>
      <c r="B1352" t="str">
        <f>"603527"</f>
        <v>603527</v>
      </c>
      <c r="C1352" t="s">
        <v>2997</v>
      </c>
      <c r="D1352" t="s">
        <v>263</v>
      </c>
      <c r="F1352">
        <v>642609298</v>
      </c>
      <c r="G1352">
        <v>357498055</v>
      </c>
      <c r="H1352">
        <v>243338645</v>
      </c>
      <c r="I1352">
        <v>194880976</v>
      </c>
      <c r="J1352">
        <v>222257843</v>
      </c>
      <c r="K1352">
        <v>147871113</v>
      </c>
      <c r="L1352">
        <v>154169623</v>
      </c>
      <c r="M1352">
        <v>152204407</v>
      </c>
      <c r="P1352">
        <v>53</v>
      </c>
      <c r="Q1352" t="s">
        <v>2998</v>
      </c>
    </row>
    <row r="1353" spans="1:17" x14ac:dyDescent="0.3">
      <c r="A1353" t="s">
        <v>17</v>
      </c>
      <c r="B1353" t="str">
        <f>"603528"</f>
        <v>603528</v>
      </c>
      <c r="C1353" t="s">
        <v>2999</v>
      </c>
      <c r="D1353" t="s">
        <v>945</v>
      </c>
      <c r="F1353">
        <v>392915468</v>
      </c>
      <c r="G1353">
        <v>361081512</v>
      </c>
      <c r="H1353">
        <v>325513515</v>
      </c>
      <c r="I1353">
        <v>279255487</v>
      </c>
      <c r="J1353">
        <v>331671574</v>
      </c>
      <c r="K1353">
        <v>341786628</v>
      </c>
      <c r="L1353">
        <v>256702696</v>
      </c>
      <c r="M1353">
        <v>245867875</v>
      </c>
      <c r="N1353">
        <v>179522127</v>
      </c>
      <c r="P1353">
        <v>195</v>
      </c>
      <c r="Q1353" t="s">
        <v>3000</v>
      </c>
    </row>
    <row r="1354" spans="1:17" x14ac:dyDescent="0.3">
      <c r="A1354" t="s">
        <v>17</v>
      </c>
      <c r="B1354" t="str">
        <f>"603529"</f>
        <v>603529</v>
      </c>
      <c r="C1354" t="s">
        <v>3001</v>
      </c>
      <c r="D1354" t="s">
        <v>233</v>
      </c>
      <c r="F1354">
        <v>207629802</v>
      </c>
      <c r="G1354">
        <v>187700162</v>
      </c>
      <c r="H1354">
        <v>118750073</v>
      </c>
      <c r="I1354">
        <v>241565111</v>
      </c>
      <c r="J1354">
        <v>263890071</v>
      </c>
      <c r="K1354">
        <v>100579145</v>
      </c>
      <c r="P1354">
        <v>73</v>
      </c>
      <c r="Q1354" t="s">
        <v>3002</v>
      </c>
    </row>
    <row r="1355" spans="1:17" x14ac:dyDescent="0.3">
      <c r="A1355" t="s">
        <v>17</v>
      </c>
      <c r="B1355" t="str">
        <f>"603530"</f>
        <v>603530</v>
      </c>
      <c r="C1355" t="s">
        <v>3003</v>
      </c>
      <c r="D1355" t="s">
        <v>1164</v>
      </c>
      <c r="F1355">
        <v>351552868</v>
      </c>
      <c r="G1355">
        <v>296119741</v>
      </c>
      <c r="H1355">
        <v>320298445</v>
      </c>
      <c r="I1355">
        <v>0</v>
      </c>
      <c r="J1355">
        <v>0</v>
      </c>
      <c r="K1355">
        <v>0</v>
      </c>
      <c r="P1355">
        <v>88</v>
      </c>
      <c r="Q1355" t="s">
        <v>3004</v>
      </c>
    </row>
    <row r="1356" spans="1:17" x14ac:dyDescent="0.3">
      <c r="A1356" t="s">
        <v>17</v>
      </c>
      <c r="B1356" t="str">
        <f>"603533"</f>
        <v>603533</v>
      </c>
      <c r="C1356" t="s">
        <v>3005</v>
      </c>
      <c r="D1356" t="s">
        <v>3006</v>
      </c>
      <c r="F1356">
        <v>342222369</v>
      </c>
      <c r="G1356">
        <v>349470616</v>
      </c>
      <c r="H1356">
        <v>283497483</v>
      </c>
      <c r="I1356">
        <v>223084936</v>
      </c>
      <c r="J1356">
        <v>158603285</v>
      </c>
      <c r="K1356">
        <v>125611725</v>
      </c>
      <c r="L1356">
        <v>70651629</v>
      </c>
      <c r="M1356">
        <v>58239103</v>
      </c>
      <c r="P1356">
        <v>872</v>
      </c>
      <c r="Q1356" t="s">
        <v>3007</v>
      </c>
    </row>
    <row r="1357" spans="1:17" x14ac:dyDescent="0.3">
      <c r="A1357" t="s">
        <v>17</v>
      </c>
      <c r="B1357" t="str">
        <f>"603535"</f>
        <v>603535</v>
      </c>
      <c r="C1357" t="s">
        <v>3008</v>
      </c>
      <c r="D1357" t="s">
        <v>287</v>
      </c>
      <c r="F1357">
        <v>397878972</v>
      </c>
      <c r="G1357">
        <v>323310995</v>
      </c>
      <c r="H1357">
        <v>218542302</v>
      </c>
      <c r="I1357">
        <v>209115585</v>
      </c>
      <c r="J1357">
        <v>131723725</v>
      </c>
      <c r="K1357">
        <v>114425184</v>
      </c>
      <c r="L1357">
        <v>81744526</v>
      </c>
      <c r="M1357">
        <v>106540665</v>
      </c>
      <c r="P1357">
        <v>85</v>
      </c>
      <c r="Q1357" t="s">
        <v>3009</v>
      </c>
    </row>
    <row r="1358" spans="1:17" x14ac:dyDescent="0.3">
      <c r="A1358" t="s">
        <v>17</v>
      </c>
      <c r="B1358" t="str">
        <f>"603536"</f>
        <v>603536</v>
      </c>
      <c r="C1358" t="s">
        <v>3010</v>
      </c>
      <c r="D1358" t="s">
        <v>2865</v>
      </c>
      <c r="F1358">
        <v>166109357</v>
      </c>
      <c r="G1358">
        <v>164181202</v>
      </c>
      <c r="H1358">
        <v>166945758</v>
      </c>
      <c r="I1358">
        <v>163967501</v>
      </c>
      <c r="J1358">
        <v>100000612</v>
      </c>
      <c r="K1358">
        <v>47154210</v>
      </c>
      <c r="L1358">
        <v>45941016</v>
      </c>
      <c r="M1358">
        <v>50241490</v>
      </c>
      <c r="P1358">
        <v>125</v>
      </c>
      <c r="Q1358" t="s">
        <v>3011</v>
      </c>
    </row>
    <row r="1359" spans="1:17" x14ac:dyDescent="0.3">
      <c r="A1359" t="s">
        <v>17</v>
      </c>
      <c r="B1359" t="str">
        <f>"603538"</f>
        <v>603538</v>
      </c>
      <c r="C1359" t="s">
        <v>3012</v>
      </c>
      <c r="D1359" t="s">
        <v>496</v>
      </c>
      <c r="F1359">
        <v>210191882</v>
      </c>
      <c r="G1359">
        <v>160255335</v>
      </c>
      <c r="H1359">
        <v>175517523</v>
      </c>
      <c r="I1359">
        <v>152465847</v>
      </c>
      <c r="J1359">
        <v>75353094</v>
      </c>
      <c r="K1359">
        <v>52813170</v>
      </c>
      <c r="L1359">
        <v>24578951</v>
      </c>
      <c r="M1359">
        <v>82639064</v>
      </c>
      <c r="P1359">
        <v>265</v>
      </c>
      <c r="Q1359" t="s">
        <v>3013</v>
      </c>
    </row>
    <row r="1360" spans="1:17" x14ac:dyDescent="0.3">
      <c r="A1360" t="s">
        <v>17</v>
      </c>
      <c r="B1360" t="str">
        <f>"603551"</f>
        <v>603551</v>
      </c>
      <c r="C1360" t="s">
        <v>3014</v>
      </c>
      <c r="D1360" t="s">
        <v>2892</v>
      </c>
      <c r="F1360">
        <v>116717860</v>
      </c>
      <c r="G1360">
        <v>95628024</v>
      </c>
      <c r="H1360">
        <v>98849823</v>
      </c>
      <c r="I1360">
        <v>75230979</v>
      </c>
      <c r="J1360">
        <v>75262308</v>
      </c>
      <c r="K1360">
        <v>59757746</v>
      </c>
      <c r="P1360">
        <v>116</v>
      </c>
      <c r="Q1360" t="s">
        <v>3015</v>
      </c>
    </row>
    <row r="1361" spans="1:17" x14ac:dyDescent="0.3">
      <c r="A1361" t="s">
        <v>17</v>
      </c>
      <c r="B1361" t="str">
        <f>"603555"</f>
        <v>603555</v>
      </c>
      <c r="C1361" t="s">
        <v>3016</v>
      </c>
      <c r="D1361" t="s">
        <v>3017</v>
      </c>
      <c r="F1361">
        <v>463238043</v>
      </c>
      <c r="G1361">
        <v>1160004268</v>
      </c>
      <c r="H1361">
        <v>1156397399</v>
      </c>
      <c r="I1361">
        <v>1478208862</v>
      </c>
      <c r="J1361">
        <v>1684743024</v>
      </c>
      <c r="K1361">
        <v>1828786559</v>
      </c>
      <c r="L1361">
        <v>1222471405</v>
      </c>
      <c r="M1361">
        <v>1286136309</v>
      </c>
      <c r="N1361">
        <v>1368949233</v>
      </c>
      <c r="O1361">
        <v>862034455</v>
      </c>
      <c r="P1361">
        <v>81</v>
      </c>
      <c r="Q1361" t="s">
        <v>3018</v>
      </c>
    </row>
    <row r="1362" spans="1:17" x14ac:dyDescent="0.3">
      <c r="A1362" t="s">
        <v>17</v>
      </c>
      <c r="B1362" t="str">
        <f>"603556"</f>
        <v>603556</v>
      </c>
      <c r="C1362" t="s">
        <v>3019</v>
      </c>
      <c r="D1362" t="s">
        <v>2180</v>
      </c>
      <c r="F1362">
        <v>934088372</v>
      </c>
      <c r="G1362">
        <v>994843153</v>
      </c>
      <c r="H1362">
        <v>1189158146</v>
      </c>
      <c r="I1362">
        <v>1185310058</v>
      </c>
      <c r="J1362">
        <v>1215498280</v>
      </c>
      <c r="K1362">
        <v>644696967</v>
      </c>
      <c r="L1362">
        <v>512836732</v>
      </c>
      <c r="M1362">
        <v>538056046</v>
      </c>
      <c r="N1362">
        <v>348473757</v>
      </c>
      <c r="P1362">
        <v>218</v>
      </c>
      <c r="Q1362" t="s">
        <v>3020</v>
      </c>
    </row>
    <row r="1363" spans="1:17" x14ac:dyDescent="0.3">
      <c r="A1363" t="s">
        <v>17</v>
      </c>
      <c r="B1363" t="str">
        <f>"603557"</f>
        <v>603557</v>
      </c>
      <c r="C1363" t="s">
        <v>3021</v>
      </c>
      <c r="D1363" t="s">
        <v>330</v>
      </c>
      <c r="F1363">
        <v>745790114</v>
      </c>
      <c r="G1363">
        <v>338896106</v>
      </c>
      <c r="H1363">
        <v>580131733</v>
      </c>
      <c r="I1363">
        <v>511098866</v>
      </c>
      <c r="J1363">
        <v>409485481</v>
      </c>
      <c r="K1363">
        <v>342017692</v>
      </c>
      <c r="L1363">
        <v>312525205</v>
      </c>
      <c r="M1363">
        <v>183207383</v>
      </c>
      <c r="P1363">
        <v>118</v>
      </c>
      <c r="Q1363" t="s">
        <v>3022</v>
      </c>
    </row>
    <row r="1364" spans="1:17" x14ac:dyDescent="0.3">
      <c r="A1364" t="s">
        <v>17</v>
      </c>
      <c r="B1364" t="str">
        <f>"603558"</f>
        <v>603558</v>
      </c>
      <c r="C1364" t="s">
        <v>3023</v>
      </c>
      <c r="D1364" t="s">
        <v>1009</v>
      </c>
      <c r="F1364">
        <v>438420356</v>
      </c>
      <c r="G1364">
        <v>315851306</v>
      </c>
      <c r="H1364">
        <v>311174180</v>
      </c>
      <c r="I1364">
        <v>288947026</v>
      </c>
      <c r="J1364">
        <v>257160115</v>
      </c>
      <c r="K1364">
        <v>120746587</v>
      </c>
      <c r="L1364">
        <v>110712611</v>
      </c>
      <c r="M1364">
        <v>85738293</v>
      </c>
      <c r="N1364">
        <v>68392983</v>
      </c>
      <c r="O1364">
        <v>57787120</v>
      </c>
      <c r="P1364">
        <v>136</v>
      </c>
      <c r="Q1364" t="s">
        <v>3024</v>
      </c>
    </row>
    <row r="1365" spans="1:17" x14ac:dyDescent="0.3">
      <c r="A1365" t="s">
        <v>17</v>
      </c>
      <c r="B1365" t="str">
        <f>"603559"</f>
        <v>603559</v>
      </c>
      <c r="C1365" t="s">
        <v>3025</v>
      </c>
      <c r="D1365" t="s">
        <v>654</v>
      </c>
      <c r="F1365">
        <v>539438816</v>
      </c>
      <c r="G1365">
        <v>656146657</v>
      </c>
      <c r="H1365">
        <v>696558533</v>
      </c>
      <c r="I1365">
        <v>684863491</v>
      </c>
      <c r="J1365">
        <v>422199282</v>
      </c>
      <c r="K1365">
        <v>291214821</v>
      </c>
      <c r="L1365">
        <v>314904663</v>
      </c>
      <c r="M1365">
        <v>327737461</v>
      </c>
      <c r="N1365">
        <v>311796093</v>
      </c>
      <c r="P1365">
        <v>159</v>
      </c>
      <c r="Q1365" t="s">
        <v>3026</v>
      </c>
    </row>
    <row r="1366" spans="1:17" x14ac:dyDescent="0.3">
      <c r="A1366" t="s">
        <v>17</v>
      </c>
      <c r="B1366" t="str">
        <f>"603565"</f>
        <v>603565</v>
      </c>
      <c r="C1366" t="s">
        <v>3027</v>
      </c>
      <c r="D1366" t="s">
        <v>69</v>
      </c>
      <c r="F1366">
        <v>504991137</v>
      </c>
      <c r="G1366">
        <v>461066443</v>
      </c>
      <c r="H1366">
        <v>441851755</v>
      </c>
      <c r="I1366">
        <v>410709716</v>
      </c>
      <c r="J1366">
        <v>330629855</v>
      </c>
      <c r="K1366">
        <v>0</v>
      </c>
      <c r="P1366">
        <v>225</v>
      </c>
      <c r="Q1366" t="s">
        <v>3028</v>
      </c>
    </row>
    <row r="1367" spans="1:17" x14ac:dyDescent="0.3">
      <c r="A1367" t="s">
        <v>17</v>
      </c>
      <c r="B1367" t="str">
        <f>"603566"</f>
        <v>603566</v>
      </c>
      <c r="C1367" t="s">
        <v>3029</v>
      </c>
      <c r="D1367" t="s">
        <v>453</v>
      </c>
      <c r="F1367">
        <v>291645566</v>
      </c>
      <c r="G1367">
        <v>205117342</v>
      </c>
      <c r="H1367">
        <v>128565266</v>
      </c>
      <c r="I1367">
        <v>140799136</v>
      </c>
      <c r="J1367">
        <v>108480537</v>
      </c>
      <c r="K1367">
        <v>102970038</v>
      </c>
      <c r="L1367">
        <v>109086375</v>
      </c>
      <c r="M1367">
        <v>77998603</v>
      </c>
      <c r="N1367">
        <v>78073608</v>
      </c>
      <c r="O1367">
        <v>58443883</v>
      </c>
      <c r="P1367">
        <v>233</v>
      </c>
      <c r="Q1367" t="s">
        <v>3030</v>
      </c>
    </row>
    <row r="1368" spans="1:17" x14ac:dyDescent="0.3">
      <c r="A1368" t="s">
        <v>17</v>
      </c>
      <c r="B1368" t="str">
        <f>"603567"</f>
        <v>603567</v>
      </c>
      <c r="C1368" t="s">
        <v>3031</v>
      </c>
      <c r="D1368" t="s">
        <v>188</v>
      </c>
      <c r="F1368">
        <v>3236781952</v>
      </c>
      <c r="G1368">
        <v>2370777760</v>
      </c>
      <c r="H1368">
        <v>1732221484</v>
      </c>
      <c r="I1368">
        <v>1147345303</v>
      </c>
      <c r="J1368">
        <v>1059195621</v>
      </c>
      <c r="K1368">
        <v>556600252</v>
      </c>
      <c r="L1368">
        <v>237391878</v>
      </c>
      <c r="M1368">
        <v>52030498</v>
      </c>
      <c r="N1368">
        <v>9761113</v>
      </c>
      <c r="O1368">
        <v>23431341</v>
      </c>
      <c r="P1368">
        <v>134</v>
      </c>
      <c r="Q1368" t="s">
        <v>3032</v>
      </c>
    </row>
    <row r="1369" spans="1:17" x14ac:dyDescent="0.3">
      <c r="A1369" t="s">
        <v>17</v>
      </c>
      <c r="B1369" t="str">
        <f>"603568"</f>
        <v>603568</v>
      </c>
      <c r="C1369" t="s">
        <v>3033</v>
      </c>
      <c r="D1369" t="s">
        <v>499</v>
      </c>
      <c r="F1369">
        <v>1137653412</v>
      </c>
      <c r="G1369">
        <v>560942157</v>
      </c>
      <c r="H1369">
        <v>534700005</v>
      </c>
      <c r="I1369">
        <v>360270021</v>
      </c>
      <c r="J1369">
        <v>242727872</v>
      </c>
      <c r="K1369">
        <v>216383474</v>
      </c>
      <c r="L1369">
        <v>155344892</v>
      </c>
      <c r="M1369">
        <v>166553640</v>
      </c>
      <c r="N1369">
        <v>134027487</v>
      </c>
      <c r="O1369">
        <v>125463140</v>
      </c>
      <c r="P1369">
        <v>16270</v>
      </c>
      <c r="Q1369" t="s">
        <v>3034</v>
      </c>
    </row>
    <row r="1370" spans="1:17" x14ac:dyDescent="0.3">
      <c r="A1370" t="s">
        <v>17</v>
      </c>
      <c r="B1370" t="str">
        <f>"603569"</f>
        <v>603569</v>
      </c>
      <c r="C1370" t="s">
        <v>3035</v>
      </c>
      <c r="D1370" t="s">
        <v>2503</v>
      </c>
      <c r="F1370">
        <v>1482014864</v>
      </c>
      <c r="G1370">
        <v>1422504328</v>
      </c>
      <c r="H1370">
        <v>1654894770</v>
      </c>
      <c r="I1370">
        <v>2225377317</v>
      </c>
      <c r="J1370">
        <v>1642652470</v>
      </c>
      <c r="K1370">
        <v>1507190804</v>
      </c>
      <c r="L1370">
        <v>1001265234</v>
      </c>
      <c r="M1370">
        <v>774161743</v>
      </c>
      <c r="N1370">
        <v>701041356</v>
      </c>
      <c r="P1370">
        <v>198</v>
      </c>
      <c r="Q1370" t="s">
        <v>3036</v>
      </c>
    </row>
    <row r="1371" spans="1:17" x14ac:dyDescent="0.3">
      <c r="A1371" t="s">
        <v>17</v>
      </c>
      <c r="B1371" t="str">
        <f>"603577"</f>
        <v>603577</v>
      </c>
      <c r="C1371" t="s">
        <v>3037</v>
      </c>
      <c r="D1371" t="s">
        <v>1164</v>
      </c>
      <c r="F1371">
        <v>793235619</v>
      </c>
      <c r="G1371">
        <v>587841180</v>
      </c>
      <c r="H1371">
        <v>517858381</v>
      </c>
      <c r="I1371">
        <v>389258599</v>
      </c>
      <c r="J1371">
        <v>331208811</v>
      </c>
      <c r="K1371">
        <v>249230329</v>
      </c>
      <c r="L1371">
        <v>221406512</v>
      </c>
      <c r="M1371">
        <v>229305870</v>
      </c>
      <c r="N1371">
        <v>229605041</v>
      </c>
      <c r="P1371">
        <v>90</v>
      </c>
      <c r="Q1371" t="s">
        <v>3038</v>
      </c>
    </row>
    <row r="1372" spans="1:17" x14ac:dyDescent="0.3">
      <c r="A1372" t="s">
        <v>17</v>
      </c>
      <c r="B1372" t="str">
        <f>"603578"</f>
        <v>603578</v>
      </c>
      <c r="C1372" t="s">
        <v>3039</v>
      </c>
      <c r="D1372" t="s">
        <v>1253</v>
      </c>
      <c r="F1372">
        <v>230866321</v>
      </c>
      <c r="G1372">
        <v>137086921</v>
      </c>
      <c r="H1372">
        <v>116327125</v>
      </c>
      <c r="I1372">
        <v>97627928</v>
      </c>
      <c r="J1372">
        <v>115241916</v>
      </c>
      <c r="K1372">
        <v>91158147</v>
      </c>
      <c r="L1372">
        <v>82510603</v>
      </c>
      <c r="M1372">
        <v>99449248</v>
      </c>
      <c r="P1372">
        <v>131</v>
      </c>
      <c r="Q1372" t="s">
        <v>3040</v>
      </c>
    </row>
    <row r="1373" spans="1:17" x14ac:dyDescent="0.3">
      <c r="A1373" t="s">
        <v>17</v>
      </c>
      <c r="B1373" t="str">
        <f>"603579"</f>
        <v>603579</v>
      </c>
      <c r="C1373" t="s">
        <v>3041</v>
      </c>
      <c r="D1373" t="s">
        <v>3042</v>
      </c>
      <c r="F1373">
        <v>142658277</v>
      </c>
      <c r="G1373">
        <v>108491977</v>
      </c>
      <c r="H1373">
        <v>137960748</v>
      </c>
      <c r="I1373">
        <v>118977342</v>
      </c>
      <c r="J1373">
        <v>133559248</v>
      </c>
      <c r="K1373">
        <v>83980851</v>
      </c>
      <c r="L1373">
        <v>42458671</v>
      </c>
      <c r="M1373">
        <v>59336729</v>
      </c>
      <c r="N1373">
        <v>44272638</v>
      </c>
      <c r="P1373">
        <v>597</v>
      </c>
      <c r="Q1373" t="s">
        <v>3043</v>
      </c>
    </row>
    <row r="1374" spans="1:17" x14ac:dyDescent="0.3">
      <c r="A1374" t="s">
        <v>17</v>
      </c>
      <c r="B1374" t="str">
        <f>"603580"</f>
        <v>603580</v>
      </c>
      <c r="C1374" t="s">
        <v>3044</v>
      </c>
      <c r="D1374" t="s">
        <v>1192</v>
      </c>
      <c r="F1374">
        <v>88132234</v>
      </c>
      <c r="G1374">
        <v>67643951</v>
      </c>
      <c r="H1374">
        <v>49985867</v>
      </c>
      <c r="I1374">
        <v>50808400</v>
      </c>
      <c r="J1374">
        <v>38703832</v>
      </c>
      <c r="K1374">
        <v>33114312</v>
      </c>
      <c r="L1374">
        <v>29513091</v>
      </c>
      <c r="M1374">
        <v>29041612</v>
      </c>
      <c r="P1374">
        <v>57</v>
      </c>
      <c r="Q1374" t="s">
        <v>3045</v>
      </c>
    </row>
    <row r="1375" spans="1:17" x14ac:dyDescent="0.3">
      <c r="A1375" t="s">
        <v>17</v>
      </c>
      <c r="B1375" t="str">
        <f>"603583"</f>
        <v>603583</v>
      </c>
      <c r="C1375" t="s">
        <v>3046</v>
      </c>
      <c r="D1375" t="s">
        <v>2432</v>
      </c>
      <c r="F1375">
        <v>415424644</v>
      </c>
      <c r="G1375">
        <v>146628580</v>
      </c>
      <c r="H1375">
        <v>144556151</v>
      </c>
      <c r="I1375">
        <v>127672416</v>
      </c>
      <c r="J1375">
        <v>0</v>
      </c>
      <c r="K1375">
        <v>0</v>
      </c>
      <c r="L1375">
        <v>0</v>
      </c>
      <c r="P1375">
        <v>704</v>
      </c>
      <c r="Q1375" t="s">
        <v>3047</v>
      </c>
    </row>
    <row r="1376" spans="1:17" x14ac:dyDescent="0.3">
      <c r="A1376" t="s">
        <v>17</v>
      </c>
      <c r="B1376" t="str">
        <f>"603585"</f>
        <v>603585</v>
      </c>
      <c r="C1376" t="s">
        <v>3048</v>
      </c>
      <c r="D1376" t="s">
        <v>853</v>
      </c>
      <c r="F1376">
        <v>280017530</v>
      </c>
      <c r="G1376">
        <v>264905690</v>
      </c>
      <c r="H1376">
        <v>273972696</v>
      </c>
      <c r="I1376">
        <v>276119959</v>
      </c>
      <c r="J1376">
        <v>227672512</v>
      </c>
      <c r="K1376">
        <v>263139753</v>
      </c>
      <c r="L1376">
        <v>183643886</v>
      </c>
      <c r="M1376">
        <v>160603651</v>
      </c>
      <c r="N1376">
        <v>134458279</v>
      </c>
      <c r="P1376">
        <v>546</v>
      </c>
      <c r="Q1376" t="s">
        <v>3049</v>
      </c>
    </row>
    <row r="1377" spans="1:17" x14ac:dyDescent="0.3">
      <c r="A1377" t="s">
        <v>17</v>
      </c>
      <c r="B1377" t="str">
        <f>"603586"</f>
        <v>603586</v>
      </c>
      <c r="C1377" t="s">
        <v>3050</v>
      </c>
      <c r="D1377" t="s">
        <v>348</v>
      </c>
      <c r="F1377">
        <v>378265447</v>
      </c>
      <c r="G1377">
        <v>318423856</v>
      </c>
      <c r="H1377">
        <v>373420222</v>
      </c>
      <c r="I1377">
        <v>304868476</v>
      </c>
      <c r="J1377">
        <v>275035082</v>
      </c>
      <c r="K1377">
        <v>271554086</v>
      </c>
      <c r="L1377">
        <v>210512577</v>
      </c>
      <c r="M1377">
        <v>198775543</v>
      </c>
      <c r="P1377">
        <v>109</v>
      </c>
      <c r="Q1377" t="s">
        <v>3051</v>
      </c>
    </row>
    <row r="1378" spans="1:17" x14ac:dyDescent="0.3">
      <c r="A1378" t="s">
        <v>17</v>
      </c>
      <c r="B1378" t="str">
        <f>"603587"</f>
        <v>603587</v>
      </c>
      <c r="C1378" t="s">
        <v>3052</v>
      </c>
      <c r="D1378" t="s">
        <v>255</v>
      </c>
      <c r="F1378">
        <v>61049888</v>
      </c>
      <c r="G1378">
        <v>65791837</v>
      </c>
      <c r="H1378">
        <v>61892155</v>
      </c>
      <c r="I1378">
        <v>58668386</v>
      </c>
      <c r="J1378">
        <v>55204769</v>
      </c>
      <c r="K1378">
        <v>55014387</v>
      </c>
      <c r="L1378">
        <v>54806495</v>
      </c>
      <c r="M1378">
        <v>42657597</v>
      </c>
      <c r="P1378">
        <v>1011</v>
      </c>
      <c r="Q1378" t="s">
        <v>3053</v>
      </c>
    </row>
    <row r="1379" spans="1:17" x14ac:dyDescent="0.3">
      <c r="A1379" t="s">
        <v>17</v>
      </c>
      <c r="B1379" t="str">
        <f>"603588"</f>
        <v>603588</v>
      </c>
      <c r="C1379" t="s">
        <v>3054</v>
      </c>
      <c r="D1379" t="s">
        <v>499</v>
      </c>
      <c r="F1379">
        <v>1381115446</v>
      </c>
      <c r="G1379">
        <v>868695260</v>
      </c>
      <c r="H1379">
        <v>505503839</v>
      </c>
      <c r="I1379">
        <v>260891498</v>
      </c>
      <c r="J1379">
        <v>133675109</v>
      </c>
      <c r="K1379">
        <v>146264770</v>
      </c>
      <c r="L1379">
        <v>109225309</v>
      </c>
      <c r="M1379">
        <v>93205902</v>
      </c>
      <c r="N1379">
        <v>85397327</v>
      </c>
      <c r="O1379">
        <v>84240154</v>
      </c>
      <c r="P1379">
        <v>580</v>
      </c>
      <c r="Q1379" t="s">
        <v>3055</v>
      </c>
    </row>
    <row r="1380" spans="1:17" x14ac:dyDescent="0.3">
      <c r="A1380" t="s">
        <v>17</v>
      </c>
      <c r="B1380" t="str">
        <f>"603589"</f>
        <v>603589</v>
      </c>
      <c r="C1380" t="s">
        <v>3056</v>
      </c>
      <c r="D1380" t="s">
        <v>458</v>
      </c>
      <c r="F1380">
        <v>2265803</v>
      </c>
      <c r="G1380">
        <v>1568528</v>
      </c>
      <c r="H1380">
        <v>3787695</v>
      </c>
      <c r="I1380">
        <v>13132069</v>
      </c>
      <c r="J1380">
        <v>12025607</v>
      </c>
      <c r="K1380">
        <v>17339682</v>
      </c>
      <c r="L1380">
        <v>15548583</v>
      </c>
      <c r="M1380">
        <v>6221106</v>
      </c>
      <c r="N1380">
        <v>25511778</v>
      </c>
      <c r="O1380">
        <v>28852340</v>
      </c>
      <c r="P1380">
        <v>6961</v>
      </c>
      <c r="Q1380" t="s">
        <v>3057</v>
      </c>
    </row>
    <row r="1381" spans="1:17" x14ac:dyDescent="0.3">
      <c r="A1381" t="s">
        <v>17</v>
      </c>
      <c r="B1381" t="str">
        <f>"603590"</f>
        <v>603590</v>
      </c>
      <c r="C1381" t="s">
        <v>3058</v>
      </c>
      <c r="D1381" t="s">
        <v>1379</v>
      </c>
      <c r="F1381">
        <v>233989937</v>
      </c>
      <c r="G1381">
        <v>174701292</v>
      </c>
      <c r="H1381">
        <v>216089946</v>
      </c>
      <c r="I1381">
        <v>219115112</v>
      </c>
      <c r="J1381">
        <v>78591929</v>
      </c>
      <c r="K1381">
        <v>25979356</v>
      </c>
      <c r="L1381">
        <v>8547849</v>
      </c>
      <c r="P1381">
        <v>158</v>
      </c>
      <c r="Q1381" t="s">
        <v>3059</v>
      </c>
    </row>
    <row r="1382" spans="1:17" x14ac:dyDescent="0.3">
      <c r="A1382" t="s">
        <v>17</v>
      </c>
      <c r="B1382" t="str">
        <f>"603595"</f>
        <v>603595</v>
      </c>
      <c r="C1382" t="s">
        <v>3060</v>
      </c>
      <c r="D1382" t="s">
        <v>313</v>
      </c>
      <c r="F1382">
        <v>613022257</v>
      </c>
      <c r="G1382">
        <v>534545756</v>
      </c>
      <c r="H1382">
        <v>324923643</v>
      </c>
      <c r="I1382">
        <v>239500655</v>
      </c>
      <c r="J1382">
        <v>353458282</v>
      </c>
      <c r="K1382">
        <v>155011310</v>
      </c>
      <c r="L1382">
        <v>111405159</v>
      </c>
      <c r="M1382">
        <v>85168445</v>
      </c>
      <c r="P1382">
        <v>184</v>
      </c>
      <c r="Q1382" t="s">
        <v>3061</v>
      </c>
    </row>
    <row r="1383" spans="1:17" x14ac:dyDescent="0.3">
      <c r="A1383" t="s">
        <v>17</v>
      </c>
      <c r="B1383" t="str">
        <f>"603596"</f>
        <v>603596</v>
      </c>
      <c r="C1383" t="s">
        <v>3062</v>
      </c>
      <c r="D1383" t="s">
        <v>348</v>
      </c>
      <c r="F1383">
        <v>993061539</v>
      </c>
      <c r="G1383">
        <v>1031153012</v>
      </c>
      <c r="H1383">
        <v>996378181</v>
      </c>
      <c r="I1383">
        <v>0</v>
      </c>
      <c r="J1383">
        <v>824830880</v>
      </c>
      <c r="K1383">
        <v>902872924</v>
      </c>
      <c r="L1383">
        <v>540367165</v>
      </c>
      <c r="P1383">
        <v>369</v>
      </c>
      <c r="Q1383" t="s">
        <v>3063</v>
      </c>
    </row>
    <row r="1384" spans="1:17" x14ac:dyDescent="0.3">
      <c r="A1384" t="s">
        <v>17</v>
      </c>
      <c r="B1384" t="str">
        <f>"603598"</f>
        <v>603598</v>
      </c>
      <c r="C1384" t="s">
        <v>3064</v>
      </c>
      <c r="D1384" t="s">
        <v>207</v>
      </c>
      <c r="F1384">
        <v>1037720542</v>
      </c>
      <c r="G1384">
        <v>1222419027</v>
      </c>
      <c r="H1384">
        <v>626192407</v>
      </c>
      <c r="I1384">
        <v>523998358</v>
      </c>
      <c r="J1384">
        <v>728483467</v>
      </c>
      <c r="K1384">
        <v>166045555</v>
      </c>
      <c r="L1384">
        <v>288415718</v>
      </c>
      <c r="M1384">
        <v>142669050</v>
      </c>
      <c r="N1384">
        <v>106109493</v>
      </c>
      <c r="O1384">
        <v>84294352</v>
      </c>
      <c r="P1384">
        <v>113</v>
      </c>
      <c r="Q1384" t="s">
        <v>3065</v>
      </c>
    </row>
    <row r="1385" spans="1:17" x14ac:dyDescent="0.3">
      <c r="A1385" t="s">
        <v>17</v>
      </c>
      <c r="B1385" t="str">
        <f>"603599"</f>
        <v>603599</v>
      </c>
      <c r="C1385" t="s">
        <v>3066</v>
      </c>
      <c r="D1385" t="s">
        <v>853</v>
      </c>
      <c r="F1385">
        <v>405328209</v>
      </c>
      <c r="G1385">
        <v>237438757</v>
      </c>
      <c r="H1385">
        <v>260599146</v>
      </c>
      <c r="I1385">
        <v>292450841</v>
      </c>
      <c r="J1385">
        <v>203259288</v>
      </c>
      <c r="K1385">
        <v>111712701</v>
      </c>
      <c r="L1385">
        <v>163933154</v>
      </c>
      <c r="M1385">
        <v>240781353</v>
      </c>
      <c r="N1385">
        <v>214227180</v>
      </c>
      <c r="O1385">
        <v>106948392</v>
      </c>
      <c r="P1385">
        <v>304</v>
      </c>
      <c r="Q1385" t="s">
        <v>3067</v>
      </c>
    </row>
    <row r="1386" spans="1:17" x14ac:dyDescent="0.3">
      <c r="A1386" t="s">
        <v>17</v>
      </c>
      <c r="B1386" t="str">
        <f>"603600"</f>
        <v>603600</v>
      </c>
      <c r="C1386" t="s">
        <v>3068</v>
      </c>
      <c r="D1386" t="s">
        <v>757</v>
      </c>
      <c r="F1386">
        <v>587698021</v>
      </c>
      <c r="G1386">
        <v>674159272</v>
      </c>
      <c r="H1386">
        <v>392459275</v>
      </c>
      <c r="I1386">
        <v>371875531</v>
      </c>
      <c r="J1386">
        <v>221365341</v>
      </c>
      <c r="K1386">
        <v>188179844</v>
      </c>
      <c r="L1386">
        <v>131384086</v>
      </c>
      <c r="M1386">
        <v>97038069</v>
      </c>
      <c r="N1386">
        <v>69668368</v>
      </c>
      <c r="O1386">
        <v>50989012</v>
      </c>
      <c r="P1386">
        <v>290</v>
      </c>
      <c r="Q1386" t="s">
        <v>3069</v>
      </c>
    </row>
    <row r="1387" spans="1:17" x14ac:dyDescent="0.3">
      <c r="A1387" t="s">
        <v>17</v>
      </c>
      <c r="B1387" t="str">
        <f>"603601"</f>
        <v>603601</v>
      </c>
      <c r="C1387" t="s">
        <v>3070</v>
      </c>
      <c r="D1387" t="s">
        <v>411</v>
      </c>
      <c r="F1387">
        <v>630601741</v>
      </c>
      <c r="G1387">
        <v>487189959</v>
      </c>
      <c r="H1387">
        <v>446893949</v>
      </c>
      <c r="I1387">
        <v>341046913</v>
      </c>
      <c r="J1387">
        <v>255282142</v>
      </c>
      <c r="K1387">
        <v>77637137</v>
      </c>
      <c r="L1387">
        <v>46591734</v>
      </c>
      <c r="M1387">
        <v>41425881</v>
      </c>
      <c r="N1387">
        <v>41332515</v>
      </c>
      <c r="O1387">
        <v>28950035</v>
      </c>
      <c r="P1387">
        <v>500</v>
      </c>
      <c r="Q1387" t="s">
        <v>3071</v>
      </c>
    </row>
    <row r="1388" spans="1:17" x14ac:dyDescent="0.3">
      <c r="A1388" t="s">
        <v>17</v>
      </c>
      <c r="B1388" t="str">
        <f>"603602"</f>
        <v>603602</v>
      </c>
      <c r="C1388" t="s">
        <v>3072</v>
      </c>
      <c r="D1388" t="s">
        <v>654</v>
      </c>
      <c r="F1388">
        <v>234952596</v>
      </c>
      <c r="G1388">
        <v>355441673</v>
      </c>
      <c r="H1388">
        <v>329262023</v>
      </c>
      <c r="I1388">
        <v>286307439</v>
      </c>
      <c r="J1388">
        <v>177776811</v>
      </c>
      <c r="K1388">
        <v>101957473</v>
      </c>
      <c r="L1388">
        <v>140294925</v>
      </c>
      <c r="M1388">
        <v>157801969</v>
      </c>
      <c r="P1388">
        <v>193</v>
      </c>
      <c r="Q1388" t="s">
        <v>3073</v>
      </c>
    </row>
    <row r="1389" spans="1:17" x14ac:dyDescent="0.3">
      <c r="A1389" t="s">
        <v>17</v>
      </c>
      <c r="B1389" t="str">
        <f>"603603"</f>
        <v>603603</v>
      </c>
      <c r="C1389" t="s">
        <v>3074</v>
      </c>
      <c r="D1389" t="s">
        <v>33</v>
      </c>
      <c r="F1389">
        <v>1522352242</v>
      </c>
      <c r="G1389">
        <v>1263482164</v>
      </c>
      <c r="H1389">
        <v>1574569163</v>
      </c>
      <c r="I1389">
        <v>2051942632</v>
      </c>
      <c r="J1389">
        <v>1817570821</v>
      </c>
      <c r="K1389">
        <v>1272062668</v>
      </c>
      <c r="L1389">
        <v>754320779</v>
      </c>
      <c r="M1389">
        <v>429338757</v>
      </c>
      <c r="N1389">
        <v>168811995</v>
      </c>
      <c r="P1389">
        <v>118</v>
      </c>
      <c r="Q1389" t="s">
        <v>3075</v>
      </c>
    </row>
    <row r="1390" spans="1:17" x14ac:dyDescent="0.3">
      <c r="A1390" t="s">
        <v>17</v>
      </c>
      <c r="B1390" t="str">
        <f>"603605"</f>
        <v>603605</v>
      </c>
      <c r="C1390" t="s">
        <v>3076</v>
      </c>
      <c r="D1390" t="s">
        <v>709</v>
      </c>
      <c r="F1390">
        <v>138626628</v>
      </c>
      <c r="G1390">
        <v>284878420</v>
      </c>
      <c r="H1390">
        <v>198409249</v>
      </c>
      <c r="I1390">
        <v>88953918</v>
      </c>
      <c r="J1390">
        <v>42067268</v>
      </c>
      <c r="K1390">
        <v>76608994</v>
      </c>
      <c r="L1390">
        <v>91987898</v>
      </c>
      <c r="M1390">
        <v>40341270</v>
      </c>
      <c r="P1390">
        <v>1725</v>
      </c>
      <c r="Q1390" t="s">
        <v>3077</v>
      </c>
    </row>
    <row r="1391" spans="1:17" x14ac:dyDescent="0.3">
      <c r="A1391" t="s">
        <v>17</v>
      </c>
      <c r="B1391" t="str">
        <f>"603606"</f>
        <v>603606</v>
      </c>
      <c r="C1391" t="s">
        <v>3078</v>
      </c>
      <c r="D1391" t="s">
        <v>1164</v>
      </c>
      <c r="F1391">
        <v>2446729097</v>
      </c>
      <c r="G1391">
        <v>1791822245</v>
      </c>
      <c r="H1391">
        <v>1171917488</v>
      </c>
      <c r="I1391">
        <v>794731683</v>
      </c>
      <c r="J1391">
        <v>553977122</v>
      </c>
      <c r="K1391">
        <v>492026229</v>
      </c>
      <c r="L1391">
        <v>407388723</v>
      </c>
      <c r="M1391">
        <v>399414617</v>
      </c>
      <c r="N1391">
        <v>396190520</v>
      </c>
      <c r="O1391">
        <v>369230541</v>
      </c>
      <c r="P1391">
        <v>1568</v>
      </c>
      <c r="Q1391" t="s">
        <v>3079</v>
      </c>
    </row>
    <row r="1392" spans="1:17" x14ac:dyDescent="0.3">
      <c r="A1392" t="s">
        <v>17</v>
      </c>
      <c r="B1392" t="str">
        <f>"603607"</f>
        <v>603607</v>
      </c>
      <c r="C1392" t="s">
        <v>3080</v>
      </c>
      <c r="D1392" t="s">
        <v>2448</v>
      </c>
      <c r="F1392">
        <v>216727089</v>
      </c>
      <c r="G1392">
        <v>201502848</v>
      </c>
      <c r="H1392">
        <v>180153997</v>
      </c>
      <c r="I1392">
        <v>157214041</v>
      </c>
      <c r="J1392">
        <v>123327315</v>
      </c>
      <c r="K1392">
        <v>137244931</v>
      </c>
      <c r="L1392">
        <v>111945904</v>
      </c>
      <c r="M1392">
        <v>138904926</v>
      </c>
      <c r="P1392">
        <v>109</v>
      </c>
      <c r="Q1392" t="s">
        <v>3081</v>
      </c>
    </row>
    <row r="1393" spans="1:17" x14ac:dyDescent="0.3">
      <c r="A1393" t="s">
        <v>17</v>
      </c>
      <c r="B1393" t="str">
        <f>"603608"</f>
        <v>603608</v>
      </c>
      <c r="C1393" t="s">
        <v>3082</v>
      </c>
      <c r="D1393" t="s">
        <v>330</v>
      </c>
      <c r="F1393">
        <v>193251931</v>
      </c>
      <c r="G1393">
        <v>224366782</v>
      </c>
      <c r="H1393">
        <v>260037657</v>
      </c>
      <c r="I1393">
        <v>325224596</v>
      </c>
      <c r="J1393">
        <v>332364418</v>
      </c>
      <c r="K1393">
        <v>254299288</v>
      </c>
      <c r="L1393">
        <v>241730122</v>
      </c>
      <c r="M1393">
        <v>259618957</v>
      </c>
      <c r="N1393">
        <v>249979375</v>
      </c>
      <c r="O1393">
        <v>257112316</v>
      </c>
      <c r="P1393">
        <v>138</v>
      </c>
      <c r="Q1393" t="s">
        <v>3083</v>
      </c>
    </row>
    <row r="1394" spans="1:17" x14ac:dyDescent="0.3">
      <c r="A1394" t="s">
        <v>17</v>
      </c>
      <c r="B1394" t="str">
        <f>"603609"</f>
        <v>603609</v>
      </c>
      <c r="C1394" t="s">
        <v>3084</v>
      </c>
      <c r="D1394" t="s">
        <v>2886</v>
      </c>
      <c r="F1394">
        <v>681517886</v>
      </c>
      <c r="G1394">
        <v>450170744</v>
      </c>
      <c r="H1394">
        <v>362060802</v>
      </c>
      <c r="I1394">
        <v>397891678</v>
      </c>
      <c r="J1394">
        <v>351937541</v>
      </c>
      <c r="K1394">
        <v>303601589</v>
      </c>
      <c r="L1394">
        <v>213336450</v>
      </c>
      <c r="M1394">
        <v>110774342</v>
      </c>
      <c r="N1394">
        <v>65072631</v>
      </c>
      <c r="O1394">
        <v>49043032</v>
      </c>
      <c r="P1394">
        <v>507</v>
      </c>
      <c r="Q1394" t="s">
        <v>3085</v>
      </c>
    </row>
    <row r="1395" spans="1:17" x14ac:dyDescent="0.3">
      <c r="A1395" t="s">
        <v>17</v>
      </c>
      <c r="B1395" t="str">
        <f>"603610"</f>
        <v>603610</v>
      </c>
      <c r="C1395" t="s">
        <v>3086</v>
      </c>
      <c r="D1395" t="s">
        <v>757</v>
      </c>
      <c r="F1395">
        <v>481312164</v>
      </c>
      <c r="G1395">
        <v>420087235</v>
      </c>
      <c r="H1395">
        <v>268904172</v>
      </c>
      <c r="I1395">
        <v>212386748</v>
      </c>
      <c r="J1395">
        <v>118153938</v>
      </c>
      <c r="K1395">
        <v>151288768</v>
      </c>
      <c r="P1395">
        <v>230</v>
      </c>
      <c r="Q1395" t="s">
        <v>3087</v>
      </c>
    </row>
    <row r="1396" spans="1:17" x14ac:dyDescent="0.3">
      <c r="A1396" t="s">
        <v>17</v>
      </c>
      <c r="B1396" t="str">
        <f>"603611"</f>
        <v>603611</v>
      </c>
      <c r="C1396" t="s">
        <v>3088</v>
      </c>
      <c r="D1396" t="s">
        <v>83</v>
      </c>
      <c r="F1396">
        <v>1155481039</v>
      </c>
      <c r="G1396">
        <v>801899115</v>
      </c>
      <c r="H1396">
        <v>737529280</v>
      </c>
      <c r="I1396">
        <v>522774195</v>
      </c>
      <c r="J1396">
        <v>456852368</v>
      </c>
      <c r="K1396">
        <v>298465377</v>
      </c>
      <c r="L1396">
        <v>143976083</v>
      </c>
      <c r="M1396">
        <v>97704407</v>
      </c>
      <c r="N1396">
        <v>60778190</v>
      </c>
      <c r="O1396">
        <v>78589592</v>
      </c>
      <c r="P1396">
        <v>315</v>
      </c>
      <c r="Q1396" t="s">
        <v>3089</v>
      </c>
    </row>
    <row r="1397" spans="1:17" x14ac:dyDescent="0.3">
      <c r="A1397" t="s">
        <v>17</v>
      </c>
      <c r="B1397" t="str">
        <f>"603612"</f>
        <v>603612</v>
      </c>
      <c r="C1397" t="s">
        <v>3090</v>
      </c>
      <c r="D1397" t="s">
        <v>2762</v>
      </c>
      <c r="F1397">
        <v>1633909153</v>
      </c>
      <c r="G1397">
        <v>1040198203</v>
      </c>
      <c r="H1397">
        <v>997188986</v>
      </c>
      <c r="I1397">
        <v>384789317</v>
      </c>
      <c r="J1397">
        <v>446285103</v>
      </c>
      <c r="K1397">
        <v>487556114</v>
      </c>
      <c r="L1397">
        <v>433532809</v>
      </c>
      <c r="M1397">
        <v>490420945</v>
      </c>
      <c r="P1397">
        <v>162</v>
      </c>
      <c r="Q1397" t="s">
        <v>3091</v>
      </c>
    </row>
    <row r="1398" spans="1:17" x14ac:dyDescent="0.3">
      <c r="A1398" t="s">
        <v>17</v>
      </c>
      <c r="B1398" t="str">
        <f>"603613"</f>
        <v>603613</v>
      </c>
      <c r="C1398" t="s">
        <v>3092</v>
      </c>
      <c r="D1398" t="s">
        <v>3093</v>
      </c>
      <c r="F1398">
        <v>338846259</v>
      </c>
      <c r="G1398">
        <v>163864053</v>
      </c>
      <c r="H1398">
        <v>78835945</v>
      </c>
      <c r="I1398">
        <v>0</v>
      </c>
      <c r="J1398">
        <v>0</v>
      </c>
      <c r="K1398">
        <v>0</v>
      </c>
      <c r="P1398">
        <v>827</v>
      </c>
      <c r="Q1398" t="s">
        <v>3094</v>
      </c>
    </row>
    <row r="1399" spans="1:17" x14ac:dyDescent="0.3">
      <c r="A1399" t="s">
        <v>17</v>
      </c>
      <c r="B1399" t="str">
        <f>"603615"</f>
        <v>603615</v>
      </c>
      <c r="C1399" t="s">
        <v>3095</v>
      </c>
      <c r="D1399" t="s">
        <v>2445</v>
      </c>
      <c r="F1399">
        <v>122481410</v>
      </c>
      <c r="G1399">
        <v>113690249</v>
      </c>
      <c r="H1399">
        <v>109797866</v>
      </c>
      <c r="I1399">
        <v>97729020</v>
      </c>
      <c r="J1399">
        <v>88739648</v>
      </c>
      <c r="K1399">
        <v>66250892</v>
      </c>
      <c r="L1399">
        <v>61557364</v>
      </c>
      <c r="M1399">
        <v>66484683</v>
      </c>
      <c r="N1399">
        <v>67214938</v>
      </c>
      <c r="P1399">
        <v>107</v>
      </c>
      <c r="Q1399" t="s">
        <v>3096</v>
      </c>
    </row>
    <row r="1400" spans="1:17" x14ac:dyDescent="0.3">
      <c r="A1400" t="s">
        <v>17</v>
      </c>
      <c r="B1400" t="str">
        <f>"603616"</f>
        <v>603616</v>
      </c>
      <c r="C1400" t="s">
        <v>3097</v>
      </c>
      <c r="D1400" t="s">
        <v>3098</v>
      </c>
      <c r="F1400">
        <v>770138877</v>
      </c>
      <c r="G1400">
        <v>563378389</v>
      </c>
      <c r="H1400">
        <v>870547354</v>
      </c>
      <c r="I1400">
        <v>858991001</v>
      </c>
      <c r="J1400">
        <v>593259806</v>
      </c>
      <c r="K1400">
        <v>640787519</v>
      </c>
      <c r="L1400">
        <v>674661497</v>
      </c>
      <c r="M1400">
        <v>566414235</v>
      </c>
      <c r="N1400">
        <v>345849916</v>
      </c>
      <c r="O1400">
        <v>296478196</v>
      </c>
      <c r="P1400">
        <v>71</v>
      </c>
      <c r="Q1400" t="s">
        <v>3099</v>
      </c>
    </row>
    <row r="1401" spans="1:17" x14ac:dyDescent="0.3">
      <c r="A1401" t="s">
        <v>17</v>
      </c>
      <c r="B1401" t="str">
        <f>"603617"</f>
        <v>603617</v>
      </c>
      <c r="C1401" t="s">
        <v>3100</v>
      </c>
      <c r="D1401" t="s">
        <v>560</v>
      </c>
      <c r="F1401">
        <v>216211555</v>
      </c>
      <c r="G1401">
        <v>194541499</v>
      </c>
      <c r="H1401">
        <v>159421881</v>
      </c>
      <c r="I1401">
        <v>105435842</v>
      </c>
      <c r="J1401">
        <v>105218611</v>
      </c>
      <c r="K1401">
        <v>94379561</v>
      </c>
      <c r="L1401">
        <v>100715713</v>
      </c>
      <c r="M1401">
        <v>74103117</v>
      </c>
      <c r="P1401">
        <v>104</v>
      </c>
      <c r="Q1401" t="s">
        <v>3101</v>
      </c>
    </row>
    <row r="1402" spans="1:17" x14ac:dyDescent="0.3">
      <c r="A1402" t="s">
        <v>17</v>
      </c>
      <c r="B1402" t="str">
        <f>"603618"</f>
        <v>603618</v>
      </c>
      <c r="C1402" t="s">
        <v>3102</v>
      </c>
      <c r="D1402" t="s">
        <v>1164</v>
      </c>
      <c r="F1402">
        <v>2253228502</v>
      </c>
      <c r="G1402">
        <v>1794926622</v>
      </c>
      <c r="H1402">
        <v>1764757145</v>
      </c>
      <c r="I1402">
        <v>1474704532</v>
      </c>
      <c r="J1402">
        <v>1487819067</v>
      </c>
      <c r="K1402">
        <v>1220924603</v>
      </c>
      <c r="L1402">
        <v>878075521</v>
      </c>
      <c r="M1402">
        <v>761427193</v>
      </c>
      <c r="N1402">
        <v>631391312</v>
      </c>
      <c r="O1402">
        <v>577823003</v>
      </c>
      <c r="P1402">
        <v>169</v>
      </c>
      <c r="Q1402" t="s">
        <v>3103</v>
      </c>
    </row>
    <row r="1403" spans="1:17" x14ac:dyDescent="0.3">
      <c r="A1403" t="s">
        <v>17</v>
      </c>
      <c r="B1403" t="str">
        <f>"603619"</f>
        <v>603619</v>
      </c>
      <c r="C1403" t="s">
        <v>3104</v>
      </c>
      <c r="D1403" t="s">
        <v>1762</v>
      </c>
      <c r="F1403">
        <v>461339193</v>
      </c>
      <c r="G1403">
        <v>625609628</v>
      </c>
      <c r="H1403">
        <v>1208735031</v>
      </c>
      <c r="I1403">
        <v>669326181</v>
      </c>
      <c r="J1403">
        <v>737905805</v>
      </c>
      <c r="K1403">
        <v>553067883</v>
      </c>
      <c r="L1403">
        <v>479903104</v>
      </c>
      <c r="M1403">
        <v>602760618</v>
      </c>
      <c r="P1403">
        <v>74</v>
      </c>
      <c r="Q1403" t="s">
        <v>3105</v>
      </c>
    </row>
    <row r="1404" spans="1:17" x14ac:dyDescent="0.3">
      <c r="A1404" t="s">
        <v>17</v>
      </c>
      <c r="B1404" t="str">
        <f>"603626"</f>
        <v>603626</v>
      </c>
      <c r="C1404" t="s">
        <v>3106</v>
      </c>
      <c r="D1404" t="s">
        <v>313</v>
      </c>
      <c r="F1404">
        <v>1930872986</v>
      </c>
      <c r="G1404">
        <v>1625901653</v>
      </c>
      <c r="H1404">
        <v>1021732010</v>
      </c>
      <c r="I1404">
        <v>1356661905</v>
      </c>
      <c r="J1404">
        <v>1171242947</v>
      </c>
      <c r="K1404">
        <v>566989255</v>
      </c>
      <c r="L1404">
        <v>630722129</v>
      </c>
      <c r="M1404">
        <v>224886070</v>
      </c>
      <c r="N1404">
        <v>120040549</v>
      </c>
      <c r="P1404">
        <v>173</v>
      </c>
      <c r="Q1404" t="s">
        <v>3107</v>
      </c>
    </row>
    <row r="1405" spans="1:17" x14ac:dyDescent="0.3">
      <c r="A1405" t="s">
        <v>17</v>
      </c>
      <c r="B1405" t="str">
        <f>"603628"</f>
        <v>603628</v>
      </c>
      <c r="C1405" t="s">
        <v>3108</v>
      </c>
      <c r="D1405" t="s">
        <v>478</v>
      </c>
      <c r="F1405">
        <v>466031407</v>
      </c>
      <c r="G1405">
        <v>377829652</v>
      </c>
      <c r="H1405">
        <v>371352230</v>
      </c>
      <c r="I1405">
        <v>551000854</v>
      </c>
      <c r="J1405">
        <v>523688710</v>
      </c>
      <c r="K1405">
        <v>374794050</v>
      </c>
      <c r="L1405">
        <v>113683670</v>
      </c>
      <c r="M1405">
        <v>202633121</v>
      </c>
      <c r="N1405">
        <v>175227800</v>
      </c>
      <c r="P1405">
        <v>80</v>
      </c>
      <c r="Q1405" t="s">
        <v>3109</v>
      </c>
    </row>
    <row r="1406" spans="1:17" x14ac:dyDescent="0.3">
      <c r="A1406" t="s">
        <v>17</v>
      </c>
      <c r="B1406" t="str">
        <f>"603629"</f>
        <v>603629</v>
      </c>
      <c r="C1406" t="s">
        <v>3110</v>
      </c>
      <c r="D1406" t="s">
        <v>313</v>
      </c>
      <c r="F1406">
        <v>544773653</v>
      </c>
      <c r="G1406">
        <v>430441960</v>
      </c>
      <c r="H1406">
        <v>449016381</v>
      </c>
      <c r="I1406">
        <v>421525721</v>
      </c>
      <c r="J1406">
        <v>521474998</v>
      </c>
      <c r="K1406">
        <v>326352782</v>
      </c>
      <c r="L1406">
        <v>273420026</v>
      </c>
      <c r="P1406">
        <v>51</v>
      </c>
      <c r="Q1406" t="s">
        <v>3111</v>
      </c>
    </row>
    <row r="1407" spans="1:17" x14ac:dyDescent="0.3">
      <c r="A1407" t="s">
        <v>17</v>
      </c>
      <c r="B1407" t="str">
        <f>"603630"</f>
        <v>603630</v>
      </c>
      <c r="C1407" t="s">
        <v>3112</v>
      </c>
      <c r="D1407" t="s">
        <v>709</v>
      </c>
      <c r="F1407">
        <v>142144425</v>
      </c>
      <c r="G1407">
        <v>112517576</v>
      </c>
      <c r="H1407">
        <v>118882245</v>
      </c>
      <c r="I1407">
        <v>128877961</v>
      </c>
      <c r="J1407">
        <v>88174255</v>
      </c>
      <c r="K1407">
        <v>76683171</v>
      </c>
      <c r="L1407">
        <v>67905482</v>
      </c>
      <c r="M1407">
        <v>56735530</v>
      </c>
      <c r="P1407">
        <v>148</v>
      </c>
      <c r="Q1407" t="s">
        <v>3113</v>
      </c>
    </row>
    <row r="1408" spans="1:17" x14ac:dyDescent="0.3">
      <c r="A1408" t="s">
        <v>17</v>
      </c>
      <c r="B1408" t="str">
        <f>"603633"</f>
        <v>603633</v>
      </c>
      <c r="C1408" t="s">
        <v>3114</v>
      </c>
      <c r="D1408" t="s">
        <v>313</v>
      </c>
      <c r="F1408">
        <v>330918347</v>
      </c>
      <c r="G1408">
        <v>303248768</v>
      </c>
      <c r="H1408">
        <v>281758114</v>
      </c>
      <c r="I1408">
        <v>231482777</v>
      </c>
      <c r="J1408">
        <v>197429496</v>
      </c>
      <c r="K1408">
        <v>165970187</v>
      </c>
      <c r="L1408">
        <v>141450273</v>
      </c>
      <c r="M1408">
        <v>129602289</v>
      </c>
      <c r="N1408">
        <v>125904928</v>
      </c>
      <c r="P1408">
        <v>90</v>
      </c>
      <c r="Q1408" t="s">
        <v>3115</v>
      </c>
    </row>
    <row r="1409" spans="1:17" x14ac:dyDescent="0.3">
      <c r="A1409" t="s">
        <v>17</v>
      </c>
      <c r="B1409" t="str">
        <f>"603636"</f>
        <v>603636</v>
      </c>
      <c r="C1409" t="s">
        <v>3116</v>
      </c>
      <c r="D1409" t="s">
        <v>316</v>
      </c>
      <c r="F1409">
        <v>1330770963</v>
      </c>
      <c r="G1409">
        <v>795967935</v>
      </c>
      <c r="H1409">
        <v>484797356</v>
      </c>
      <c r="I1409">
        <v>248911241</v>
      </c>
      <c r="J1409">
        <v>278665932</v>
      </c>
      <c r="K1409">
        <v>208143006</v>
      </c>
      <c r="L1409">
        <v>150866361</v>
      </c>
      <c r="M1409">
        <v>102695292</v>
      </c>
      <c r="N1409">
        <v>114036523</v>
      </c>
      <c r="O1409">
        <v>97306594</v>
      </c>
      <c r="P1409">
        <v>202</v>
      </c>
      <c r="Q1409" t="s">
        <v>3117</v>
      </c>
    </row>
    <row r="1410" spans="1:17" x14ac:dyDescent="0.3">
      <c r="A1410" t="s">
        <v>17</v>
      </c>
      <c r="B1410" t="str">
        <f>"603637"</f>
        <v>603637</v>
      </c>
      <c r="C1410" t="s">
        <v>3118</v>
      </c>
      <c r="D1410" t="s">
        <v>2025</v>
      </c>
      <c r="F1410">
        <v>163334119</v>
      </c>
      <c r="G1410">
        <v>157170309</v>
      </c>
      <c r="H1410">
        <v>142889621</v>
      </c>
      <c r="I1410">
        <v>159169066</v>
      </c>
      <c r="J1410">
        <v>114291664</v>
      </c>
      <c r="K1410">
        <v>127218793</v>
      </c>
      <c r="L1410">
        <v>105765870</v>
      </c>
      <c r="M1410">
        <v>53440688</v>
      </c>
      <c r="N1410">
        <v>106673837</v>
      </c>
      <c r="P1410">
        <v>70</v>
      </c>
      <c r="Q1410" t="s">
        <v>3119</v>
      </c>
    </row>
    <row r="1411" spans="1:17" x14ac:dyDescent="0.3">
      <c r="A1411" t="s">
        <v>17</v>
      </c>
      <c r="B1411" t="str">
        <f>"603638"</f>
        <v>603638</v>
      </c>
      <c r="C1411" t="s">
        <v>3120</v>
      </c>
      <c r="D1411" t="s">
        <v>2007</v>
      </c>
      <c r="F1411">
        <v>447578754</v>
      </c>
      <c r="G1411">
        <v>489250811</v>
      </c>
      <c r="H1411">
        <v>177199454</v>
      </c>
      <c r="I1411">
        <v>129243344</v>
      </c>
      <c r="J1411">
        <v>71914707</v>
      </c>
      <c r="K1411">
        <v>48102855</v>
      </c>
      <c r="L1411">
        <v>43021585</v>
      </c>
      <c r="M1411">
        <v>48273678</v>
      </c>
      <c r="N1411">
        <v>48033498</v>
      </c>
      <c r="P1411">
        <v>665</v>
      </c>
      <c r="Q1411" t="s">
        <v>3121</v>
      </c>
    </row>
    <row r="1412" spans="1:17" x14ac:dyDescent="0.3">
      <c r="A1412" t="s">
        <v>17</v>
      </c>
      <c r="B1412" t="str">
        <f>"603639"</f>
        <v>603639</v>
      </c>
      <c r="C1412" t="s">
        <v>3122</v>
      </c>
      <c r="D1412" t="s">
        <v>853</v>
      </c>
      <c r="F1412">
        <v>634429213</v>
      </c>
      <c r="G1412">
        <v>598318017</v>
      </c>
      <c r="H1412">
        <v>380807338</v>
      </c>
      <c r="I1412">
        <v>430518226</v>
      </c>
      <c r="J1412">
        <v>278757852</v>
      </c>
      <c r="K1412">
        <v>99002203</v>
      </c>
      <c r="L1412">
        <v>111815423</v>
      </c>
      <c r="M1412">
        <v>92347862</v>
      </c>
      <c r="N1412">
        <v>87763985</v>
      </c>
      <c r="P1412">
        <v>1565</v>
      </c>
      <c r="Q1412" t="s">
        <v>3123</v>
      </c>
    </row>
    <row r="1413" spans="1:17" x14ac:dyDescent="0.3">
      <c r="A1413" t="s">
        <v>17</v>
      </c>
      <c r="B1413" t="str">
        <f>"603648"</f>
        <v>603648</v>
      </c>
      <c r="C1413" t="s">
        <v>3124</v>
      </c>
      <c r="D1413" t="s">
        <v>3125</v>
      </c>
      <c r="F1413">
        <v>226018564</v>
      </c>
      <c r="G1413">
        <v>167798572</v>
      </c>
      <c r="H1413">
        <v>203739242</v>
      </c>
      <c r="I1413">
        <v>211065110</v>
      </c>
      <c r="J1413">
        <v>155204386</v>
      </c>
      <c r="K1413">
        <v>213485229</v>
      </c>
      <c r="L1413">
        <v>189416834</v>
      </c>
      <c r="M1413">
        <v>183616039</v>
      </c>
      <c r="P1413">
        <v>72</v>
      </c>
      <c r="Q1413" t="s">
        <v>3126</v>
      </c>
    </row>
    <row r="1414" spans="1:17" x14ac:dyDescent="0.3">
      <c r="A1414" t="s">
        <v>17</v>
      </c>
      <c r="B1414" t="str">
        <f>"603650"</f>
        <v>603650</v>
      </c>
      <c r="C1414" t="s">
        <v>3127</v>
      </c>
      <c r="D1414" t="s">
        <v>3128</v>
      </c>
      <c r="F1414">
        <v>553661357</v>
      </c>
      <c r="G1414">
        <v>524634203</v>
      </c>
      <c r="H1414">
        <v>537186200</v>
      </c>
      <c r="I1414">
        <v>537531094</v>
      </c>
      <c r="J1414">
        <v>456416426</v>
      </c>
      <c r="K1414">
        <v>458725477</v>
      </c>
      <c r="L1414">
        <v>394389627</v>
      </c>
      <c r="P1414">
        <v>258</v>
      </c>
      <c r="Q1414" t="s">
        <v>3129</v>
      </c>
    </row>
    <row r="1415" spans="1:17" x14ac:dyDescent="0.3">
      <c r="A1415" t="s">
        <v>17</v>
      </c>
      <c r="B1415" t="str">
        <f>"603655"</f>
        <v>603655</v>
      </c>
      <c r="C1415" t="s">
        <v>3130</v>
      </c>
      <c r="D1415" t="s">
        <v>985</v>
      </c>
      <c r="F1415">
        <v>77119369</v>
      </c>
      <c r="G1415">
        <v>82169410</v>
      </c>
      <c r="H1415">
        <v>75963152</v>
      </c>
      <c r="I1415">
        <v>60173284</v>
      </c>
      <c r="J1415">
        <v>79282863</v>
      </c>
      <c r="K1415">
        <v>67841155</v>
      </c>
      <c r="L1415">
        <v>65460848</v>
      </c>
      <c r="M1415">
        <v>56935440</v>
      </c>
      <c r="P1415">
        <v>88</v>
      </c>
      <c r="Q1415" t="s">
        <v>3131</v>
      </c>
    </row>
    <row r="1416" spans="1:17" x14ac:dyDescent="0.3">
      <c r="A1416" t="s">
        <v>17</v>
      </c>
      <c r="B1416" t="str">
        <f>"603656"</f>
        <v>603656</v>
      </c>
      <c r="C1416" t="s">
        <v>3132</v>
      </c>
      <c r="D1416" t="s">
        <v>741</v>
      </c>
      <c r="F1416">
        <v>159302257</v>
      </c>
      <c r="G1416">
        <v>115462257</v>
      </c>
      <c r="H1416">
        <v>92206514</v>
      </c>
      <c r="I1416">
        <v>98185090</v>
      </c>
      <c r="J1416">
        <v>82774825</v>
      </c>
      <c r="K1416">
        <v>79892780</v>
      </c>
      <c r="L1416">
        <v>71543104</v>
      </c>
      <c r="M1416">
        <v>48358207</v>
      </c>
      <c r="N1416">
        <v>37003134</v>
      </c>
      <c r="P1416">
        <v>80</v>
      </c>
      <c r="Q1416" t="s">
        <v>3133</v>
      </c>
    </row>
    <row r="1417" spans="1:17" x14ac:dyDescent="0.3">
      <c r="A1417" t="s">
        <v>17</v>
      </c>
      <c r="B1417" t="str">
        <f>"603657"</f>
        <v>603657</v>
      </c>
      <c r="C1417" t="s">
        <v>3134</v>
      </c>
      <c r="D1417" t="s">
        <v>1253</v>
      </c>
      <c r="F1417">
        <v>456943663</v>
      </c>
      <c r="G1417">
        <v>303055811</v>
      </c>
      <c r="H1417">
        <v>175879213</v>
      </c>
      <c r="I1417">
        <v>181135305</v>
      </c>
      <c r="J1417">
        <v>152055568</v>
      </c>
      <c r="K1417">
        <v>120021719</v>
      </c>
      <c r="L1417">
        <v>126094714</v>
      </c>
      <c r="P1417">
        <v>152</v>
      </c>
      <c r="Q1417" t="s">
        <v>3135</v>
      </c>
    </row>
    <row r="1418" spans="1:17" x14ac:dyDescent="0.3">
      <c r="A1418" t="s">
        <v>17</v>
      </c>
      <c r="B1418" t="str">
        <f>"603658"</f>
        <v>603658</v>
      </c>
      <c r="C1418" t="s">
        <v>3136</v>
      </c>
      <c r="D1418" t="s">
        <v>1305</v>
      </c>
      <c r="F1418">
        <v>989060538</v>
      </c>
      <c r="G1418">
        <v>956321567</v>
      </c>
      <c r="H1418">
        <v>634479333</v>
      </c>
      <c r="I1418">
        <v>345483444</v>
      </c>
      <c r="J1418">
        <v>224366967</v>
      </c>
      <c r="K1418">
        <v>161616903</v>
      </c>
      <c r="L1418">
        <v>105426795</v>
      </c>
      <c r="M1418">
        <v>84383091</v>
      </c>
      <c r="N1418">
        <v>65676257</v>
      </c>
      <c r="P1418">
        <v>2606</v>
      </c>
      <c r="Q1418" t="s">
        <v>3137</v>
      </c>
    </row>
    <row r="1419" spans="1:17" x14ac:dyDescent="0.3">
      <c r="A1419" t="s">
        <v>17</v>
      </c>
      <c r="B1419" t="str">
        <f>"603659"</f>
        <v>603659</v>
      </c>
      <c r="C1419" t="s">
        <v>3138</v>
      </c>
      <c r="D1419" t="s">
        <v>1790</v>
      </c>
      <c r="F1419">
        <v>1928336478</v>
      </c>
      <c r="G1419">
        <v>1699762403</v>
      </c>
      <c r="H1419">
        <v>1260668506</v>
      </c>
      <c r="I1419">
        <v>977804650</v>
      </c>
      <c r="J1419">
        <v>763547525</v>
      </c>
      <c r="K1419">
        <v>480083765</v>
      </c>
      <c r="L1419">
        <v>324785788</v>
      </c>
      <c r="M1419">
        <v>163271738</v>
      </c>
      <c r="P1419">
        <v>1047</v>
      </c>
      <c r="Q1419" t="s">
        <v>3139</v>
      </c>
    </row>
    <row r="1420" spans="1:17" x14ac:dyDescent="0.3">
      <c r="A1420" t="s">
        <v>17</v>
      </c>
      <c r="B1420" t="str">
        <f>"603660"</f>
        <v>603660</v>
      </c>
      <c r="C1420" t="s">
        <v>3140</v>
      </c>
      <c r="D1420" t="s">
        <v>236</v>
      </c>
      <c r="F1420">
        <v>1303108710</v>
      </c>
      <c r="G1420">
        <v>1059772167</v>
      </c>
      <c r="H1420">
        <v>1072134983</v>
      </c>
      <c r="I1420">
        <v>878657795</v>
      </c>
      <c r="J1420">
        <v>511647240</v>
      </c>
      <c r="K1420">
        <v>395205098</v>
      </c>
      <c r="L1420">
        <v>335260872</v>
      </c>
      <c r="M1420">
        <v>349054867</v>
      </c>
      <c r="N1420">
        <v>264482884</v>
      </c>
      <c r="P1420">
        <v>291</v>
      </c>
      <c r="Q1420" t="s">
        <v>3141</v>
      </c>
    </row>
    <row r="1421" spans="1:17" x14ac:dyDescent="0.3">
      <c r="A1421" t="s">
        <v>17</v>
      </c>
      <c r="B1421" t="str">
        <f>"603661"</f>
        <v>603661</v>
      </c>
      <c r="C1421" t="s">
        <v>3142</v>
      </c>
      <c r="D1421" t="s">
        <v>757</v>
      </c>
      <c r="F1421">
        <v>665062191</v>
      </c>
      <c r="G1421">
        <v>687702587</v>
      </c>
      <c r="H1421">
        <v>574225579</v>
      </c>
      <c r="I1421">
        <v>432748680</v>
      </c>
      <c r="J1421">
        <v>262587061</v>
      </c>
      <c r="K1421">
        <v>259860043</v>
      </c>
      <c r="L1421">
        <v>234428850</v>
      </c>
      <c r="M1421">
        <v>180801393</v>
      </c>
      <c r="P1421">
        <v>148</v>
      </c>
      <c r="Q1421" t="s">
        <v>3143</v>
      </c>
    </row>
    <row r="1422" spans="1:17" x14ac:dyDescent="0.3">
      <c r="A1422" t="s">
        <v>17</v>
      </c>
      <c r="B1422" t="str">
        <f>"603662"</f>
        <v>603662</v>
      </c>
      <c r="C1422" t="s">
        <v>3144</v>
      </c>
      <c r="D1422" t="s">
        <v>2566</v>
      </c>
      <c r="F1422">
        <v>228227786</v>
      </c>
      <c r="G1422">
        <v>163487991</v>
      </c>
      <c r="H1422">
        <v>125621131</v>
      </c>
      <c r="I1422">
        <v>0</v>
      </c>
      <c r="J1422">
        <v>0</v>
      </c>
      <c r="K1422">
        <v>0</v>
      </c>
      <c r="P1422">
        <v>125</v>
      </c>
      <c r="Q1422" t="s">
        <v>3145</v>
      </c>
    </row>
    <row r="1423" spans="1:17" x14ac:dyDescent="0.3">
      <c r="A1423" t="s">
        <v>17</v>
      </c>
      <c r="B1423" t="str">
        <f>"603663"</f>
        <v>603663</v>
      </c>
      <c r="C1423" t="s">
        <v>3146</v>
      </c>
      <c r="D1423" t="s">
        <v>736</v>
      </c>
      <c r="F1423">
        <v>95509311</v>
      </c>
      <c r="G1423">
        <v>116029008</v>
      </c>
      <c r="H1423">
        <v>115735453</v>
      </c>
      <c r="I1423">
        <v>88150593</v>
      </c>
      <c r="J1423">
        <v>56920677</v>
      </c>
      <c r="K1423">
        <v>51473577</v>
      </c>
      <c r="L1423">
        <v>51477471</v>
      </c>
      <c r="M1423">
        <v>53707791</v>
      </c>
      <c r="N1423">
        <v>58798006</v>
      </c>
      <c r="P1423">
        <v>143</v>
      </c>
      <c r="Q1423" t="s">
        <v>3147</v>
      </c>
    </row>
    <row r="1424" spans="1:17" x14ac:dyDescent="0.3">
      <c r="A1424" t="s">
        <v>17</v>
      </c>
      <c r="B1424" t="str">
        <f>"603665"</f>
        <v>603665</v>
      </c>
      <c r="C1424" t="s">
        <v>3148</v>
      </c>
      <c r="D1424" t="s">
        <v>330</v>
      </c>
      <c r="F1424">
        <v>119469207</v>
      </c>
      <c r="G1424">
        <v>120936957</v>
      </c>
      <c r="H1424">
        <v>117236434</v>
      </c>
      <c r="I1424">
        <v>113711426</v>
      </c>
      <c r="J1424">
        <v>85877466</v>
      </c>
      <c r="K1424">
        <v>69755416</v>
      </c>
      <c r="L1424">
        <v>72954719</v>
      </c>
      <c r="M1424">
        <v>65674164</v>
      </c>
      <c r="P1424">
        <v>89</v>
      </c>
      <c r="Q1424" t="s">
        <v>3149</v>
      </c>
    </row>
    <row r="1425" spans="1:17" x14ac:dyDescent="0.3">
      <c r="A1425" t="s">
        <v>17</v>
      </c>
      <c r="B1425" t="str">
        <f>"603666"</f>
        <v>603666</v>
      </c>
      <c r="C1425" t="s">
        <v>3150</v>
      </c>
      <c r="D1425" t="s">
        <v>2938</v>
      </c>
      <c r="F1425">
        <v>757164779</v>
      </c>
      <c r="G1425">
        <v>332545008</v>
      </c>
      <c r="H1425">
        <v>174729111</v>
      </c>
      <c r="I1425">
        <v>131798215</v>
      </c>
      <c r="J1425">
        <v>93634836</v>
      </c>
      <c r="K1425">
        <v>34332771</v>
      </c>
      <c r="L1425">
        <v>62795422</v>
      </c>
      <c r="P1425">
        <v>449</v>
      </c>
      <c r="Q1425" t="s">
        <v>3151</v>
      </c>
    </row>
    <row r="1426" spans="1:17" x14ac:dyDescent="0.3">
      <c r="A1426" t="s">
        <v>17</v>
      </c>
      <c r="B1426" t="str">
        <f>"603667"</f>
        <v>603667</v>
      </c>
      <c r="C1426" t="s">
        <v>3152</v>
      </c>
      <c r="D1426" t="s">
        <v>274</v>
      </c>
      <c r="F1426">
        <v>616712262</v>
      </c>
      <c r="G1426">
        <v>479277138</v>
      </c>
      <c r="H1426">
        <v>412379156</v>
      </c>
      <c r="I1426">
        <v>400683605</v>
      </c>
      <c r="J1426">
        <v>273625383</v>
      </c>
      <c r="K1426">
        <v>262169855</v>
      </c>
      <c r="L1426">
        <v>203595086</v>
      </c>
      <c r="M1426">
        <v>195528422</v>
      </c>
      <c r="N1426">
        <v>159236199</v>
      </c>
      <c r="P1426">
        <v>115</v>
      </c>
      <c r="Q1426" t="s">
        <v>3153</v>
      </c>
    </row>
    <row r="1427" spans="1:17" x14ac:dyDescent="0.3">
      <c r="A1427" t="s">
        <v>17</v>
      </c>
      <c r="B1427" t="str">
        <f>"603668"</f>
        <v>603668</v>
      </c>
      <c r="C1427" t="s">
        <v>3154</v>
      </c>
      <c r="D1427" t="s">
        <v>3155</v>
      </c>
      <c r="F1427">
        <v>552578737</v>
      </c>
      <c r="G1427">
        <v>591539451</v>
      </c>
      <c r="H1427">
        <v>417492586</v>
      </c>
      <c r="I1427">
        <v>367320727</v>
      </c>
      <c r="J1427">
        <v>234353553</v>
      </c>
      <c r="K1427">
        <v>187075048</v>
      </c>
      <c r="L1427">
        <v>182064264</v>
      </c>
      <c r="M1427">
        <v>159045284</v>
      </c>
      <c r="N1427">
        <v>132889940</v>
      </c>
      <c r="P1427">
        <v>126</v>
      </c>
      <c r="Q1427" t="s">
        <v>3156</v>
      </c>
    </row>
    <row r="1428" spans="1:17" x14ac:dyDescent="0.3">
      <c r="A1428" t="s">
        <v>17</v>
      </c>
      <c r="B1428" t="str">
        <f>"603669"</f>
        <v>603669</v>
      </c>
      <c r="C1428" t="s">
        <v>3157</v>
      </c>
      <c r="D1428" t="s">
        <v>143</v>
      </c>
      <c r="F1428">
        <v>123519528</v>
      </c>
      <c r="G1428">
        <v>171407965</v>
      </c>
      <c r="H1428">
        <v>228749626</v>
      </c>
      <c r="I1428">
        <v>172464592</v>
      </c>
      <c r="J1428">
        <v>186452124</v>
      </c>
      <c r="K1428">
        <v>51208644</v>
      </c>
      <c r="L1428">
        <v>52012688</v>
      </c>
      <c r="M1428">
        <v>4764580</v>
      </c>
      <c r="N1428">
        <v>3040098</v>
      </c>
      <c r="O1428">
        <v>8253180</v>
      </c>
      <c r="P1428">
        <v>194</v>
      </c>
      <c r="Q1428" t="s">
        <v>3158</v>
      </c>
    </row>
    <row r="1429" spans="1:17" x14ac:dyDescent="0.3">
      <c r="A1429" t="s">
        <v>17</v>
      </c>
      <c r="B1429" t="str">
        <f>"603676"</f>
        <v>603676</v>
      </c>
      <c r="C1429" t="s">
        <v>3159</v>
      </c>
      <c r="D1429" t="s">
        <v>143</v>
      </c>
      <c r="F1429">
        <v>192310113</v>
      </c>
      <c r="G1429">
        <v>228776638</v>
      </c>
      <c r="H1429">
        <v>249817811</v>
      </c>
      <c r="I1429">
        <v>228244809</v>
      </c>
      <c r="J1429">
        <v>143122897</v>
      </c>
      <c r="K1429">
        <v>8748422</v>
      </c>
      <c r="L1429">
        <v>16324759</v>
      </c>
      <c r="M1429">
        <v>8201473</v>
      </c>
      <c r="P1429">
        <v>108</v>
      </c>
      <c r="Q1429" t="s">
        <v>3160</v>
      </c>
    </row>
    <row r="1430" spans="1:17" x14ac:dyDescent="0.3">
      <c r="A1430" t="s">
        <v>17</v>
      </c>
      <c r="B1430" t="str">
        <f>"603677"</f>
        <v>603677</v>
      </c>
      <c r="C1430" t="s">
        <v>3161</v>
      </c>
      <c r="D1430" t="s">
        <v>1253</v>
      </c>
      <c r="F1430">
        <v>448399876</v>
      </c>
      <c r="G1430">
        <v>396937107</v>
      </c>
      <c r="H1430">
        <v>402237216</v>
      </c>
      <c r="I1430">
        <v>341193987</v>
      </c>
      <c r="J1430">
        <v>298274974</v>
      </c>
      <c r="K1430">
        <v>273424009</v>
      </c>
      <c r="L1430">
        <v>263935555</v>
      </c>
      <c r="M1430">
        <v>281929134</v>
      </c>
      <c r="N1430">
        <v>267729358</v>
      </c>
      <c r="P1430">
        <v>124</v>
      </c>
      <c r="Q1430" t="s">
        <v>3162</v>
      </c>
    </row>
    <row r="1431" spans="1:17" x14ac:dyDescent="0.3">
      <c r="A1431" t="s">
        <v>17</v>
      </c>
      <c r="B1431" t="str">
        <f>"603678"</f>
        <v>603678</v>
      </c>
      <c r="C1431" t="s">
        <v>3163</v>
      </c>
      <c r="D1431" t="s">
        <v>1136</v>
      </c>
      <c r="F1431">
        <v>1592552185</v>
      </c>
      <c r="G1431">
        <v>1588693134</v>
      </c>
      <c r="H1431">
        <v>1190145834</v>
      </c>
      <c r="I1431">
        <v>842088455</v>
      </c>
      <c r="J1431">
        <v>772984820</v>
      </c>
      <c r="K1431">
        <v>543909984</v>
      </c>
      <c r="L1431">
        <v>410382417</v>
      </c>
      <c r="M1431">
        <v>311177160</v>
      </c>
      <c r="N1431">
        <v>278404148</v>
      </c>
      <c r="O1431">
        <v>278221820</v>
      </c>
      <c r="P1431">
        <v>639</v>
      </c>
      <c r="Q1431" t="s">
        <v>3164</v>
      </c>
    </row>
    <row r="1432" spans="1:17" x14ac:dyDescent="0.3">
      <c r="A1432" t="s">
        <v>17</v>
      </c>
      <c r="B1432" t="str">
        <f>"603679"</f>
        <v>603679</v>
      </c>
      <c r="C1432" t="s">
        <v>3165</v>
      </c>
      <c r="D1432" t="s">
        <v>803</v>
      </c>
      <c r="F1432">
        <v>370590776</v>
      </c>
      <c r="G1432">
        <v>414891208</v>
      </c>
      <c r="H1432">
        <v>508948467</v>
      </c>
      <c r="I1432">
        <v>289950002</v>
      </c>
      <c r="J1432">
        <v>249946397</v>
      </c>
      <c r="K1432">
        <v>186799840</v>
      </c>
      <c r="L1432">
        <v>185742130</v>
      </c>
      <c r="M1432">
        <v>147730412</v>
      </c>
      <c r="P1432">
        <v>164</v>
      </c>
      <c r="Q1432" t="s">
        <v>3166</v>
      </c>
    </row>
    <row r="1433" spans="1:17" x14ac:dyDescent="0.3">
      <c r="A1433" t="s">
        <v>17</v>
      </c>
      <c r="B1433" t="str">
        <f>"603680"</f>
        <v>603680</v>
      </c>
      <c r="C1433" t="s">
        <v>3167</v>
      </c>
      <c r="D1433" t="s">
        <v>1012</v>
      </c>
      <c r="F1433">
        <v>2388903847</v>
      </c>
      <c r="G1433">
        <v>2253891884</v>
      </c>
      <c r="H1433">
        <v>2039789922</v>
      </c>
      <c r="I1433">
        <v>1797715335</v>
      </c>
      <c r="J1433">
        <v>1810125535</v>
      </c>
      <c r="K1433">
        <v>1385234431</v>
      </c>
      <c r="L1433">
        <v>912647105</v>
      </c>
      <c r="M1433">
        <v>679652633</v>
      </c>
      <c r="P1433">
        <v>81</v>
      </c>
      <c r="Q1433" t="s">
        <v>3168</v>
      </c>
    </row>
    <row r="1434" spans="1:17" x14ac:dyDescent="0.3">
      <c r="A1434" t="s">
        <v>17</v>
      </c>
      <c r="B1434" t="str">
        <f>"603681"</f>
        <v>603681</v>
      </c>
      <c r="C1434" t="s">
        <v>3169</v>
      </c>
      <c r="D1434" t="s">
        <v>3170</v>
      </c>
      <c r="F1434">
        <v>588761258</v>
      </c>
      <c r="G1434">
        <v>298695228</v>
      </c>
      <c r="H1434">
        <v>325179325</v>
      </c>
      <c r="I1434">
        <v>296407483</v>
      </c>
      <c r="J1434">
        <v>0</v>
      </c>
      <c r="K1434">
        <v>0</v>
      </c>
      <c r="L1434">
        <v>0</v>
      </c>
      <c r="P1434">
        <v>113</v>
      </c>
      <c r="Q1434" t="s">
        <v>3171</v>
      </c>
    </row>
    <row r="1435" spans="1:17" x14ac:dyDescent="0.3">
      <c r="A1435" t="s">
        <v>17</v>
      </c>
      <c r="B1435" t="str">
        <f>"603682"</f>
        <v>603682</v>
      </c>
      <c r="C1435" t="s">
        <v>3172</v>
      </c>
      <c r="D1435" t="s">
        <v>271</v>
      </c>
      <c r="F1435">
        <v>46239670</v>
      </c>
      <c r="G1435">
        <v>23714643</v>
      </c>
      <c r="H1435">
        <v>21179437</v>
      </c>
      <c r="I1435">
        <v>17896340</v>
      </c>
      <c r="J1435">
        <v>15639457</v>
      </c>
      <c r="K1435">
        <v>7403907</v>
      </c>
      <c r="P1435">
        <v>156</v>
      </c>
      <c r="Q1435" t="s">
        <v>3173</v>
      </c>
    </row>
    <row r="1436" spans="1:17" x14ac:dyDescent="0.3">
      <c r="A1436" t="s">
        <v>17</v>
      </c>
      <c r="B1436" t="str">
        <f>"603683"</f>
        <v>603683</v>
      </c>
      <c r="C1436" t="s">
        <v>3174</v>
      </c>
      <c r="D1436" t="s">
        <v>3170</v>
      </c>
      <c r="F1436">
        <v>201458485</v>
      </c>
      <c r="G1436">
        <v>174020791</v>
      </c>
      <c r="H1436">
        <v>140473535</v>
      </c>
      <c r="I1436">
        <v>133586030</v>
      </c>
      <c r="J1436">
        <v>101170197</v>
      </c>
      <c r="K1436">
        <v>86938936</v>
      </c>
      <c r="L1436">
        <v>66776703</v>
      </c>
      <c r="M1436">
        <v>70079933</v>
      </c>
      <c r="P1436">
        <v>58</v>
      </c>
      <c r="Q1436" t="s">
        <v>3175</v>
      </c>
    </row>
    <row r="1437" spans="1:17" x14ac:dyDescent="0.3">
      <c r="A1437" t="s">
        <v>17</v>
      </c>
      <c r="B1437" t="str">
        <f>"603685"</f>
        <v>603685</v>
      </c>
      <c r="C1437" t="s">
        <v>3176</v>
      </c>
      <c r="D1437" t="s">
        <v>803</v>
      </c>
      <c r="F1437">
        <v>377167385</v>
      </c>
      <c r="G1437">
        <v>345126827</v>
      </c>
      <c r="H1437">
        <v>276827612</v>
      </c>
      <c r="I1437">
        <v>236492973</v>
      </c>
      <c r="J1437">
        <v>155499685</v>
      </c>
      <c r="K1437">
        <v>118046067</v>
      </c>
      <c r="L1437">
        <v>102637729</v>
      </c>
      <c r="M1437">
        <v>63983324</v>
      </c>
      <c r="P1437">
        <v>102</v>
      </c>
      <c r="Q1437" t="s">
        <v>3177</v>
      </c>
    </row>
    <row r="1438" spans="1:17" x14ac:dyDescent="0.3">
      <c r="A1438" t="s">
        <v>17</v>
      </c>
      <c r="B1438" t="str">
        <f>"603686"</f>
        <v>603686</v>
      </c>
      <c r="C1438" t="s">
        <v>3178</v>
      </c>
      <c r="D1438" t="s">
        <v>1070</v>
      </c>
      <c r="F1438">
        <v>1584498056</v>
      </c>
      <c r="G1438">
        <v>1223776746</v>
      </c>
      <c r="H1438">
        <v>1533775902</v>
      </c>
      <c r="I1438">
        <v>1718159215</v>
      </c>
      <c r="J1438">
        <v>1138353982</v>
      </c>
      <c r="K1438">
        <v>686859171</v>
      </c>
      <c r="L1438">
        <v>548408480</v>
      </c>
      <c r="M1438">
        <v>449896401</v>
      </c>
      <c r="N1438">
        <v>328715642</v>
      </c>
      <c r="O1438">
        <v>208281694</v>
      </c>
      <c r="P1438">
        <v>760</v>
      </c>
      <c r="Q1438" t="s">
        <v>3179</v>
      </c>
    </row>
    <row r="1439" spans="1:17" x14ac:dyDescent="0.3">
      <c r="A1439" t="s">
        <v>17</v>
      </c>
      <c r="B1439" t="str">
        <f>"603687"</f>
        <v>603687</v>
      </c>
      <c r="C1439" t="s">
        <v>3180</v>
      </c>
      <c r="D1439" t="s">
        <v>2165</v>
      </c>
      <c r="F1439">
        <v>458417533</v>
      </c>
      <c r="G1439">
        <v>354587886</v>
      </c>
      <c r="H1439">
        <v>306313632</v>
      </c>
      <c r="I1439">
        <v>0</v>
      </c>
      <c r="J1439">
        <v>0</v>
      </c>
      <c r="K1439">
        <v>0</v>
      </c>
      <c r="P1439">
        <v>92</v>
      </c>
      <c r="Q1439" t="s">
        <v>3181</v>
      </c>
    </row>
    <row r="1440" spans="1:17" x14ac:dyDescent="0.3">
      <c r="A1440" t="s">
        <v>17</v>
      </c>
      <c r="B1440" t="str">
        <f>"603688"</f>
        <v>603688</v>
      </c>
      <c r="C1440" t="s">
        <v>3182</v>
      </c>
      <c r="D1440" t="s">
        <v>2762</v>
      </c>
      <c r="F1440">
        <v>202021038</v>
      </c>
      <c r="G1440">
        <v>139409025</v>
      </c>
      <c r="H1440">
        <v>162034614</v>
      </c>
      <c r="I1440">
        <v>170233573</v>
      </c>
      <c r="J1440">
        <v>176059033</v>
      </c>
      <c r="K1440">
        <v>136603887</v>
      </c>
      <c r="L1440">
        <v>145882147</v>
      </c>
      <c r="M1440">
        <v>115096624</v>
      </c>
      <c r="N1440">
        <v>89150855</v>
      </c>
      <c r="O1440">
        <v>83958228</v>
      </c>
      <c r="P1440">
        <v>219</v>
      </c>
      <c r="Q1440" t="s">
        <v>3183</v>
      </c>
    </row>
    <row r="1441" spans="1:17" x14ac:dyDescent="0.3">
      <c r="A1441" t="s">
        <v>17</v>
      </c>
      <c r="B1441" t="str">
        <f>"603689"</f>
        <v>603689</v>
      </c>
      <c r="C1441" t="s">
        <v>3184</v>
      </c>
      <c r="D1441" t="s">
        <v>749</v>
      </c>
      <c r="F1441">
        <v>164674929</v>
      </c>
      <c r="G1441">
        <v>125672391</v>
      </c>
      <c r="H1441">
        <v>124583367</v>
      </c>
      <c r="I1441">
        <v>65186857</v>
      </c>
      <c r="J1441">
        <v>74110855</v>
      </c>
      <c r="K1441">
        <v>73871941</v>
      </c>
      <c r="L1441">
        <v>48770712</v>
      </c>
      <c r="M1441">
        <v>49783664</v>
      </c>
      <c r="N1441">
        <v>10854963</v>
      </c>
      <c r="P1441">
        <v>117</v>
      </c>
      <c r="Q1441" t="s">
        <v>3185</v>
      </c>
    </row>
    <row r="1442" spans="1:17" x14ac:dyDescent="0.3">
      <c r="A1442" t="s">
        <v>17</v>
      </c>
      <c r="B1442" t="str">
        <f>"603690"</f>
        <v>603690</v>
      </c>
      <c r="C1442" t="s">
        <v>3186</v>
      </c>
      <c r="D1442" t="s">
        <v>3187</v>
      </c>
      <c r="F1442">
        <v>1206340036</v>
      </c>
      <c r="G1442">
        <v>980236791</v>
      </c>
      <c r="H1442">
        <v>813954415</v>
      </c>
      <c r="I1442">
        <v>464441937</v>
      </c>
      <c r="J1442">
        <v>334176920</v>
      </c>
      <c r="K1442">
        <v>238822763</v>
      </c>
      <c r="L1442">
        <v>185716937</v>
      </c>
      <c r="M1442">
        <v>169107088</v>
      </c>
      <c r="N1442">
        <v>161545031</v>
      </c>
      <c r="P1442">
        <v>450</v>
      </c>
      <c r="Q1442" t="s">
        <v>3188</v>
      </c>
    </row>
    <row r="1443" spans="1:17" x14ac:dyDescent="0.3">
      <c r="A1443" t="s">
        <v>17</v>
      </c>
      <c r="B1443" t="str">
        <f>"603693"</f>
        <v>603693</v>
      </c>
      <c r="C1443" t="s">
        <v>3189</v>
      </c>
      <c r="D1443" t="s">
        <v>383</v>
      </c>
      <c r="F1443">
        <v>1889109590</v>
      </c>
      <c r="G1443">
        <v>1351491713</v>
      </c>
      <c r="H1443">
        <v>1142961873</v>
      </c>
      <c r="I1443">
        <v>781645766</v>
      </c>
      <c r="J1443">
        <v>626877830</v>
      </c>
      <c r="K1443">
        <v>403116304</v>
      </c>
      <c r="L1443">
        <v>192950231</v>
      </c>
      <c r="P1443">
        <v>160</v>
      </c>
      <c r="Q1443" t="s">
        <v>3190</v>
      </c>
    </row>
    <row r="1444" spans="1:17" x14ac:dyDescent="0.3">
      <c r="A1444" t="s">
        <v>17</v>
      </c>
      <c r="B1444" t="str">
        <f>"603696"</f>
        <v>603696</v>
      </c>
      <c r="C1444" t="s">
        <v>3191</v>
      </c>
      <c r="D1444" t="s">
        <v>433</v>
      </c>
      <c r="F1444">
        <v>12118409</v>
      </c>
      <c r="G1444">
        <v>15409266</v>
      </c>
      <c r="H1444">
        <v>12727982</v>
      </c>
      <c r="I1444">
        <v>10904862</v>
      </c>
      <c r="J1444">
        <v>9514222</v>
      </c>
      <c r="K1444">
        <v>5038734</v>
      </c>
      <c r="L1444">
        <v>6540373</v>
      </c>
      <c r="M1444">
        <v>6264878</v>
      </c>
      <c r="N1444">
        <v>6467446</v>
      </c>
      <c r="O1444">
        <v>6019747</v>
      </c>
      <c r="P1444">
        <v>195</v>
      </c>
      <c r="Q1444" t="s">
        <v>3192</v>
      </c>
    </row>
    <row r="1445" spans="1:17" x14ac:dyDescent="0.3">
      <c r="A1445" t="s">
        <v>17</v>
      </c>
      <c r="B1445" t="str">
        <f>"603697"</f>
        <v>603697</v>
      </c>
      <c r="C1445" t="s">
        <v>3193</v>
      </c>
      <c r="D1445" t="s">
        <v>3194</v>
      </c>
      <c r="F1445">
        <v>461550</v>
      </c>
      <c r="G1445">
        <v>1916870</v>
      </c>
      <c r="H1445">
        <v>1876490</v>
      </c>
      <c r="I1445">
        <v>0</v>
      </c>
      <c r="J1445">
        <v>0</v>
      </c>
      <c r="K1445">
        <v>0</v>
      </c>
      <c r="P1445">
        <v>394</v>
      </c>
      <c r="Q1445" t="s">
        <v>3195</v>
      </c>
    </row>
    <row r="1446" spans="1:17" x14ac:dyDescent="0.3">
      <c r="A1446" t="s">
        <v>17</v>
      </c>
      <c r="B1446" t="str">
        <f>"603698"</f>
        <v>603698</v>
      </c>
      <c r="C1446" t="s">
        <v>3196</v>
      </c>
      <c r="D1446" t="s">
        <v>395</v>
      </c>
      <c r="F1446">
        <v>630550768</v>
      </c>
      <c r="G1446">
        <v>616590429</v>
      </c>
      <c r="H1446">
        <v>882806873</v>
      </c>
      <c r="I1446">
        <v>550287812</v>
      </c>
      <c r="J1446">
        <v>670442933</v>
      </c>
      <c r="K1446">
        <v>721831272</v>
      </c>
      <c r="L1446">
        <v>762966211</v>
      </c>
      <c r="M1446">
        <v>523464569</v>
      </c>
      <c r="N1446">
        <v>263782327</v>
      </c>
      <c r="O1446">
        <v>157456642</v>
      </c>
      <c r="P1446">
        <v>108</v>
      </c>
      <c r="Q1446" t="s">
        <v>3197</v>
      </c>
    </row>
    <row r="1447" spans="1:17" x14ac:dyDescent="0.3">
      <c r="A1447" t="s">
        <v>17</v>
      </c>
      <c r="B1447" t="str">
        <f>"603699"</f>
        <v>603699</v>
      </c>
      <c r="C1447" t="s">
        <v>3198</v>
      </c>
      <c r="D1447" t="s">
        <v>274</v>
      </c>
      <c r="F1447">
        <v>1614037548</v>
      </c>
      <c r="G1447">
        <v>1418478699</v>
      </c>
      <c r="H1447">
        <v>1507166210</v>
      </c>
      <c r="I1447">
        <v>1260758584</v>
      </c>
      <c r="J1447">
        <v>1025164432</v>
      </c>
      <c r="K1447">
        <v>952490794</v>
      </c>
      <c r="L1447">
        <v>956131048</v>
      </c>
      <c r="M1447">
        <v>1199061073</v>
      </c>
      <c r="N1447">
        <v>967031586</v>
      </c>
      <c r="O1447">
        <v>802648462</v>
      </c>
      <c r="P1447">
        <v>271</v>
      </c>
      <c r="Q1447" t="s">
        <v>3199</v>
      </c>
    </row>
    <row r="1448" spans="1:17" x14ac:dyDescent="0.3">
      <c r="A1448" t="s">
        <v>17</v>
      </c>
      <c r="B1448" t="str">
        <f>"603700"</f>
        <v>603700</v>
      </c>
      <c r="C1448" t="s">
        <v>3200</v>
      </c>
      <c r="D1448" t="s">
        <v>2566</v>
      </c>
      <c r="F1448">
        <v>663108297</v>
      </c>
      <c r="G1448">
        <v>525073362</v>
      </c>
      <c r="H1448">
        <v>342804203</v>
      </c>
      <c r="I1448">
        <v>204847838</v>
      </c>
      <c r="J1448">
        <v>0</v>
      </c>
      <c r="K1448">
        <v>0</v>
      </c>
      <c r="L1448">
        <v>0</v>
      </c>
      <c r="P1448">
        <v>395</v>
      </c>
      <c r="Q1448" t="s">
        <v>3201</v>
      </c>
    </row>
    <row r="1449" spans="1:17" x14ac:dyDescent="0.3">
      <c r="A1449" t="s">
        <v>17</v>
      </c>
      <c r="B1449" t="str">
        <f>"603701"</f>
        <v>603701</v>
      </c>
      <c r="C1449" t="s">
        <v>3202</v>
      </c>
      <c r="D1449" t="s">
        <v>348</v>
      </c>
      <c r="F1449">
        <v>164691423</v>
      </c>
      <c r="G1449">
        <v>238060904</v>
      </c>
      <c r="H1449">
        <v>178930805</v>
      </c>
      <c r="I1449">
        <v>146984122</v>
      </c>
      <c r="J1449">
        <v>159307140</v>
      </c>
      <c r="K1449">
        <v>121874976</v>
      </c>
      <c r="L1449">
        <v>113776434</v>
      </c>
      <c r="M1449">
        <v>107009787</v>
      </c>
      <c r="N1449">
        <v>105506645</v>
      </c>
      <c r="O1449">
        <v>97198538</v>
      </c>
      <c r="P1449">
        <v>93</v>
      </c>
      <c r="Q1449" t="s">
        <v>3203</v>
      </c>
    </row>
    <row r="1450" spans="1:17" x14ac:dyDescent="0.3">
      <c r="A1450" t="s">
        <v>17</v>
      </c>
      <c r="B1450" t="str">
        <f>"603703"</f>
        <v>603703</v>
      </c>
      <c r="C1450" t="s">
        <v>3204</v>
      </c>
      <c r="D1450" t="s">
        <v>803</v>
      </c>
      <c r="F1450">
        <v>224401373</v>
      </c>
      <c r="G1450">
        <v>245056580</v>
      </c>
      <c r="H1450">
        <v>293260602</v>
      </c>
      <c r="I1450">
        <v>234527030</v>
      </c>
      <c r="J1450">
        <v>295405623</v>
      </c>
      <c r="K1450">
        <v>180702073</v>
      </c>
      <c r="L1450">
        <v>174367056</v>
      </c>
      <c r="M1450">
        <v>141081408</v>
      </c>
      <c r="N1450">
        <v>124739485</v>
      </c>
      <c r="O1450">
        <v>107782062</v>
      </c>
      <c r="P1450">
        <v>78</v>
      </c>
      <c r="Q1450" t="s">
        <v>3205</v>
      </c>
    </row>
    <row r="1451" spans="1:17" x14ac:dyDescent="0.3">
      <c r="A1451" t="s">
        <v>17</v>
      </c>
      <c r="B1451" t="str">
        <f>"603706"</f>
        <v>603706</v>
      </c>
      <c r="C1451" t="s">
        <v>3206</v>
      </c>
      <c r="D1451" t="s">
        <v>749</v>
      </c>
      <c r="F1451">
        <v>131653688</v>
      </c>
      <c r="G1451">
        <v>156043358</v>
      </c>
      <c r="H1451">
        <v>45577108</v>
      </c>
      <c r="I1451">
        <v>43795893</v>
      </c>
      <c r="J1451">
        <v>56955650</v>
      </c>
      <c r="K1451">
        <v>54556572</v>
      </c>
      <c r="L1451">
        <v>46097426</v>
      </c>
      <c r="P1451">
        <v>91</v>
      </c>
      <c r="Q1451" t="s">
        <v>3207</v>
      </c>
    </row>
    <row r="1452" spans="1:17" x14ac:dyDescent="0.3">
      <c r="A1452" t="s">
        <v>17</v>
      </c>
      <c r="B1452" t="str">
        <f>"603707"</f>
        <v>603707</v>
      </c>
      <c r="C1452" t="s">
        <v>3208</v>
      </c>
      <c r="D1452" t="s">
        <v>143</v>
      </c>
      <c r="F1452">
        <v>837304414</v>
      </c>
      <c r="G1452">
        <v>783312186</v>
      </c>
      <c r="H1452">
        <v>388990075</v>
      </c>
      <c r="I1452">
        <v>176045699</v>
      </c>
      <c r="J1452">
        <v>229652439</v>
      </c>
      <c r="K1452">
        <v>76015113</v>
      </c>
      <c r="L1452">
        <v>61399453</v>
      </c>
      <c r="M1452">
        <v>53047704</v>
      </c>
      <c r="P1452">
        <v>771</v>
      </c>
      <c r="Q1452" t="s">
        <v>3209</v>
      </c>
    </row>
    <row r="1453" spans="1:17" x14ac:dyDescent="0.3">
      <c r="A1453" t="s">
        <v>17</v>
      </c>
      <c r="B1453" t="str">
        <f>"603708"</f>
        <v>603708</v>
      </c>
      <c r="C1453" t="s">
        <v>3210</v>
      </c>
      <c r="D1453" t="s">
        <v>798</v>
      </c>
      <c r="F1453">
        <v>122681246</v>
      </c>
      <c r="G1453">
        <v>66958212</v>
      </c>
      <c r="H1453">
        <v>37718776</v>
      </c>
      <c r="I1453">
        <v>38329591</v>
      </c>
      <c r="J1453">
        <v>15776266</v>
      </c>
      <c r="K1453">
        <v>12581406</v>
      </c>
      <c r="L1453">
        <v>12581308</v>
      </c>
      <c r="M1453">
        <v>11624749</v>
      </c>
      <c r="N1453">
        <v>23683357</v>
      </c>
      <c r="P1453">
        <v>702</v>
      </c>
      <c r="Q1453" t="s">
        <v>3211</v>
      </c>
    </row>
    <row r="1454" spans="1:17" x14ac:dyDescent="0.3">
      <c r="A1454" t="s">
        <v>17</v>
      </c>
      <c r="B1454" t="str">
        <f>"603709"</f>
        <v>603709</v>
      </c>
      <c r="C1454" t="s">
        <v>3212</v>
      </c>
      <c r="D1454" t="s">
        <v>757</v>
      </c>
      <c r="F1454">
        <v>115575600</v>
      </c>
      <c r="G1454">
        <v>173389547</v>
      </c>
      <c r="H1454">
        <v>141143718</v>
      </c>
      <c r="I1454">
        <v>80353161</v>
      </c>
      <c r="J1454">
        <v>56612810</v>
      </c>
      <c r="K1454">
        <v>33037551</v>
      </c>
      <c r="L1454">
        <v>23459158</v>
      </c>
      <c r="M1454">
        <v>18958244</v>
      </c>
      <c r="P1454">
        <v>99</v>
      </c>
      <c r="Q1454" t="s">
        <v>3213</v>
      </c>
    </row>
    <row r="1455" spans="1:17" x14ac:dyDescent="0.3">
      <c r="A1455" t="s">
        <v>17</v>
      </c>
      <c r="B1455" t="str">
        <f>"603711"</f>
        <v>603711</v>
      </c>
      <c r="C1455" t="s">
        <v>3214</v>
      </c>
      <c r="D1455" t="s">
        <v>440</v>
      </c>
      <c r="F1455">
        <v>34573772</v>
      </c>
      <c r="G1455">
        <v>26349523</v>
      </c>
      <c r="H1455">
        <v>45089447</v>
      </c>
      <c r="I1455">
        <v>47465393</v>
      </c>
      <c r="J1455">
        <v>77654186</v>
      </c>
      <c r="K1455">
        <v>13263808</v>
      </c>
      <c r="L1455">
        <v>35032353</v>
      </c>
      <c r="M1455">
        <v>5254296</v>
      </c>
      <c r="P1455">
        <v>392</v>
      </c>
      <c r="Q1455" t="s">
        <v>3215</v>
      </c>
    </row>
    <row r="1456" spans="1:17" x14ac:dyDescent="0.3">
      <c r="A1456" t="s">
        <v>17</v>
      </c>
      <c r="B1456" t="str">
        <f>"603712"</f>
        <v>603712</v>
      </c>
      <c r="C1456" t="s">
        <v>3216</v>
      </c>
      <c r="D1456" t="s">
        <v>1136</v>
      </c>
      <c r="F1456">
        <v>1953075421</v>
      </c>
      <c r="G1456">
        <v>1561105332</v>
      </c>
      <c r="H1456">
        <v>1412103737</v>
      </c>
      <c r="I1456">
        <v>1169320685</v>
      </c>
      <c r="J1456">
        <v>1015114308</v>
      </c>
      <c r="K1456">
        <v>792978129</v>
      </c>
      <c r="L1456">
        <v>603557795</v>
      </c>
      <c r="M1456">
        <v>496652778</v>
      </c>
      <c r="P1456">
        <v>325</v>
      </c>
      <c r="Q1456" t="s">
        <v>3217</v>
      </c>
    </row>
    <row r="1457" spans="1:17" x14ac:dyDescent="0.3">
      <c r="A1457" t="s">
        <v>17</v>
      </c>
      <c r="B1457" t="str">
        <f>"603713"</f>
        <v>603713</v>
      </c>
      <c r="C1457" t="s">
        <v>3218</v>
      </c>
      <c r="D1457" t="s">
        <v>1592</v>
      </c>
      <c r="F1457">
        <v>1942793498</v>
      </c>
      <c r="G1457">
        <v>1167016503</v>
      </c>
      <c r="H1457">
        <v>674150249</v>
      </c>
      <c r="I1457">
        <v>500366518</v>
      </c>
      <c r="J1457">
        <v>354754083</v>
      </c>
      <c r="K1457">
        <v>291414708</v>
      </c>
      <c r="L1457">
        <v>211167638</v>
      </c>
      <c r="P1457">
        <v>457</v>
      </c>
      <c r="Q1457" t="s">
        <v>3219</v>
      </c>
    </row>
    <row r="1458" spans="1:17" x14ac:dyDescent="0.3">
      <c r="A1458" t="s">
        <v>17</v>
      </c>
      <c r="B1458" t="str">
        <f>"603716"</f>
        <v>603716</v>
      </c>
      <c r="C1458" t="s">
        <v>3220</v>
      </c>
      <c r="D1458" t="s">
        <v>125</v>
      </c>
      <c r="F1458">
        <v>1751902182</v>
      </c>
      <c r="G1458">
        <v>1514619042</v>
      </c>
      <c r="H1458">
        <v>1142592106</v>
      </c>
      <c r="I1458">
        <v>851701067</v>
      </c>
      <c r="J1458">
        <v>576842263</v>
      </c>
      <c r="K1458">
        <v>359765317</v>
      </c>
      <c r="L1458">
        <v>272930259</v>
      </c>
      <c r="M1458">
        <v>241121305</v>
      </c>
      <c r="N1458">
        <v>183704088</v>
      </c>
      <c r="P1458">
        <v>137</v>
      </c>
      <c r="Q1458" t="s">
        <v>3221</v>
      </c>
    </row>
    <row r="1459" spans="1:17" x14ac:dyDescent="0.3">
      <c r="A1459" t="s">
        <v>17</v>
      </c>
      <c r="B1459" t="str">
        <f>"603717"</f>
        <v>603717</v>
      </c>
      <c r="C1459" t="s">
        <v>3222</v>
      </c>
      <c r="D1459" t="s">
        <v>2417</v>
      </c>
      <c r="F1459">
        <v>568754873</v>
      </c>
      <c r="G1459">
        <v>753016441</v>
      </c>
      <c r="H1459">
        <v>747402652</v>
      </c>
      <c r="I1459">
        <v>649440723</v>
      </c>
      <c r="J1459">
        <v>445495206</v>
      </c>
      <c r="K1459">
        <v>309388275</v>
      </c>
      <c r="L1459">
        <v>284584268</v>
      </c>
      <c r="M1459">
        <v>201724798</v>
      </c>
      <c r="P1459">
        <v>55</v>
      </c>
      <c r="Q1459" t="s">
        <v>3223</v>
      </c>
    </row>
    <row r="1460" spans="1:17" x14ac:dyDescent="0.3">
      <c r="A1460" t="s">
        <v>17</v>
      </c>
      <c r="B1460" t="str">
        <f>"603718"</f>
        <v>603718</v>
      </c>
      <c r="C1460" t="s">
        <v>3224</v>
      </c>
      <c r="D1460" t="s">
        <v>453</v>
      </c>
      <c r="F1460">
        <v>89896505</v>
      </c>
      <c r="G1460">
        <v>59916497</v>
      </c>
      <c r="H1460">
        <v>81052868</v>
      </c>
      <c r="I1460">
        <v>59714938</v>
      </c>
      <c r="J1460">
        <v>17876042</v>
      </c>
      <c r="K1460">
        <v>10754389</v>
      </c>
      <c r="L1460">
        <v>11931745</v>
      </c>
      <c r="M1460">
        <v>17547776</v>
      </c>
      <c r="N1460">
        <v>31144635</v>
      </c>
      <c r="O1460">
        <v>8318893</v>
      </c>
      <c r="P1460">
        <v>166</v>
      </c>
      <c r="Q1460" t="s">
        <v>3225</v>
      </c>
    </row>
    <row r="1461" spans="1:17" x14ac:dyDescent="0.3">
      <c r="A1461" t="s">
        <v>17</v>
      </c>
      <c r="B1461" t="str">
        <f>"603719"</f>
        <v>603719</v>
      </c>
      <c r="C1461" t="s">
        <v>3226</v>
      </c>
      <c r="D1461" t="s">
        <v>3194</v>
      </c>
      <c r="F1461">
        <v>659871897</v>
      </c>
      <c r="G1461">
        <v>360243302</v>
      </c>
      <c r="H1461">
        <v>258523157</v>
      </c>
      <c r="I1461">
        <v>86371941</v>
      </c>
      <c r="J1461">
        <v>100549234</v>
      </c>
      <c r="K1461">
        <v>73837034</v>
      </c>
      <c r="P1461">
        <v>715</v>
      </c>
      <c r="Q1461" t="s">
        <v>3227</v>
      </c>
    </row>
    <row r="1462" spans="1:17" x14ac:dyDescent="0.3">
      <c r="A1462" t="s">
        <v>17</v>
      </c>
      <c r="B1462" t="str">
        <f>"603721"</f>
        <v>603721</v>
      </c>
      <c r="C1462" t="s">
        <v>3228</v>
      </c>
      <c r="D1462" t="s">
        <v>113</v>
      </c>
      <c r="F1462">
        <v>78730951</v>
      </c>
      <c r="G1462">
        <v>118342188</v>
      </c>
      <c r="H1462">
        <v>150397026</v>
      </c>
      <c r="I1462">
        <v>153149933</v>
      </c>
      <c r="J1462">
        <v>135037468</v>
      </c>
      <c r="K1462">
        <v>107275466</v>
      </c>
      <c r="L1462">
        <v>50041626</v>
      </c>
      <c r="M1462">
        <v>34041800</v>
      </c>
      <c r="P1462">
        <v>89</v>
      </c>
      <c r="Q1462" t="s">
        <v>3229</v>
      </c>
    </row>
    <row r="1463" spans="1:17" x14ac:dyDescent="0.3">
      <c r="A1463" t="s">
        <v>17</v>
      </c>
      <c r="B1463" t="str">
        <f>"603722"</f>
        <v>603722</v>
      </c>
      <c r="C1463" t="s">
        <v>3230</v>
      </c>
      <c r="D1463" t="s">
        <v>1192</v>
      </c>
      <c r="F1463">
        <v>96256605</v>
      </c>
      <c r="G1463">
        <v>58028477</v>
      </c>
      <c r="H1463">
        <v>45762310</v>
      </c>
      <c r="I1463">
        <v>48695157</v>
      </c>
      <c r="J1463">
        <v>24978370</v>
      </c>
      <c r="K1463">
        <v>13427416</v>
      </c>
      <c r="L1463">
        <v>17529821</v>
      </c>
      <c r="M1463">
        <v>11334618</v>
      </c>
      <c r="P1463">
        <v>83</v>
      </c>
      <c r="Q1463" t="s">
        <v>3231</v>
      </c>
    </row>
    <row r="1464" spans="1:17" x14ac:dyDescent="0.3">
      <c r="A1464" t="s">
        <v>17</v>
      </c>
      <c r="B1464" t="str">
        <f>"603725"</f>
        <v>603725</v>
      </c>
      <c r="C1464" t="s">
        <v>3232</v>
      </c>
      <c r="D1464" t="s">
        <v>386</v>
      </c>
      <c r="F1464">
        <v>601754755</v>
      </c>
      <c r="G1464">
        <v>261922951</v>
      </c>
      <c r="H1464">
        <v>226899250</v>
      </c>
      <c r="I1464">
        <v>210982331</v>
      </c>
      <c r="J1464">
        <v>256009219</v>
      </c>
      <c r="K1464">
        <v>215424461</v>
      </c>
      <c r="L1464">
        <v>138990711</v>
      </c>
      <c r="M1464">
        <v>98327927</v>
      </c>
      <c r="P1464">
        <v>74</v>
      </c>
      <c r="Q1464" t="s">
        <v>3233</v>
      </c>
    </row>
    <row r="1465" spans="1:17" x14ac:dyDescent="0.3">
      <c r="A1465" t="s">
        <v>17</v>
      </c>
      <c r="B1465" t="str">
        <f>"603726"</f>
        <v>603726</v>
      </c>
      <c r="C1465" t="s">
        <v>3234</v>
      </c>
      <c r="D1465" t="s">
        <v>1253</v>
      </c>
      <c r="F1465">
        <v>398204342</v>
      </c>
      <c r="G1465">
        <v>294101434</v>
      </c>
      <c r="H1465">
        <v>316357432</v>
      </c>
      <c r="I1465">
        <v>308128986</v>
      </c>
      <c r="J1465">
        <v>270985987</v>
      </c>
      <c r="K1465">
        <v>177513214</v>
      </c>
      <c r="L1465">
        <v>101092984</v>
      </c>
      <c r="M1465">
        <v>143666159</v>
      </c>
      <c r="N1465">
        <v>140727868</v>
      </c>
      <c r="P1465">
        <v>123</v>
      </c>
      <c r="Q1465" t="s">
        <v>3235</v>
      </c>
    </row>
    <row r="1466" spans="1:17" x14ac:dyDescent="0.3">
      <c r="A1466" t="s">
        <v>17</v>
      </c>
      <c r="B1466" t="str">
        <f>"603727"</f>
        <v>603727</v>
      </c>
      <c r="C1466" t="s">
        <v>3236</v>
      </c>
      <c r="D1466" t="s">
        <v>762</v>
      </c>
      <c r="F1466">
        <v>447004261</v>
      </c>
      <c r="G1466">
        <v>343125665</v>
      </c>
      <c r="H1466">
        <v>203635317</v>
      </c>
      <c r="I1466">
        <v>278821392</v>
      </c>
      <c r="J1466">
        <v>121920685</v>
      </c>
      <c r="K1466">
        <v>244005260</v>
      </c>
      <c r="L1466">
        <v>332023391</v>
      </c>
      <c r="M1466">
        <v>138739980</v>
      </c>
      <c r="N1466">
        <v>112600880</v>
      </c>
      <c r="O1466">
        <v>58727683</v>
      </c>
      <c r="P1466">
        <v>123</v>
      </c>
      <c r="Q1466" t="s">
        <v>3237</v>
      </c>
    </row>
    <row r="1467" spans="1:17" x14ac:dyDescent="0.3">
      <c r="A1467" t="s">
        <v>17</v>
      </c>
      <c r="B1467" t="str">
        <f>"603728"</f>
        <v>603728</v>
      </c>
      <c r="C1467" t="s">
        <v>3238</v>
      </c>
      <c r="D1467" t="s">
        <v>1171</v>
      </c>
      <c r="F1467">
        <v>560895111</v>
      </c>
      <c r="G1467">
        <v>476626353</v>
      </c>
      <c r="H1467">
        <v>439411578</v>
      </c>
      <c r="I1467">
        <v>427651685</v>
      </c>
      <c r="J1467">
        <v>399994040</v>
      </c>
      <c r="K1467">
        <v>370680178</v>
      </c>
      <c r="L1467">
        <v>283117011</v>
      </c>
      <c r="M1467">
        <v>255836260</v>
      </c>
      <c r="P1467">
        <v>310</v>
      </c>
      <c r="Q1467" t="s">
        <v>3239</v>
      </c>
    </row>
    <row r="1468" spans="1:17" x14ac:dyDescent="0.3">
      <c r="A1468" t="s">
        <v>17</v>
      </c>
      <c r="B1468" t="str">
        <f>"603729"</f>
        <v>603729</v>
      </c>
      <c r="C1468" t="s">
        <v>3240</v>
      </c>
      <c r="D1468" t="s">
        <v>207</v>
      </c>
      <c r="F1468">
        <v>273020685</v>
      </c>
      <c r="G1468">
        <v>264790534</v>
      </c>
      <c r="H1468">
        <v>266394434</v>
      </c>
      <c r="I1468">
        <v>371661160</v>
      </c>
      <c r="J1468">
        <v>469361898</v>
      </c>
      <c r="K1468">
        <v>300878265</v>
      </c>
      <c r="L1468">
        <v>396503521</v>
      </c>
      <c r="M1468">
        <v>367411176</v>
      </c>
      <c r="N1468">
        <v>219386805</v>
      </c>
      <c r="O1468">
        <v>104253086</v>
      </c>
      <c r="P1468">
        <v>51</v>
      </c>
      <c r="Q1468" t="s">
        <v>3241</v>
      </c>
    </row>
    <row r="1469" spans="1:17" x14ac:dyDescent="0.3">
      <c r="A1469" t="s">
        <v>17</v>
      </c>
      <c r="B1469" t="str">
        <f>"603730"</f>
        <v>603730</v>
      </c>
      <c r="C1469" t="s">
        <v>3242</v>
      </c>
      <c r="D1469" t="s">
        <v>191</v>
      </c>
      <c r="F1469">
        <v>758865324</v>
      </c>
      <c r="G1469">
        <v>903161096</v>
      </c>
      <c r="H1469">
        <v>833553182</v>
      </c>
      <c r="I1469">
        <v>845352632</v>
      </c>
      <c r="J1469">
        <v>730012202</v>
      </c>
      <c r="K1469">
        <v>659747978</v>
      </c>
      <c r="L1469">
        <v>469221129</v>
      </c>
      <c r="M1469">
        <v>396190801</v>
      </c>
      <c r="P1469">
        <v>522</v>
      </c>
      <c r="Q1469" t="s">
        <v>3243</v>
      </c>
    </row>
    <row r="1470" spans="1:17" x14ac:dyDescent="0.3">
      <c r="A1470" t="s">
        <v>17</v>
      </c>
      <c r="B1470" t="str">
        <f>"603733"</f>
        <v>603733</v>
      </c>
      <c r="C1470" t="s">
        <v>3244</v>
      </c>
      <c r="D1470" t="s">
        <v>244</v>
      </c>
      <c r="F1470">
        <v>1216533404</v>
      </c>
      <c r="G1470">
        <v>994808450</v>
      </c>
      <c r="H1470">
        <v>842735292</v>
      </c>
      <c r="I1470">
        <v>770248014</v>
      </c>
      <c r="J1470">
        <v>532007561</v>
      </c>
      <c r="K1470">
        <v>455286969</v>
      </c>
      <c r="L1470">
        <v>449070637</v>
      </c>
      <c r="P1470">
        <v>233</v>
      </c>
      <c r="Q1470" t="s">
        <v>3245</v>
      </c>
    </row>
    <row r="1471" spans="1:17" x14ac:dyDescent="0.3">
      <c r="A1471" t="s">
        <v>17</v>
      </c>
      <c r="B1471" t="str">
        <f>"603737"</f>
        <v>603737</v>
      </c>
      <c r="C1471" t="s">
        <v>3246</v>
      </c>
      <c r="D1471" t="s">
        <v>2903</v>
      </c>
      <c r="F1471">
        <v>3888214069</v>
      </c>
      <c r="G1471">
        <v>2774247470</v>
      </c>
      <c r="H1471">
        <v>1508941759</v>
      </c>
      <c r="I1471">
        <v>772133458</v>
      </c>
      <c r="J1471">
        <v>486459799</v>
      </c>
      <c r="K1471">
        <v>271255914</v>
      </c>
      <c r="L1471">
        <v>165201209</v>
      </c>
      <c r="M1471">
        <v>110836473</v>
      </c>
      <c r="N1471">
        <v>68991568</v>
      </c>
      <c r="P1471">
        <v>1048</v>
      </c>
      <c r="Q1471" t="s">
        <v>3247</v>
      </c>
    </row>
    <row r="1472" spans="1:17" x14ac:dyDescent="0.3">
      <c r="A1472" t="s">
        <v>17</v>
      </c>
      <c r="B1472" t="str">
        <f>"603738"</f>
        <v>603738</v>
      </c>
      <c r="C1472" t="s">
        <v>3248</v>
      </c>
      <c r="D1472" t="s">
        <v>546</v>
      </c>
      <c r="F1472">
        <v>269206593</v>
      </c>
      <c r="G1472">
        <v>213450581</v>
      </c>
      <c r="H1472">
        <v>230615710</v>
      </c>
      <c r="I1472">
        <v>248922905</v>
      </c>
      <c r="J1472">
        <v>192007326</v>
      </c>
      <c r="K1472">
        <v>180446332</v>
      </c>
      <c r="L1472">
        <v>161074127</v>
      </c>
      <c r="M1472">
        <v>126670585</v>
      </c>
      <c r="N1472">
        <v>99745520</v>
      </c>
      <c r="P1472">
        <v>246</v>
      </c>
      <c r="Q1472" t="s">
        <v>3249</v>
      </c>
    </row>
    <row r="1473" spans="1:17" x14ac:dyDescent="0.3">
      <c r="A1473" t="s">
        <v>17</v>
      </c>
      <c r="B1473" t="str">
        <f>"603739"</f>
        <v>603739</v>
      </c>
      <c r="C1473" t="s">
        <v>3250</v>
      </c>
      <c r="D1473" t="s">
        <v>453</v>
      </c>
      <c r="F1473">
        <v>248146224</v>
      </c>
      <c r="G1473">
        <v>188074828</v>
      </c>
      <c r="H1473">
        <v>166715585</v>
      </c>
      <c r="I1473">
        <v>146652551</v>
      </c>
      <c r="J1473">
        <v>0</v>
      </c>
      <c r="K1473">
        <v>0</v>
      </c>
      <c r="L1473">
        <v>0</v>
      </c>
      <c r="P1473">
        <v>123</v>
      </c>
      <c r="Q1473" t="s">
        <v>3251</v>
      </c>
    </row>
    <row r="1474" spans="1:17" x14ac:dyDescent="0.3">
      <c r="A1474" t="s">
        <v>17</v>
      </c>
      <c r="B1474" t="str">
        <f>"603755"</f>
        <v>603755</v>
      </c>
      <c r="C1474" t="s">
        <v>3252</v>
      </c>
      <c r="D1474" t="s">
        <v>433</v>
      </c>
      <c r="F1474">
        <v>65374480</v>
      </c>
      <c r="G1474">
        <v>50321662</v>
      </c>
      <c r="H1474">
        <v>46121801</v>
      </c>
      <c r="I1474">
        <v>40293818</v>
      </c>
      <c r="J1474">
        <v>32301425</v>
      </c>
      <c r="K1474">
        <v>31552828</v>
      </c>
      <c r="P1474">
        <v>370</v>
      </c>
      <c r="Q1474" t="s">
        <v>3253</v>
      </c>
    </row>
    <row r="1475" spans="1:17" x14ac:dyDescent="0.3">
      <c r="A1475" t="s">
        <v>17</v>
      </c>
      <c r="B1475" t="str">
        <f>"603757"</f>
        <v>603757</v>
      </c>
      <c r="C1475" t="s">
        <v>3254</v>
      </c>
      <c r="D1475" t="s">
        <v>560</v>
      </c>
      <c r="F1475">
        <v>265783938</v>
      </c>
      <c r="G1475">
        <v>224750582</v>
      </c>
      <c r="H1475">
        <v>170809458</v>
      </c>
      <c r="I1475">
        <v>179357475</v>
      </c>
      <c r="J1475">
        <v>141875343</v>
      </c>
      <c r="K1475">
        <v>94864666</v>
      </c>
      <c r="L1475">
        <v>69221632</v>
      </c>
      <c r="M1475">
        <v>44844327</v>
      </c>
      <c r="P1475">
        <v>523</v>
      </c>
      <c r="Q1475" t="s">
        <v>3255</v>
      </c>
    </row>
    <row r="1476" spans="1:17" x14ac:dyDescent="0.3">
      <c r="A1476" t="s">
        <v>17</v>
      </c>
      <c r="B1476" t="str">
        <f>"603758"</f>
        <v>603758</v>
      </c>
      <c r="C1476" t="s">
        <v>3256</v>
      </c>
      <c r="D1476" t="s">
        <v>348</v>
      </c>
      <c r="F1476">
        <v>329974733</v>
      </c>
      <c r="G1476">
        <v>246086205</v>
      </c>
      <c r="H1476">
        <v>139949702</v>
      </c>
      <c r="I1476">
        <v>94032827</v>
      </c>
      <c r="J1476">
        <v>140489978</v>
      </c>
      <c r="K1476">
        <v>214734685</v>
      </c>
      <c r="L1476">
        <v>255340788</v>
      </c>
      <c r="M1476">
        <v>141410004</v>
      </c>
      <c r="P1476">
        <v>133</v>
      </c>
      <c r="Q1476" t="s">
        <v>3257</v>
      </c>
    </row>
    <row r="1477" spans="1:17" x14ac:dyDescent="0.3">
      <c r="A1477" t="s">
        <v>17</v>
      </c>
      <c r="B1477" t="str">
        <f>"603759"</f>
        <v>603759</v>
      </c>
      <c r="C1477" t="s">
        <v>3258</v>
      </c>
      <c r="D1477" t="s">
        <v>33</v>
      </c>
      <c r="F1477">
        <v>383809384</v>
      </c>
      <c r="G1477">
        <v>235447899</v>
      </c>
      <c r="H1477">
        <v>164967238</v>
      </c>
      <c r="I1477">
        <v>183553292</v>
      </c>
      <c r="J1477">
        <v>135417440</v>
      </c>
      <c r="P1477">
        <v>48</v>
      </c>
      <c r="Q1477" t="s">
        <v>3259</v>
      </c>
    </row>
    <row r="1478" spans="1:17" x14ac:dyDescent="0.3">
      <c r="A1478" t="s">
        <v>17</v>
      </c>
      <c r="B1478" t="str">
        <f>"603766"</f>
        <v>603766</v>
      </c>
      <c r="C1478" t="s">
        <v>3260</v>
      </c>
      <c r="D1478" t="s">
        <v>1656</v>
      </c>
      <c r="F1478">
        <v>1749974615</v>
      </c>
      <c r="G1478">
        <v>2176506074</v>
      </c>
      <c r="H1478">
        <v>2108752959</v>
      </c>
      <c r="I1478">
        <v>1983247558</v>
      </c>
      <c r="J1478">
        <v>1733559821</v>
      </c>
      <c r="K1478">
        <v>1130601671</v>
      </c>
      <c r="L1478">
        <v>933086548</v>
      </c>
      <c r="M1478">
        <v>717266673</v>
      </c>
      <c r="N1478">
        <v>563333072</v>
      </c>
      <c r="O1478">
        <v>688267419</v>
      </c>
      <c r="P1478">
        <v>460</v>
      </c>
      <c r="Q1478" t="s">
        <v>3261</v>
      </c>
    </row>
    <row r="1479" spans="1:17" x14ac:dyDescent="0.3">
      <c r="A1479" t="s">
        <v>17</v>
      </c>
      <c r="B1479" t="str">
        <f>"603767"</f>
        <v>603767</v>
      </c>
      <c r="C1479" t="s">
        <v>3262</v>
      </c>
      <c r="D1479" t="s">
        <v>348</v>
      </c>
      <c r="F1479">
        <v>320284359</v>
      </c>
      <c r="G1479">
        <v>279502606</v>
      </c>
      <c r="H1479">
        <v>298300401</v>
      </c>
      <c r="I1479">
        <v>239228605</v>
      </c>
      <c r="J1479">
        <v>233988181</v>
      </c>
      <c r="K1479">
        <v>216428495</v>
      </c>
      <c r="L1479">
        <v>214840436</v>
      </c>
      <c r="M1479">
        <v>238852454</v>
      </c>
      <c r="P1479">
        <v>80</v>
      </c>
      <c r="Q1479" t="s">
        <v>3263</v>
      </c>
    </row>
    <row r="1480" spans="1:17" x14ac:dyDescent="0.3">
      <c r="A1480" t="s">
        <v>17</v>
      </c>
      <c r="B1480" t="str">
        <f>"603768"</f>
        <v>603768</v>
      </c>
      <c r="C1480" t="s">
        <v>3264</v>
      </c>
      <c r="D1480" t="s">
        <v>985</v>
      </c>
      <c r="F1480">
        <v>571392582</v>
      </c>
      <c r="G1480">
        <v>348481346</v>
      </c>
      <c r="H1480">
        <v>228021463</v>
      </c>
      <c r="I1480">
        <v>228462250</v>
      </c>
      <c r="J1480">
        <v>218708170</v>
      </c>
      <c r="K1480">
        <v>128152955</v>
      </c>
      <c r="L1480">
        <v>113275395</v>
      </c>
      <c r="M1480">
        <v>149789996</v>
      </c>
      <c r="P1480">
        <v>58</v>
      </c>
      <c r="Q1480" t="s">
        <v>3265</v>
      </c>
    </row>
    <row r="1481" spans="1:17" x14ac:dyDescent="0.3">
      <c r="A1481" t="s">
        <v>17</v>
      </c>
      <c r="B1481" t="str">
        <f>"603773"</f>
        <v>603773</v>
      </c>
      <c r="C1481" t="s">
        <v>3266</v>
      </c>
      <c r="D1481" t="s">
        <v>1117</v>
      </c>
      <c r="F1481">
        <v>539382201</v>
      </c>
      <c r="G1481">
        <v>248723090</v>
      </c>
      <c r="H1481">
        <v>203533695</v>
      </c>
      <c r="I1481">
        <v>214956182</v>
      </c>
      <c r="J1481">
        <v>278706776</v>
      </c>
      <c r="K1481">
        <v>175540336</v>
      </c>
      <c r="L1481">
        <v>101100100</v>
      </c>
      <c r="P1481">
        <v>141</v>
      </c>
      <c r="Q1481" t="s">
        <v>3267</v>
      </c>
    </row>
    <row r="1482" spans="1:17" x14ac:dyDescent="0.3">
      <c r="A1482" t="s">
        <v>17</v>
      </c>
      <c r="B1482" t="str">
        <f>"603776"</f>
        <v>603776</v>
      </c>
      <c r="C1482" t="s">
        <v>3268</v>
      </c>
      <c r="D1482" t="s">
        <v>1656</v>
      </c>
      <c r="F1482">
        <v>737584446</v>
      </c>
      <c r="G1482">
        <v>679803815</v>
      </c>
      <c r="H1482">
        <v>652559377</v>
      </c>
      <c r="I1482">
        <v>586954205</v>
      </c>
      <c r="J1482">
        <v>531279041</v>
      </c>
      <c r="K1482">
        <v>317616903</v>
      </c>
      <c r="L1482">
        <v>208324885</v>
      </c>
      <c r="M1482">
        <v>118863064</v>
      </c>
      <c r="P1482">
        <v>189</v>
      </c>
      <c r="Q1482" t="s">
        <v>3269</v>
      </c>
    </row>
    <row r="1483" spans="1:17" x14ac:dyDescent="0.3">
      <c r="A1483" t="s">
        <v>17</v>
      </c>
      <c r="B1483" t="str">
        <f>"603777"</f>
        <v>603777</v>
      </c>
      <c r="C1483" t="s">
        <v>3270</v>
      </c>
      <c r="D1483" t="s">
        <v>3194</v>
      </c>
      <c r="F1483">
        <v>44798001</v>
      </c>
      <c r="G1483">
        <v>31643941</v>
      </c>
      <c r="H1483">
        <v>32605522</v>
      </c>
      <c r="I1483">
        <v>41829258</v>
      </c>
      <c r="J1483">
        <v>25646429</v>
      </c>
      <c r="K1483">
        <v>21575841</v>
      </c>
      <c r="L1483">
        <v>28435925</v>
      </c>
      <c r="M1483">
        <v>21130696</v>
      </c>
      <c r="N1483">
        <v>21250280</v>
      </c>
      <c r="P1483">
        <v>259</v>
      </c>
      <c r="Q1483" t="s">
        <v>3271</v>
      </c>
    </row>
    <row r="1484" spans="1:17" x14ac:dyDescent="0.3">
      <c r="A1484" t="s">
        <v>17</v>
      </c>
      <c r="B1484" t="str">
        <f>"603778"</f>
        <v>603778</v>
      </c>
      <c r="C1484" t="s">
        <v>3272</v>
      </c>
      <c r="D1484" t="s">
        <v>2417</v>
      </c>
      <c r="F1484">
        <v>394663578</v>
      </c>
      <c r="G1484">
        <v>299508231</v>
      </c>
      <c r="H1484">
        <v>363558246</v>
      </c>
      <c r="I1484">
        <v>341379713</v>
      </c>
      <c r="J1484">
        <v>429493698</v>
      </c>
      <c r="K1484">
        <v>282067740</v>
      </c>
      <c r="L1484">
        <v>384679304</v>
      </c>
      <c r="M1484">
        <v>348642438</v>
      </c>
      <c r="N1484">
        <v>224303711</v>
      </c>
      <c r="O1484">
        <v>144203859</v>
      </c>
      <c r="P1484">
        <v>72</v>
      </c>
      <c r="Q1484" t="s">
        <v>3273</v>
      </c>
    </row>
    <row r="1485" spans="1:17" x14ac:dyDescent="0.3">
      <c r="A1485" t="s">
        <v>17</v>
      </c>
      <c r="B1485" t="str">
        <f>"603779"</f>
        <v>603779</v>
      </c>
      <c r="C1485" t="s">
        <v>3274</v>
      </c>
      <c r="D1485" t="s">
        <v>134</v>
      </c>
      <c r="F1485">
        <v>44611281</v>
      </c>
      <c r="G1485">
        <v>36409572</v>
      </c>
      <c r="H1485">
        <v>96566464</v>
      </c>
      <c r="I1485">
        <v>89084511</v>
      </c>
      <c r="J1485">
        <v>61370266</v>
      </c>
      <c r="K1485">
        <v>69575057</v>
      </c>
      <c r="L1485">
        <v>74295026</v>
      </c>
      <c r="M1485">
        <v>89305532</v>
      </c>
      <c r="N1485">
        <v>134509432</v>
      </c>
      <c r="P1485">
        <v>101</v>
      </c>
      <c r="Q1485" t="s">
        <v>3275</v>
      </c>
    </row>
    <row r="1486" spans="1:17" x14ac:dyDescent="0.3">
      <c r="A1486" t="s">
        <v>17</v>
      </c>
      <c r="B1486" t="str">
        <f>"603786"</f>
        <v>603786</v>
      </c>
      <c r="C1486" t="s">
        <v>3276</v>
      </c>
      <c r="D1486" t="s">
        <v>1415</v>
      </c>
      <c r="F1486">
        <v>705221144</v>
      </c>
      <c r="G1486">
        <v>795595019</v>
      </c>
      <c r="H1486">
        <v>785741439</v>
      </c>
      <c r="I1486">
        <v>598027473</v>
      </c>
      <c r="J1486">
        <v>585148368</v>
      </c>
      <c r="K1486">
        <v>439403511</v>
      </c>
      <c r="P1486">
        <v>345</v>
      </c>
      <c r="Q1486" t="s">
        <v>3277</v>
      </c>
    </row>
    <row r="1487" spans="1:17" x14ac:dyDescent="0.3">
      <c r="A1487" t="s">
        <v>17</v>
      </c>
      <c r="B1487" t="str">
        <f>"603787"</f>
        <v>603787</v>
      </c>
      <c r="C1487" t="s">
        <v>3278</v>
      </c>
      <c r="D1487" t="s">
        <v>1656</v>
      </c>
      <c r="F1487">
        <v>311990440</v>
      </c>
      <c r="G1487">
        <v>178752364</v>
      </c>
      <c r="H1487">
        <v>155145569</v>
      </c>
      <c r="I1487">
        <v>59687542</v>
      </c>
      <c r="J1487">
        <v>76966177</v>
      </c>
      <c r="K1487">
        <v>54055317</v>
      </c>
      <c r="L1487">
        <v>55834034</v>
      </c>
      <c r="M1487">
        <v>68262186</v>
      </c>
      <c r="P1487">
        <v>103</v>
      </c>
      <c r="Q1487" t="s">
        <v>3279</v>
      </c>
    </row>
    <row r="1488" spans="1:17" x14ac:dyDescent="0.3">
      <c r="A1488" t="s">
        <v>17</v>
      </c>
      <c r="B1488" t="str">
        <f>"603788"</f>
        <v>603788</v>
      </c>
      <c r="C1488" t="s">
        <v>3280</v>
      </c>
      <c r="D1488" t="s">
        <v>348</v>
      </c>
      <c r="F1488">
        <v>158894648</v>
      </c>
      <c r="G1488">
        <v>168630083</v>
      </c>
      <c r="H1488">
        <v>199201248</v>
      </c>
      <c r="I1488">
        <v>236480152</v>
      </c>
      <c r="J1488">
        <v>269185686</v>
      </c>
      <c r="K1488">
        <v>184406911</v>
      </c>
      <c r="L1488">
        <v>118497346</v>
      </c>
      <c r="M1488">
        <v>108506246</v>
      </c>
      <c r="N1488">
        <v>79728200</v>
      </c>
      <c r="O1488">
        <v>69374949</v>
      </c>
      <c r="P1488">
        <v>330</v>
      </c>
      <c r="Q1488" t="s">
        <v>3281</v>
      </c>
    </row>
    <row r="1489" spans="1:17" x14ac:dyDescent="0.3">
      <c r="A1489" t="s">
        <v>17</v>
      </c>
      <c r="B1489" t="str">
        <f>"603789"</f>
        <v>603789</v>
      </c>
      <c r="C1489" t="s">
        <v>3282</v>
      </c>
      <c r="D1489" t="s">
        <v>1985</v>
      </c>
      <c r="F1489">
        <v>409785976</v>
      </c>
      <c r="G1489">
        <v>499495156</v>
      </c>
      <c r="H1489">
        <v>629438478</v>
      </c>
      <c r="I1489">
        <v>432920578</v>
      </c>
      <c r="J1489">
        <v>230166162</v>
      </c>
      <c r="K1489">
        <v>98743689</v>
      </c>
      <c r="L1489">
        <v>14847096</v>
      </c>
      <c r="M1489">
        <v>5713759</v>
      </c>
      <c r="N1489">
        <v>2659825</v>
      </c>
      <c r="O1489">
        <v>3468860</v>
      </c>
      <c r="P1489">
        <v>64</v>
      </c>
      <c r="Q1489" t="s">
        <v>3283</v>
      </c>
    </row>
    <row r="1490" spans="1:17" x14ac:dyDescent="0.3">
      <c r="A1490" t="s">
        <v>17</v>
      </c>
      <c r="B1490" t="str">
        <f>"603790"</f>
        <v>603790</v>
      </c>
      <c r="C1490" t="s">
        <v>3284</v>
      </c>
      <c r="D1490" t="s">
        <v>779</v>
      </c>
      <c r="F1490">
        <v>248695371</v>
      </c>
      <c r="G1490">
        <v>245543916</v>
      </c>
      <c r="H1490">
        <v>222987363</v>
      </c>
      <c r="I1490">
        <v>184366033</v>
      </c>
      <c r="J1490">
        <v>0</v>
      </c>
      <c r="K1490">
        <v>0</v>
      </c>
      <c r="L1490">
        <v>0</v>
      </c>
      <c r="P1490">
        <v>64</v>
      </c>
      <c r="Q1490" t="s">
        <v>3285</v>
      </c>
    </row>
    <row r="1491" spans="1:17" x14ac:dyDescent="0.3">
      <c r="A1491" t="s">
        <v>17</v>
      </c>
      <c r="B1491" t="str">
        <f>"603797"</f>
        <v>603797</v>
      </c>
      <c r="C1491" t="s">
        <v>3286</v>
      </c>
      <c r="D1491" t="s">
        <v>33</v>
      </c>
      <c r="F1491">
        <v>196359501</v>
      </c>
      <c r="G1491">
        <v>78675391</v>
      </c>
      <c r="H1491">
        <v>56547943</v>
      </c>
      <c r="I1491">
        <v>33232802</v>
      </c>
      <c r="J1491">
        <v>16704835</v>
      </c>
      <c r="K1491">
        <v>17288299</v>
      </c>
      <c r="L1491">
        <v>20115349</v>
      </c>
      <c r="M1491">
        <v>18377298</v>
      </c>
      <c r="P1491">
        <v>243</v>
      </c>
      <c r="Q1491" t="s">
        <v>3287</v>
      </c>
    </row>
    <row r="1492" spans="1:17" x14ac:dyDescent="0.3">
      <c r="A1492" t="s">
        <v>17</v>
      </c>
      <c r="B1492" t="str">
        <f>"603798"</f>
        <v>603798</v>
      </c>
      <c r="C1492" t="s">
        <v>3288</v>
      </c>
      <c r="D1492" t="s">
        <v>1617</v>
      </c>
      <c r="F1492">
        <v>63896413</v>
      </c>
      <c r="G1492">
        <v>43226753</v>
      </c>
      <c r="H1492">
        <v>65569967</v>
      </c>
      <c r="I1492">
        <v>17754284</v>
      </c>
      <c r="J1492">
        <v>17176394</v>
      </c>
      <c r="K1492">
        <v>14258718</v>
      </c>
      <c r="L1492">
        <v>16476561</v>
      </c>
      <c r="M1492">
        <v>17291570</v>
      </c>
      <c r="N1492">
        <v>16308902</v>
      </c>
      <c r="P1492">
        <v>141</v>
      </c>
      <c r="Q1492" t="s">
        <v>3289</v>
      </c>
    </row>
    <row r="1493" spans="1:17" x14ac:dyDescent="0.3">
      <c r="A1493" t="s">
        <v>17</v>
      </c>
      <c r="B1493" t="str">
        <f>"603799"</f>
        <v>603799</v>
      </c>
      <c r="C1493" t="s">
        <v>3290</v>
      </c>
      <c r="D1493" t="s">
        <v>1440</v>
      </c>
      <c r="F1493">
        <v>4383773614</v>
      </c>
      <c r="G1493">
        <v>1140540117</v>
      </c>
      <c r="H1493">
        <v>867924954</v>
      </c>
      <c r="I1493">
        <v>915460792</v>
      </c>
      <c r="J1493">
        <v>1350079225</v>
      </c>
      <c r="K1493">
        <v>435191010</v>
      </c>
      <c r="L1493">
        <v>327877450</v>
      </c>
      <c r="M1493">
        <v>253886693</v>
      </c>
      <c r="N1493">
        <v>166225072</v>
      </c>
      <c r="O1493">
        <v>138890284</v>
      </c>
      <c r="P1493">
        <v>1518</v>
      </c>
      <c r="Q1493" t="s">
        <v>3291</v>
      </c>
    </row>
    <row r="1494" spans="1:17" x14ac:dyDescent="0.3">
      <c r="A1494" t="s">
        <v>17</v>
      </c>
      <c r="B1494" t="str">
        <f>"603800"</f>
        <v>603800</v>
      </c>
      <c r="C1494" t="s">
        <v>3292</v>
      </c>
      <c r="D1494" t="s">
        <v>395</v>
      </c>
      <c r="F1494">
        <v>511188359</v>
      </c>
      <c r="G1494">
        <v>286440543</v>
      </c>
      <c r="H1494">
        <v>286311281</v>
      </c>
      <c r="I1494">
        <v>277305066</v>
      </c>
      <c r="J1494">
        <v>222598445</v>
      </c>
      <c r="K1494">
        <v>108633980</v>
      </c>
      <c r="L1494">
        <v>102327082</v>
      </c>
      <c r="M1494">
        <v>140647087</v>
      </c>
      <c r="N1494">
        <v>127760055</v>
      </c>
      <c r="O1494">
        <v>96424263</v>
      </c>
      <c r="P1494">
        <v>75</v>
      </c>
      <c r="Q1494" t="s">
        <v>3293</v>
      </c>
    </row>
    <row r="1495" spans="1:17" x14ac:dyDescent="0.3">
      <c r="A1495" t="s">
        <v>17</v>
      </c>
      <c r="B1495" t="str">
        <f>"603801"</f>
        <v>603801</v>
      </c>
      <c r="C1495" t="s">
        <v>3294</v>
      </c>
      <c r="D1495" t="s">
        <v>2664</v>
      </c>
      <c r="F1495">
        <v>147132332</v>
      </c>
      <c r="G1495">
        <v>116668782</v>
      </c>
      <c r="H1495">
        <v>338100942</v>
      </c>
      <c r="I1495">
        <v>138934536</v>
      </c>
      <c r="J1495">
        <v>81656960</v>
      </c>
      <c r="K1495">
        <v>141360736</v>
      </c>
      <c r="L1495">
        <v>101226172</v>
      </c>
      <c r="M1495">
        <v>53502910</v>
      </c>
      <c r="P1495">
        <v>768</v>
      </c>
      <c r="Q1495" t="s">
        <v>3295</v>
      </c>
    </row>
    <row r="1496" spans="1:17" x14ac:dyDescent="0.3">
      <c r="A1496" t="s">
        <v>17</v>
      </c>
      <c r="B1496" t="str">
        <f>"603803"</f>
        <v>603803</v>
      </c>
      <c r="C1496" t="s">
        <v>3296</v>
      </c>
      <c r="D1496" t="s">
        <v>786</v>
      </c>
      <c r="F1496">
        <v>732578856</v>
      </c>
      <c r="G1496">
        <v>1128695377</v>
      </c>
      <c r="H1496">
        <v>1168238430</v>
      </c>
      <c r="I1496">
        <v>1254447020</v>
      </c>
      <c r="J1496">
        <v>1215572606</v>
      </c>
      <c r="K1496">
        <v>1069299896</v>
      </c>
      <c r="L1496">
        <v>932907588</v>
      </c>
      <c r="M1496">
        <v>780319461</v>
      </c>
      <c r="P1496">
        <v>153</v>
      </c>
      <c r="Q1496" t="s">
        <v>3297</v>
      </c>
    </row>
    <row r="1497" spans="1:17" x14ac:dyDescent="0.3">
      <c r="A1497" t="s">
        <v>17</v>
      </c>
      <c r="B1497" t="str">
        <f>"603806"</f>
        <v>603806</v>
      </c>
      <c r="C1497" t="s">
        <v>3298</v>
      </c>
      <c r="D1497" t="s">
        <v>478</v>
      </c>
      <c r="F1497">
        <v>3254112052</v>
      </c>
      <c r="G1497">
        <v>2382213573</v>
      </c>
      <c r="H1497">
        <v>1632157488</v>
      </c>
      <c r="I1497">
        <v>1139313793</v>
      </c>
      <c r="J1497">
        <v>952695457</v>
      </c>
      <c r="K1497">
        <v>947406311</v>
      </c>
      <c r="L1497">
        <v>820308395</v>
      </c>
      <c r="M1497">
        <v>633119195</v>
      </c>
      <c r="N1497">
        <v>507749915</v>
      </c>
      <c r="O1497">
        <v>490898401</v>
      </c>
      <c r="P1497">
        <v>1029</v>
      </c>
      <c r="Q1497" t="s">
        <v>3299</v>
      </c>
    </row>
    <row r="1498" spans="1:17" x14ac:dyDescent="0.3">
      <c r="A1498" t="s">
        <v>17</v>
      </c>
      <c r="B1498" t="str">
        <f>"603808"</f>
        <v>603808</v>
      </c>
      <c r="C1498" t="s">
        <v>3300</v>
      </c>
      <c r="D1498" t="s">
        <v>255</v>
      </c>
      <c r="F1498">
        <v>303517614</v>
      </c>
      <c r="G1498">
        <v>297933917</v>
      </c>
      <c r="H1498">
        <v>386164162</v>
      </c>
      <c r="I1498">
        <v>370637814</v>
      </c>
      <c r="J1498">
        <v>337723407</v>
      </c>
      <c r="K1498">
        <v>213553926</v>
      </c>
      <c r="L1498">
        <v>113393974</v>
      </c>
      <c r="M1498">
        <v>88951872</v>
      </c>
      <c r="N1498">
        <v>70953905</v>
      </c>
      <c r="O1498">
        <v>63820660</v>
      </c>
      <c r="P1498">
        <v>479</v>
      </c>
      <c r="Q1498" t="s">
        <v>3301</v>
      </c>
    </row>
    <row r="1499" spans="1:17" x14ac:dyDescent="0.3">
      <c r="A1499" t="s">
        <v>17</v>
      </c>
      <c r="B1499" t="str">
        <f>"603809"</f>
        <v>603809</v>
      </c>
      <c r="C1499" t="s">
        <v>3302</v>
      </c>
      <c r="D1499" t="s">
        <v>348</v>
      </c>
      <c r="F1499">
        <v>357553257</v>
      </c>
      <c r="G1499">
        <v>336352851</v>
      </c>
      <c r="H1499">
        <v>255830759</v>
      </c>
      <c r="I1499">
        <v>229174302</v>
      </c>
      <c r="J1499">
        <v>258726093</v>
      </c>
      <c r="K1499">
        <v>173313120</v>
      </c>
      <c r="L1499">
        <v>161212399</v>
      </c>
      <c r="M1499">
        <v>149053622</v>
      </c>
      <c r="P1499">
        <v>137</v>
      </c>
      <c r="Q1499" t="s">
        <v>3303</v>
      </c>
    </row>
    <row r="1500" spans="1:17" x14ac:dyDescent="0.3">
      <c r="A1500" t="s">
        <v>17</v>
      </c>
      <c r="B1500" t="str">
        <f>"603810"</f>
        <v>603810</v>
      </c>
      <c r="C1500" t="s">
        <v>3304</v>
      </c>
      <c r="D1500" t="s">
        <v>853</v>
      </c>
      <c r="F1500">
        <v>164464641</v>
      </c>
      <c r="G1500">
        <v>158583073</v>
      </c>
      <c r="H1500">
        <v>38272482</v>
      </c>
      <c r="I1500">
        <v>84855170</v>
      </c>
      <c r="J1500">
        <v>0</v>
      </c>
      <c r="K1500">
        <v>0</v>
      </c>
      <c r="L1500">
        <v>0</v>
      </c>
      <c r="P1500">
        <v>79</v>
      </c>
      <c r="Q1500" t="s">
        <v>3305</v>
      </c>
    </row>
    <row r="1501" spans="1:17" x14ac:dyDescent="0.3">
      <c r="A1501" t="s">
        <v>17</v>
      </c>
      <c r="B1501" t="str">
        <f>"603811"</f>
        <v>603811</v>
      </c>
      <c r="C1501" t="s">
        <v>3306</v>
      </c>
      <c r="D1501" t="s">
        <v>143</v>
      </c>
      <c r="F1501">
        <v>75936362</v>
      </c>
      <c r="G1501">
        <v>66344157</v>
      </c>
      <c r="H1501">
        <v>45325373</v>
      </c>
      <c r="I1501">
        <v>43739598</v>
      </c>
      <c r="J1501">
        <v>38260293</v>
      </c>
      <c r="K1501">
        <v>34160345</v>
      </c>
      <c r="L1501">
        <v>40484338</v>
      </c>
      <c r="M1501">
        <v>45075064</v>
      </c>
      <c r="P1501">
        <v>327</v>
      </c>
      <c r="Q1501" t="s">
        <v>3307</v>
      </c>
    </row>
    <row r="1502" spans="1:17" x14ac:dyDescent="0.3">
      <c r="A1502" t="s">
        <v>17</v>
      </c>
      <c r="B1502" t="str">
        <f>"603813"</f>
        <v>603813</v>
      </c>
      <c r="C1502" t="s">
        <v>3308</v>
      </c>
      <c r="D1502" t="s">
        <v>2503</v>
      </c>
      <c r="F1502">
        <v>107714670</v>
      </c>
      <c r="G1502">
        <v>125716254</v>
      </c>
      <c r="H1502">
        <v>311686094</v>
      </c>
      <c r="I1502">
        <v>274557704</v>
      </c>
      <c r="J1502">
        <v>101542053</v>
      </c>
      <c r="K1502">
        <v>92482953</v>
      </c>
      <c r="L1502">
        <v>75049041</v>
      </c>
      <c r="M1502">
        <v>64728059</v>
      </c>
      <c r="P1502">
        <v>59</v>
      </c>
      <c r="Q1502" t="s">
        <v>3309</v>
      </c>
    </row>
    <row r="1503" spans="1:17" x14ac:dyDescent="0.3">
      <c r="A1503" t="s">
        <v>17</v>
      </c>
      <c r="B1503" t="str">
        <f>"603815"</f>
        <v>603815</v>
      </c>
      <c r="C1503" t="s">
        <v>3310</v>
      </c>
      <c r="D1503" t="s">
        <v>101</v>
      </c>
      <c r="F1503">
        <v>3014320428</v>
      </c>
      <c r="G1503">
        <v>2048728887</v>
      </c>
      <c r="H1503">
        <v>1889707359</v>
      </c>
      <c r="I1503">
        <v>1400008533</v>
      </c>
      <c r="J1503">
        <v>1365933432</v>
      </c>
      <c r="K1503">
        <v>1205448569</v>
      </c>
      <c r="P1503">
        <v>85</v>
      </c>
      <c r="Q1503" t="s">
        <v>3311</v>
      </c>
    </row>
    <row r="1504" spans="1:17" x14ac:dyDescent="0.3">
      <c r="A1504" t="s">
        <v>17</v>
      </c>
      <c r="B1504" t="str">
        <f>"603816"</f>
        <v>603816</v>
      </c>
      <c r="C1504" t="s">
        <v>3312</v>
      </c>
      <c r="D1504" t="s">
        <v>757</v>
      </c>
      <c r="F1504">
        <v>1697415206</v>
      </c>
      <c r="G1504">
        <v>1107959867</v>
      </c>
      <c r="H1504">
        <v>1011948010</v>
      </c>
      <c r="I1504">
        <v>932343884</v>
      </c>
      <c r="J1504">
        <v>427674039</v>
      </c>
      <c r="K1504">
        <v>340975820</v>
      </c>
      <c r="L1504">
        <v>218724890</v>
      </c>
      <c r="M1504">
        <v>179008523</v>
      </c>
      <c r="N1504">
        <v>104501449</v>
      </c>
      <c r="P1504">
        <v>1965</v>
      </c>
      <c r="Q1504" t="s">
        <v>3313</v>
      </c>
    </row>
    <row r="1505" spans="1:17" x14ac:dyDescent="0.3">
      <c r="A1505" t="s">
        <v>17</v>
      </c>
      <c r="B1505" t="str">
        <f>"603817"</f>
        <v>603817</v>
      </c>
      <c r="C1505" t="s">
        <v>3314</v>
      </c>
      <c r="D1505" t="s">
        <v>33</v>
      </c>
      <c r="F1505">
        <v>535723943</v>
      </c>
      <c r="G1505">
        <v>392097977</v>
      </c>
      <c r="H1505">
        <v>458235589</v>
      </c>
      <c r="I1505">
        <v>238771509</v>
      </c>
      <c r="J1505">
        <v>91836655</v>
      </c>
      <c r="K1505">
        <v>97618264</v>
      </c>
      <c r="L1505">
        <v>115912916</v>
      </c>
      <c r="M1505">
        <v>81445966</v>
      </c>
      <c r="N1505">
        <v>30422758</v>
      </c>
      <c r="P1505">
        <v>121</v>
      </c>
      <c r="Q1505" t="s">
        <v>3315</v>
      </c>
    </row>
    <row r="1506" spans="1:17" x14ac:dyDescent="0.3">
      <c r="A1506" t="s">
        <v>17</v>
      </c>
      <c r="B1506" t="str">
        <f>"603818"</f>
        <v>603818</v>
      </c>
      <c r="C1506" t="s">
        <v>3316</v>
      </c>
      <c r="D1506" t="s">
        <v>757</v>
      </c>
      <c r="F1506">
        <v>442284036</v>
      </c>
      <c r="G1506">
        <v>386501699</v>
      </c>
      <c r="H1506">
        <v>400314692</v>
      </c>
      <c r="I1506">
        <v>403531339</v>
      </c>
      <c r="J1506">
        <v>115251568</v>
      </c>
      <c r="K1506">
        <v>33877817</v>
      </c>
      <c r="L1506">
        <v>25261198</v>
      </c>
      <c r="M1506">
        <v>24163350</v>
      </c>
      <c r="N1506">
        <v>25461207</v>
      </c>
      <c r="O1506">
        <v>21154928</v>
      </c>
      <c r="P1506">
        <v>202</v>
      </c>
      <c r="Q1506" t="s">
        <v>3317</v>
      </c>
    </row>
    <row r="1507" spans="1:17" x14ac:dyDescent="0.3">
      <c r="A1507" t="s">
        <v>17</v>
      </c>
      <c r="B1507" t="str">
        <f>"603819"</f>
        <v>603819</v>
      </c>
      <c r="C1507" t="s">
        <v>3318</v>
      </c>
      <c r="D1507" t="s">
        <v>1171</v>
      </c>
      <c r="F1507">
        <v>379426882</v>
      </c>
      <c r="G1507">
        <v>291609474</v>
      </c>
      <c r="H1507">
        <v>329218806</v>
      </c>
      <c r="I1507">
        <v>261035294</v>
      </c>
      <c r="J1507">
        <v>175053673</v>
      </c>
      <c r="K1507">
        <v>134292093</v>
      </c>
      <c r="L1507">
        <v>114097976</v>
      </c>
      <c r="M1507">
        <v>96541509</v>
      </c>
      <c r="N1507">
        <v>116429208</v>
      </c>
      <c r="P1507">
        <v>74</v>
      </c>
      <c r="Q1507" t="s">
        <v>3319</v>
      </c>
    </row>
    <row r="1508" spans="1:17" x14ac:dyDescent="0.3">
      <c r="A1508" t="s">
        <v>17</v>
      </c>
      <c r="B1508" t="str">
        <f>"603822"</f>
        <v>603822</v>
      </c>
      <c r="C1508" t="s">
        <v>3320</v>
      </c>
      <c r="D1508" t="s">
        <v>386</v>
      </c>
      <c r="F1508">
        <v>33377575</v>
      </c>
      <c r="G1508">
        <v>38057007</v>
      </c>
      <c r="H1508">
        <v>36684784</v>
      </c>
      <c r="I1508">
        <v>43866106</v>
      </c>
      <c r="J1508">
        <v>40652173</v>
      </c>
      <c r="K1508">
        <v>45015239</v>
      </c>
      <c r="L1508">
        <v>15092376</v>
      </c>
      <c r="M1508">
        <v>48732462</v>
      </c>
      <c r="N1508">
        <v>21679736</v>
      </c>
      <c r="P1508">
        <v>124</v>
      </c>
      <c r="Q1508" t="s">
        <v>3321</v>
      </c>
    </row>
    <row r="1509" spans="1:17" x14ac:dyDescent="0.3">
      <c r="A1509" t="s">
        <v>17</v>
      </c>
      <c r="B1509" t="str">
        <f>"603823"</f>
        <v>603823</v>
      </c>
      <c r="C1509" t="s">
        <v>3322</v>
      </c>
      <c r="D1509" t="s">
        <v>2585</v>
      </c>
      <c r="F1509">
        <v>480234885</v>
      </c>
      <c r="G1509">
        <v>470704916</v>
      </c>
      <c r="H1509">
        <v>364194710</v>
      </c>
      <c r="I1509">
        <v>344712667</v>
      </c>
      <c r="J1509">
        <v>328818824</v>
      </c>
      <c r="K1509">
        <v>262688175</v>
      </c>
      <c r="L1509">
        <v>231489479</v>
      </c>
      <c r="M1509">
        <v>213721036</v>
      </c>
      <c r="N1509">
        <v>227823671</v>
      </c>
      <c r="P1509">
        <v>142</v>
      </c>
      <c r="Q1509" t="s">
        <v>3323</v>
      </c>
    </row>
    <row r="1510" spans="1:17" x14ac:dyDescent="0.3">
      <c r="A1510" t="s">
        <v>17</v>
      </c>
      <c r="B1510" t="str">
        <f>"603825"</f>
        <v>603825</v>
      </c>
      <c r="C1510" t="s">
        <v>3324</v>
      </c>
      <c r="D1510" t="s">
        <v>207</v>
      </c>
      <c r="F1510">
        <v>5828790682</v>
      </c>
      <c r="G1510">
        <v>4931986300</v>
      </c>
      <c r="H1510">
        <v>4409182152</v>
      </c>
      <c r="I1510">
        <v>4222333711</v>
      </c>
      <c r="J1510">
        <v>3142393218</v>
      </c>
      <c r="K1510">
        <v>2763481564</v>
      </c>
      <c r="L1510">
        <v>2116727876</v>
      </c>
      <c r="M1510">
        <v>1067999052</v>
      </c>
      <c r="P1510">
        <v>158</v>
      </c>
      <c r="Q1510" t="s">
        <v>3325</v>
      </c>
    </row>
    <row r="1511" spans="1:17" x14ac:dyDescent="0.3">
      <c r="A1511" t="s">
        <v>17</v>
      </c>
      <c r="B1511" t="str">
        <f>"603826"</f>
        <v>603826</v>
      </c>
      <c r="C1511" t="s">
        <v>3326</v>
      </c>
      <c r="D1511" t="s">
        <v>2762</v>
      </c>
      <c r="F1511">
        <v>159960789</v>
      </c>
      <c r="G1511">
        <v>153025236</v>
      </c>
      <c r="H1511">
        <v>122338814</v>
      </c>
      <c r="I1511">
        <v>110156856</v>
      </c>
      <c r="J1511">
        <v>99724402</v>
      </c>
      <c r="K1511">
        <v>92828356</v>
      </c>
      <c r="L1511">
        <v>68543132</v>
      </c>
      <c r="M1511">
        <v>63614301</v>
      </c>
      <c r="P1511">
        <v>265</v>
      </c>
      <c r="Q1511" t="s">
        <v>3327</v>
      </c>
    </row>
    <row r="1512" spans="1:17" x14ac:dyDescent="0.3">
      <c r="A1512" t="s">
        <v>17</v>
      </c>
      <c r="B1512" t="str">
        <f>"603828"</f>
        <v>603828</v>
      </c>
      <c r="C1512" t="s">
        <v>3328</v>
      </c>
      <c r="D1512" t="s">
        <v>450</v>
      </c>
      <c r="F1512">
        <v>982802245</v>
      </c>
      <c r="G1512">
        <v>1117174569</v>
      </c>
      <c r="H1512">
        <v>2207509474</v>
      </c>
      <c r="I1512">
        <v>2105031480</v>
      </c>
      <c r="J1512">
        <v>1835444447</v>
      </c>
      <c r="K1512">
        <v>1714009527</v>
      </c>
      <c r="L1512">
        <v>1573563124</v>
      </c>
      <c r="M1512">
        <v>1351307697</v>
      </c>
      <c r="N1512">
        <v>924407728</v>
      </c>
      <c r="O1512">
        <v>642965140</v>
      </c>
      <c r="P1512">
        <v>66</v>
      </c>
      <c r="Q1512" t="s">
        <v>3329</v>
      </c>
    </row>
    <row r="1513" spans="1:17" x14ac:dyDescent="0.3">
      <c r="A1513" t="s">
        <v>17</v>
      </c>
      <c r="B1513" t="str">
        <f>"603829"</f>
        <v>603829</v>
      </c>
      <c r="C1513" t="s">
        <v>3330</v>
      </c>
      <c r="D1513" t="s">
        <v>657</v>
      </c>
      <c r="F1513">
        <v>590718540</v>
      </c>
      <c r="G1513">
        <v>370289842</v>
      </c>
      <c r="H1513">
        <v>203589648</v>
      </c>
      <c r="I1513">
        <v>177976075</v>
      </c>
      <c r="J1513">
        <v>162914448</v>
      </c>
      <c r="K1513">
        <v>162344573</v>
      </c>
      <c r="L1513">
        <v>147128642</v>
      </c>
      <c r="M1513">
        <v>131139237</v>
      </c>
      <c r="P1513">
        <v>50</v>
      </c>
      <c r="Q1513" t="s">
        <v>3331</v>
      </c>
    </row>
    <row r="1514" spans="1:17" x14ac:dyDescent="0.3">
      <c r="A1514" t="s">
        <v>17</v>
      </c>
      <c r="B1514" t="str">
        <f>"603833"</f>
        <v>603833</v>
      </c>
      <c r="C1514" t="s">
        <v>3332</v>
      </c>
      <c r="D1514" t="s">
        <v>2664</v>
      </c>
      <c r="F1514">
        <v>1011693188</v>
      </c>
      <c r="G1514">
        <v>602171239</v>
      </c>
      <c r="H1514">
        <v>492577381</v>
      </c>
      <c r="I1514">
        <v>278109094</v>
      </c>
      <c r="J1514">
        <v>148616297</v>
      </c>
      <c r="K1514">
        <v>129455669</v>
      </c>
      <c r="L1514">
        <v>73969066</v>
      </c>
      <c r="M1514">
        <v>71599296</v>
      </c>
      <c r="P1514">
        <v>2566</v>
      </c>
      <c r="Q1514" t="s">
        <v>3333</v>
      </c>
    </row>
    <row r="1515" spans="1:17" x14ac:dyDescent="0.3">
      <c r="A1515" t="s">
        <v>17</v>
      </c>
      <c r="B1515" t="str">
        <f>"603836"</f>
        <v>603836</v>
      </c>
      <c r="C1515" t="s">
        <v>3334</v>
      </c>
      <c r="D1515" t="s">
        <v>287</v>
      </c>
      <c r="F1515">
        <v>2121136098</v>
      </c>
      <c r="G1515">
        <v>1046525829</v>
      </c>
      <c r="H1515">
        <v>676596044</v>
      </c>
      <c r="I1515">
        <v>686500600</v>
      </c>
      <c r="J1515">
        <v>491863230</v>
      </c>
      <c r="P1515">
        <v>29</v>
      </c>
      <c r="Q1515" t="s">
        <v>3335</v>
      </c>
    </row>
    <row r="1516" spans="1:17" x14ac:dyDescent="0.3">
      <c r="A1516" t="s">
        <v>17</v>
      </c>
      <c r="B1516" t="str">
        <f>"603838"</f>
        <v>603838</v>
      </c>
      <c r="C1516" t="s">
        <v>3336</v>
      </c>
      <c r="D1516" t="s">
        <v>2445</v>
      </c>
      <c r="F1516">
        <v>84588961</v>
      </c>
      <c r="G1516">
        <v>87826939</v>
      </c>
      <c r="H1516">
        <v>107567622</v>
      </c>
      <c r="I1516">
        <v>86402202</v>
      </c>
      <c r="J1516">
        <v>136011927</v>
      </c>
      <c r="K1516">
        <v>126841168</v>
      </c>
      <c r="L1516">
        <v>137566350</v>
      </c>
      <c r="M1516">
        <v>54587980</v>
      </c>
      <c r="N1516">
        <v>79277854</v>
      </c>
      <c r="O1516">
        <v>60827948</v>
      </c>
      <c r="P1516">
        <v>49</v>
      </c>
      <c r="Q1516" t="s">
        <v>3337</v>
      </c>
    </row>
    <row r="1517" spans="1:17" x14ac:dyDescent="0.3">
      <c r="A1517" t="s">
        <v>17</v>
      </c>
      <c r="B1517" t="str">
        <f>"603839"</f>
        <v>603839</v>
      </c>
      <c r="C1517" t="s">
        <v>3338</v>
      </c>
      <c r="D1517" t="s">
        <v>255</v>
      </c>
      <c r="F1517">
        <v>296078583</v>
      </c>
      <c r="G1517">
        <v>319367624</v>
      </c>
      <c r="H1517">
        <v>192936640</v>
      </c>
      <c r="I1517">
        <v>136045954</v>
      </c>
      <c r="J1517">
        <v>103669689</v>
      </c>
      <c r="K1517">
        <v>93046715</v>
      </c>
      <c r="L1517">
        <v>113921392</v>
      </c>
      <c r="M1517">
        <v>138101655</v>
      </c>
      <c r="N1517">
        <v>94201925</v>
      </c>
      <c r="P1517">
        <v>136</v>
      </c>
      <c r="Q1517" t="s">
        <v>3339</v>
      </c>
    </row>
    <row r="1518" spans="1:17" x14ac:dyDescent="0.3">
      <c r="A1518" t="s">
        <v>17</v>
      </c>
      <c r="B1518" t="str">
        <f>"603843"</f>
        <v>603843</v>
      </c>
      <c r="C1518" t="s">
        <v>3340</v>
      </c>
      <c r="D1518" t="s">
        <v>101</v>
      </c>
      <c r="F1518">
        <v>1715732209</v>
      </c>
      <c r="G1518">
        <v>566856796</v>
      </c>
      <c r="H1518">
        <v>1056982295</v>
      </c>
      <c r="I1518">
        <v>1081857123</v>
      </c>
      <c r="J1518">
        <v>711592899</v>
      </c>
      <c r="K1518">
        <v>713380750</v>
      </c>
      <c r="L1518">
        <v>592277979</v>
      </c>
      <c r="M1518">
        <v>458908221</v>
      </c>
      <c r="N1518">
        <v>416144726</v>
      </c>
      <c r="P1518">
        <v>90</v>
      </c>
      <c r="Q1518" t="s">
        <v>3341</v>
      </c>
    </row>
    <row r="1519" spans="1:17" x14ac:dyDescent="0.3">
      <c r="A1519" t="s">
        <v>17</v>
      </c>
      <c r="B1519" t="str">
        <f>"603848"</f>
        <v>603848</v>
      </c>
      <c r="C1519" t="s">
        <v>3342</v>
      </c>
      <c r="D1519" t="s">
        <v>757</v>
      </c>
      <c r="F1519">
        <v>105110761</v>
      </c>
      <c r="G1519">
        <v>97315733</v>
      </c>
      <c r="H1519">
        <v>47742002</v>
      </c>
      <c r="I1519">
        <v>24581004</v>
      </c>
      <c r="J1519">
        <v>6986944</v>
      </c>
      <c r="K1519">
        <v>6125264</v>
      </c>
      <c r="L1519">
        <v>3012352</v>
      </c>
      <c r="M1519">
        <v>2952988</v>
      </c>
      <c r="P1519">
        <v>415</v>
      </c>
      <c r="Q1519" t="s">
        <v>3343</v>
      </c>
    </row>
    <row r="1520" spans="1:17" x14ac:dyDescent="0.3">
      <c r="A1520" t="s">
        <v>17</v>
      </c>
      <c r="B1520" t="str">
        <f>"603855"</f>
        <v>603855</v>
      </c>
      <c r="C1520" t="s">
        <v>3344</v>
      </c>
      <c r="D1520" t="s">
        <v>741</v>
      </c>
      <c r="F1520">
        <v>1230983611</v>
      </c>
      <c r="G1520">
        <v>1112337321</v>
      </c>
      <c r="H1520">
        <v>873287553</v>
      </c>
      <c r="I1520">
        <v>835391212</v>
      </c>
      <c r="J1520">
        <v>888243451</v>
      </c>
      <c r="K1520">
        <v>834103948</v>
      </c>
      <c r="L1520">
        <v>775879101</v>
      </c>
      <c r="M1520">
        <v>774693571</v>
      </c>
      <c r="P1520">
        <v>220</v>
      </c>
      <c r="Q1520" t="s">
        <v>3345</v>
      </c>
    </row>
    <row r="1521" spans="1:17" x14ac:dyDescent="0.3">
      <c r="A1521" t="s">
        <v>17</v>
      </c>
      <c r="B1521" t="str">
        <f>"603856"</f>
        <v>603856</v>
      </c>
      <c r="C1521" t="s">
        <v>3346</v>
      </c>
      <c r="D1521" t="s">
        <v>3347</v>
      </c>
      <c r="F1521">
        <v>1277585260</v>
      </c>
      <c r="G1521">
        <v>1164643105</v>
      </c>
      <c r="H1521">
        <v>743965418</v>
      </c>
      <c r="I1521">
        <v>609260367</v>
      </c>
      <c r="J1521">
        <v>560954494</v>
      </c>
      <c r="K1521">
        <v>434624086</v>
      </c>
      <c r="L1521">
        <v>505033897</v>
      </c>
      <c r="M1521">
        <v>485226917</v>
      </c>
      <c r="P1521">
        <v>138</v>
      </c>
      <c r="Q1521" t="s">
        <v>3348</v>
      </c>
    </row>
    <row r="1522" spans="1:17" x14ac:dyDescent="0.3">
      <c r="A1522" t="s">
        <v>17</v>
      </c>
      <c r="B1522" t="str">
        <f>"603858"</f>
        <v>603858</v>
      </c>
      <c r="C1522" t="s">
        <v>3349</v>
      </c>
      <c r="D1522" t="s">
        <v>188</v>
      </c>
      <c r="F1522">
        <v>1531292776</v>
      </c>
      <c r="G1522">
        <v>1283095046</v>
      </c>
      <c r="H1522">
        <v>1207961022</v>
      </c>
      <c r="I1522">
        <v>1666875590</v>
      </c>
      <c r="J1522">
        <v>1466934981</v>
      </c>
      <c r="K1522">
        <v>1147772052</v>
      </c>
      <c r="L1522">
        <v>1176021353</v>
      </c>
      <c r="M1522">
        <v>1040201307</v>
      </c>
      <c r="N1522">
        <v>764079814</v>
      </c>
      <c r="P1522">
        <v>828</v>
      </c>
      <c r="Q1522" t="s">
        <v>3350</v>
      </c>
    </row>
    <row r="1523" spans="1:17" x14ac:dyDescent="0.3">
      <c r="A1523" t="s">
        <v>17</v>
      </c>
      <c r="B1523" t="str">
        <f>"603859"</f>
        <v>603859</v>
      </c>
      <c r="C1523" t="s">
        <v>3351</v>
      </c>
      <c r="D1523" t="s">
        <v>2432</v>
      </c>
      <c r="F1523">
        <v>754426483</v>
      </c>
      <c r="G1523">
        <v>588759675</v>
      </c>
      <c r="H1523">
        <v>580823785</v>
      </c>
      <c r="I1523">
        <v>459784138</v>
      </c>
      <c r="J1523">
        <v>349275664</v>
      </c>
      <c r="K1523">
        <v>350809015</v>
      </c>
      <c r="L1523">
        <v>269486551</v>
      </c>
      <c r="M1523">
        <v>256998021</v>
      </c>
      <c r="N1523">
        <v>273086689</v>
      </c>
      <c r="P1523">
        <v>205</v>
      </c>
      <c r="Q1523" t="s">
        <v>3352</v>
      </c>
    </row>
    <row r="1524" spans="1:17" x14ac:dyDescent="0.3">
      <c r="A1524" t="s">
        <v>17</v>
      </c>
      <c r="B1524" t="str">
        <f>"603860"</f>
        <v>603860</v>
      </c>
      <c r="C1524" t="s">
        <v>3353</v>
      </c>
      <c r="D1524" t="s">
        <v>1272</v>
      </c>
      <c r="F1524">
        <v>102482564</v>
      </c>
      <c r="G1524">
        <v>104704928</v>
      </c>
      <c r="H1524">
        <v>106517063</v>
      </c>
      <c r="I1524">
        <v>114600292</v>
      </c>
      <c r="J1524">
        <v>105795490</v>
      </c>
      <c r="K1524">
        <v>69618071</v>
      </c>
      <c r="L1524">
        <v>62772661</v>
      </c>
      <c r="M1524">
        <v>63920445</v>
      </c>
      <c r="P1524">
        <v>58</v>
      </c>
      <c r="Q1524" t="s">
        <v>3354</v>
      </c>
    </row>
    <row r="1525" spans="1:17" x14ac:dyDescent="0.3">
      <c r="A1525" t="s">
        <v>17</v>
      </c>
      <c r="B1525" t="str">
        <f>"603861"</f>
        <v>603861</v>
      </c>
      <c r="C1525" t="s">
        <v>3355</v>
      </c>
      <c r="D1525" t="s">
        <v>657</v>
      </c>
      <c r="F1525">
        <v>2103507124</v>
      </c>
      <c r="G1525">
        <v>1692178878</v>
      </c>
      <c r="H1525">
        <v>1806716136</v>
      </c>
      <c r="I1525">
        <v>1355728394</v>
      </c>
      <c r="J1525">
        <v>723786639</v>
      </c>
      <c r="K1525">
        <v>821969630</v>
      </c>
      <c r="L1525">
        <v>679873574</v>
      </c>
      <c r="M1525">
        <v>680569050</v>
      </c>
      <c r="N1525">
        <v>653433691</v>
      </c>
      <c r="P1525">
        <v>109</v>
      </c>
      <c r="Q1525" t="s">
        <v>3356</v>
      </c>
    </row>
    <row r="1526" spans="1:17" x14ac:dyDescent="0.3">
      <c r="A1526" t="s">
        <v>17</v>
      </c>
      <c r="B1526" t="str">
        <f>"603863"</f>
        <v>603863</v>
      </c>
      <c r="C1526" t="s">
        <v>3357</v>
      </c>
      <c r="D1526" t="s">
        <v>694</v>
      </c>
      <c r="F1526">
        <v>78446145</v>
      </c>
      <c r="G1526">
        <v>69696849</v>
      </c>
      <c r="H1526">
        <v>54087195</v>
      </c>
      <c r="I1526">
        <v>0</v>
      </c>
      <c r="J1526">
        <v>0</v>
      </c>
      <c r="K1526">
        <v>0</v>
      </c>
      <c r="P1526">
        <v>51</v>
      </c>
      <c r="Q1526" t="s">
        <v>3358</v>
      </c>
    </row>
    <row r="1527" spans="1:17" x14ac:dyDescent="0.3">
      <c r="A1527" t="s">
        <v>17</v>
      </c>
      <c r="B1527" t="str">
        <f>"603866"</f>
        <v>603866</v>
      </c>
      <c r="C1527" t="s">
        <v>3359</v>
      </c>
      <c r="D1527" t="s">
        <v>2488</v>
      </c>
      <c r="F1527">
        <v>506976100</v>
      </c>
      <c r="G1527">
        <v>491897142</v>
      </c>
      <c r="H1527">
        <v>492732608</v>
      </c>
      <c r="I1527">
        <v>429379909</v>
      </c>
      <c r="J1527">
        <v>332497326</v>
      </c>
      <c r="K1527">
        <v>280436836</v>
      </c>
      <c r="L1527">
        <v>232505549</v>
      </c>
      <c r="M1527">
        <v>192126073</v>
      </c>
      <c r="N1527">
        <v>146374972</v>
      </c>
      <c r="O1527">
        <v>132359218</v>
      </c>
      <c r="P1527">
        <v>7676</v>
      </c>
      <c r="Q1527" t="s">
        <v>3360</v>
      </c>
    </row>
    <row r="1528" spans="1:17" x14ac:dyDescent="0.3">
      <c r="A1528" t="s">
        <v>17</v>
      </c>
      <c r="B1528" t="str">
        <f>"603867"</f>
        <v>603867</v>
      </c>
      <c r="C1528" t="s">
        <v>3361</v>
      </c>
      <c r="D1528" t="s">
        <v>386</v>
      </c>
      <c r="F1528">
        <v>229754031</v>
      </c>
      <c r="G1528">
        <v>217018551</v>
      </c>
      <c r="H1528">
        <v>115219704</v>
      </c>
      <c r="I1528">
        <v>185630424</v>
      </c>
      <c r="J1528">
        <v>0</v>
      </c>
      <c r="K1528">
        <v>0</v>
      </c>
      <c r="P1528">
        <v>88</v>
      </c>
      <c r="Q1528" t="s">
        <v>3362</v>
      </c>
    </row>
    <row r="1529" spans="1:17" x14ac:dyDescent="0.3">
      <c r="A1529" t="s">
        <v>17</v>
      </c>
      <c r="B1529" t="str">
        <f>"603868"</f>
        <v>603868</v>
      </c>
      <c r="C1529" t="s">
        <v>3363</v>
      </c>
      <c r="D1529" t="s">
        <v>3364</v>
      </c>
      <c r="F1529">
        <v>395159311</v>
      </c>
      <c r="G1529">
        <v>515189874</v>
      </c>
      <c r="H1529">
        <v>571218451</v>
      </c>
      <c r="I1529">
        <v>547313898</v>
      </c>
      <c r="J1529">
        <v>254541562</v>
      </c>
      <c r="K1529">
        <v>134215160</v>
      </c>
      <c r="L1529">
        <v>94556236</v>
      </c>
      <c r="M1529">
        <v>90922079</v>
      </c>
      <c r="N1529">
        <v>90519022</v>
      </c>
      <c r="P1529">
        <v>4435</v>
      </c>
      <c r="Q1529" t="s">
        <v>3365</v>
      </c>
    </row>
    <row r="1530" spans="1:17" x14ac:dyDescent="0.3">
      <c r="A1530" t="s">
        <v>17</v>
      </c>
      <c r="B1530" t="str">
        <f>"603869"</f>
        <v>603869</v>
      </c>
      <c r="C1530" t="s">
        <v>3366</v>
      </c>
      <c r="D1530" t="s">
        <v>316</v>
      </c>
      <c r="F1530">
        <v>1382621611</v>
      </c>
      <c r="G1530">
        <v>1525812178</v>
      </c>
      <c r="H1530">
        <v>2211415620</v>
      </c>
      <c r="I1530">
        <v>1444717866</v>
      </c>
      <c r="J1530">
        <v>1317197650</v>
      </c>
      <c r="K1530">
        <v>891062730</v>
      </c>
      <c r="L1530">
        <v>11532835</v>
      </c>
      <c r="M1530">
        <v>14212693</v>
      </c>
      <c r="N1530">
        <v>10917566</v>
      </c>
      <c r="O1530">
        <v>9311193</v>
      </c>
      <c r="P1530">
        <v>143</v>
      </c>
      <c r="Q1530" t="s">
        <v>3367</v>
      </c>
    </row>
    <row r="1531" spans="1:17" x14ac:dyDescent="0.3">
      <c r="A1531" t="s">
        <v>17</v>
      </c>
      <c r="B1531" t="str">
        <f>"603871"</f>
        <v>603871</v>
      </c>
      <c r="C1531" t="s">
        <v>3368</v>
      </c>
      <c r="D1531" t="s">
        <v>287</v>
      </c>
      <c r="F1531">
        <v>163959769</v>
      </c>
      <c r="G1531">
        <v>136019771</v>
      </c>
      <c r="H1531">
        <v>203281814</v>
      </c>
      <c r="I1531">
        <v>135959442</v>
      </c>
      <c r="J1531">
        <v>68246607</v>
      </c>
      <c r="K1531">
        <v>74161041</v>
      </c>
      <c r="L1531">
        <v>40206624</v>
      </c>
      <c r="M1531">
        <v>110083125</v>
      </c>
      <c r="P1531">
        <v>324</v>
      </c>
      <c r="Q1531" t="s">
        <v>3369</v>
      </c>
    </row>
    <row r="1532" spans="1:17" x14ac:dyDescent="0.3">
      <c r="A1532" t="s">
        <v>17</v>
      </c>
      <c r="B1532" t="str">
        <f>"603876"</f>
        <v>603876</v>
      </c>
      <c r="C1532" t="s">
        <v>3370</v>
      </c>
      <c r="D1532" t="s">
        <v>504</v>
      </c>
      <c r="F1532">
        <v>1932423122</v>
      </c>
      <c r="G1532">
        <v>1543483844</v>
      </c>
      <c r="H1532">
        <v>1544057277</v>
      </c>
      <c r="I1532">
        <v>1360681799</v>
      </c>
      <c r="J1532">
        <v>1141927044</v>
      </c>
      <c r="K1532">
        <v>1042381508</v>
      </c>
      <c r="L1532">
        <v>874539806</v>
      </c>
      <c r="P1532">
        <v>143</v>
      </c>
      <c r="Q1532" t="s">
        <v>3371</v>
      </c>
    </row>
    <row r="1533" spans="1:17" x14ac:dyDescent="0.3">
      <c r="A1533" t="s">
        <v>17</v>
      </c>
      <c r="B1533" t="str">
        <f>"603877"</f>
        <v>603877</v>
      </c>
      <c r="C1533" t="s">
        <v>3372</v>
      </c>
      <c r="D1533" t="s">
        <v>255</v>
      </c>
      <c r="F1533">
        <v>631967597</v>
      </c>
      <c r="G1533">
        <v>778160259</v>
      </c>
      <c r="H1533">
        <v>627016217</v>
      </c>
      <c r="I1533">
        <v>589624861</v>
      </c>
      <c r="J1533">
        <v>486811221</v>
      </c>
      <c r="K1533">
        <v>375781860</v>
      </c>
      <c r="L1533">
        <v>373133796</v>
      </c>
      <c r="M1533">
        <v>277518771</v>
      </c>
      <c r="N1533">
        <v>230405638</v>
      </c>
      <c r="P1533">
        <v>364</v>
      </c>
      <c r="Q1533" t="s">
        <v>3373</v>
      </c>
    </row>
    <row r="1534" spans="1:17" x14ac:dyDescent="0.3">
      <c r="A1534" t="s">
        <v>17</v>
      </c>
      <c r="B1534" t="str">
        <f>"603878"</f>
        <v>603878</v>
      </c>
      <c r="C1534" t="s">
        <v>3374</v>
      </c>
      <c r="D1534" t="s">
        <v>2238</v>
      </c>
      <c r="F1534">
        <v>501015400</v>
      </c>
      <c r="G1534">
        <v>475422622</v>
      </c>
      <c r="H1534">
        <v>490956228</v>
      </c>
      <c r="I1534">
        <v>402465709</v>
      </c>
      <c r="J1534">
        <v>372071597</v>
      </c>
      <c r="K1534">
        <v>420624533</v>
      </c>
      <c r="L1534">
        <v>349633050</v>
      </c>
      <c r="M1534">
        <v>414671823</v>
      </c>
      <c r="N1534">
        <v>336582346</v>
      </c>
      <c r="P1534">
        <v>142</v>
      </c>
      <c r="Q1534" t="s">
        <v>3375</v>
      </c>
    </row>
    <row r="1535" spans="1:17" x14ac:dyDescent="0.3">
      <c r="A1535" t="s">
        <v>17</v>
      </c>
      <c r="B1535" t="str">
        <f>"603879"</f>
        <v>603879</v>
      </c>
      <c r="C1535" t="s">
        <v>3376</v>
      </c>
      <c r="D1535" t="s">
        <v>3377</v>
      </c>
      <c r="F1535">
        <v>157302013</v>
      </c>
      <c r="G1535">
        <v>182187995</v>
      </c>
      <c r="H1535">
        <v>184763173</v>
      </c>
      <c r="I1535">
        <v>198394879</v>
      </c>
      <c r="J1535">
        <v>162289117</v>
      </c>
      <c r="K1535">
        <v>128246066</v>
      </c>
      <c r="L1535">
        <v>124819007</v>
      </c>
      <c r="M1535">
        <v>117256040</v>
      </c>
      <c r="P1535">
        <v>55</v>
      </c>
      <c r="Q1535" t="s">
        <v>3378</v>
      </c>
    </row>
    <row r="1536" spans="1:17" x14ac:dyDescent="0.3">
      <c r="A1536" t="s">
        <v>17</v>
      </c>
      <c r="B1536" t="str">
        <f>"603880"</f>
        <v>603880</v>
      </c>
      <c r="C1536" t="s">
        <v>3379</v>
      </c>
      <c r="D1536" t="s">
        <v>1077</v>
      </c>
      <c r="F1536">
        <v>107324765</v>
      </c>
      <c r="G1536">
        <v>94511722</v>
      </c>
      <c r="H1536">
        <v>131969158</v>
      </c>
      <c r="I1536">
        <v>144184846</v>
      </c>
      <c r="J1536">
        <v>124435295</v>
      </c>
      <c r="K1536">
        <v>127193518</v>
      </c>
      <c r="L1536">
        <v>133549361</v>
      </c>
      <c r="M1536">
        <v>139916503</v>
      </c>
      <c r="P1536">
        <v>125</v>
      </c>
      <c r="Q1536" t="s">
        <v>3380</v>
      </c>
    </row>
    <row r="1537" spans="1:17" x14ac:dyDescent="0.3">
      <c r="A1537" t="s">
        <v>17</v>
      </c>
      <c r="B1537" t="str">
        <f>"603881"</f>
        <v>603881</v>
      </c>
      <c r="C1537" t="s">
        <v>3381</v>
      </c>
      <c r="D1537" t="s">
        <v>316</v>
      </c>
      <c r="F1537">
        <v>77655948</v>
      </c>
      <c r="G1537">
        <v>65289322</v>
      </c>
      <c r="H1537">
        <v>164457059</v>
      </c>
      <c r="I1537">
        <v>291206091</v>
      </c>
      <c r="J1537">
        <v>134288293</v>
      </c>
      <c r="K1537">
        <v>75516606</v>
      </c>
      <c r="L1537">
        <v>72130924</v>
      </c>
      <c r="M1537">
        <v>50650179</v>
      </c>
      <c r="N1537">
        <v>80599459</v>
      </c>
      <c r="P1537">
        <v>486</v>
      </c>
      <c r="Q1537" t="s">
        <v>3382</v>
      </c>
    </row>
    <row r="1538" spans="1:17" x14ac:dyDescent="0.3">
      <c r="A1538" t="s">
        <v>17</v>
      </c>
      <c r="B1538" t="str">
        <f>"603882"</f>
        <v>603882</v>
      </c>
      <c r="C1538" t="s">
        <v>3383</v>
      </c>
      <c r="D1538" t="s">
        <v>2580</v>
      </c>
      <c r="F1538">
        <v>4665449069</v>
      </c>
      <c r="G1538">
        <v>2694451438</v>
      </c>
      <c r="H1538">
        <v>1569645503</v>
      </c>
      <c r="I1538">
        <v>1327677393</v>
      </c>
      <c r="J1538">
        <v>1082436977</v>
      </c>
      <c r="K1538">
        <v>801597112</v>
      </c>
      <c r="L1538">
        <v>595068334</v>
      </c>
      <c r="M1538">
        <v>424003492</v>
      </c>
      <c r="P1538">
        <v>1844</v>
      </c>
      <c r="Q1538" t="s">
        <v>3384</v>
      </c>
    </row>
    <row r="1539" spans="1:17" x14ac:dyDescent="0.3">
      <c r="A1539" t="s">
        <v>17</v>
      </c>
      <c r="B1539" t="str">
        <f>"603883"</f>
        <v>603883</v>
      </c>
      <c r="C1539" t="s">
        <v>3385</v>
      </c>
      <c r="D1539" t="s">
        <v>1686</v>
      </c>
      <c r="F1539">
        <v>1376163686</v>
      </c>
      <c r="G1539">
        <v>1149981782</v>
      </c>
      <c r="H1539">
        <v>1072863124</v>
      </c>
      <c r="I1539">
        <v>940413438</v>
      </c>
      <c r="J1539">
        <v>798681971</v>
      </c>
      <c r="K1539">
        <v>577568517</v>
      </c>
      <c r="L1539">
        <v>420041771</v>
      </c>
      <c r="M1539">
        <v>312735684</v>
      </c>
      <c r="N1539">
        <v>266500478</v>
      </c>
      <c r="O1539">
        <v>211102522</v>
      </c>
      <c r="P1539">
        <v>868</v>
      </c>
      <c r="Q1539" t="s">
        <v>3386</v>
      </c>
    </row>
    <row r="1540" spans="1:17" x14ac:dyDescent="0.3">
      <c r="A1540" t="s">
        <v>17</v>
      </c>
      <c r="B1540" t="str">
        <f>"603885"</f>
        <v>603885</v>
      </c>
      <c r="C1540" t="s">
        <v>3387</v>
      </c>
      <c r="D1540" t="s">
        <v>77</v>
      </c>
      <c r="F1540">
        <v>582375946</v>
      </c>
      <c r="G1540">
        <v>520251827</v>
      </c>
      <c r="H1540">
        <v>529197365</v>
      </c>
      <c r="I1540">
        <v>368287055</v>
      </c>
      <c r="J1540">
        <v>258418620</v>
      </c>
      <c r="K1540">
        <v>223856834</v>
      </c>
      <c r="L1540">
        <v>223517639</v>
      </c>
      <c r="M1540">
        <v>126710750</v>
      </c>
      <c r="N1540">
        <v>164159338</v>
      </c>
      <c r="O1540">
        <v>101362149</v>
      </c>
      <c r="P1540">
        <v>475</v>
      </c>
      <c r="Q1540" t="s">
        <v>3388</v>
      </c>
    </row>
    <row r="1541" spans="1:17" x14ac:dyDescent="0.3">
      <c r="A1541" t="s">
        <v>17</v>
      </c>
      <c r="B1541" t="str">
        <f>"603886"</f>
        <v>603886</v>
      </c>
      <c r="C1541" t="s">
        <v>3389</v>
      </c>
      <c r="D1541" t="s">
        <v>2488</v>
      </c>
      <c r="F1541">
        <v>58009036</v>
      </c>
      <c r="G1541">
        <v>59772991</v>
      </c>
      <c r="H1541">
        <v>54828002</v>
      </c>
      <c r="I1541">
        <v>30480955</v>
      </c>
      <c r="J1541">
        <v>41047321</v>
      </c>
      <c r="K1541">
        <v>54846558</v>
      </c>
      <c r="L1541">
        <v>32751160</v>
      </c>
      <c r="M1541">
        <v>32902114</v>
      </c>
      <c r="N1541">
        <v>48575162</v>
      </c>
      <c r="P1541">
        <v>3081</v>
      </c>
      <c r="Q1541" t="s">
        <v>3390</v>
      </c>
    </row>
    <row r="1542" spans="1:17" x14ac:dyDescent="0.3">
      <c r="A1542" t="s">
        <v>17</v>
      </c>
      <c r="B1542" t="str">
        <f>"603887"</f>
        <v>603887</v>
      </c>
      <c r="C1542" t="s">
        <v>3391</v>
      </c>
      <c r="D1542" t="s">
        <v>316</v>
      </c>
      <c r="F1542">
        <v>2198984881</v>
      </c>
      <c r="G1542">
        <v>2024109874</v>
      </c>
      <c r="H1542">
        <v>1721842943</v>
      </c>
      <c r="I1542">
        <v>450820991</v>
      </c>
      <c r="J1542">
        <v>296621171</v>
      </c>
      <c r="K1542">
        <v>297936979</v>
      </c>
      <c r="L1542">
        <v>244974527</v>
      </c>
      <c r="M1542">
        <v>177679656</v>
      </c>
      <c r="N1542">
        <v>172740992</v>
      </c>
      <c r="P1542">
        <v>241</v>
      </c>
      <c r="Q1542" t="s">
        <v>3392</v>
      </c>
    </row>
    <row r="1543" spans="1:17" x14ac:dyDescent="0.3">
      <c r="A1543" t="s">
        <v>17</v>
      </c>
      <c r="B1543" t="str">
        <f>"603888"</f>
        <v>603888</v>
      </c>
      <c r="C1543" t="s">
        <v>3393</v>
      </c>
      <c r="D1543" t="s">
        <v>522</v>
      </c>
      <c r="F1543">
        <v>375379444</v>
      </c>
      <c r="G1543">
        <v>474888400</v>
      </c>
      <c r="H1543">
        <v>736206916</v>
      </c>
      <c r="I1543">
        <v>588101086</v>
      </c>
      <c r="J1543">
        <v>514509199</v>
      </c>
      <c r="K1543">
        <v>432241378</v>
      </c>
      <c r="L1543">
        <v>326886296</v>
      </c>
      <c r="M1543">
        <v>196742955</v>
      </c>
      <c r="N1543">
        <v>129450672</v>
      </c>
      <c r="P1543">
        <v>227</v>
      </c>
      <c r="Q1543" t="s">
        <v>3394</v>
      </c>
    </row>
    <row r="1544" spans="1:17" x14ac:dyDescent="0.3">
      <c r="A1544" t="s">
        <v>17</v>
      </c>
      <c r="B1544" t="str">
        <f>"603889"</f>
        <v>603889</v>
      </c>
      <c r="C1544" t="s">
        <v>3395</v>
      </c>
      <c r="D1544" t="s">
        <v>366</v>
      </c>
      <c r="F1544">
        <v>264543830</v>
      </c>
      <c r="G1544">
        <v>259259682</v>
      </c>
      <c r="H1544">
        <v>202077393</v>
      </c>
      <c r="I1544">
        <v>171611607</v>
      </c>
      <c r="J1544">
        <v>128163476</v>
      </c>
      <c r="K1544">
        <v>93098518</v>
      </c>
      <c r="L1544">
        <v>86549098</v>
      </c>
      <c r="M1544">
        <v>85409344</v>
      </c>
      <c r="N1544">
        <v>63407955</v>
      </c>
      <c r="O1544">
        <v>77758785</v>
      </c>
      <c r="P1544">
        <v>121</v>
      </c>
      <c r="Q1544" t="s">
        <v>3396</v>
      </c>
    </row>
    <row r="1545" spans="1:17" x14ac:dyDescent="0.3">
      <c r="A1545" t="s">
        <v>17</v>
      </c>
      <c r="B1545" t="str">
        <f>"603890"</f>
        <v>603890</v>
      </c>
      <c r="C1545" t="s">
        <v>3397</v>
      </c>
      <c r="D1545" t="s">
        <v>313</v>
      </c>
      <c r="F1545">
        <v>1372409226</v>
      </c>
      <c r="G1545">
        <v>1406917340</v>
      </c>
      <c r="H1545">
        <v>773464750</v>
      </c>
      <c r="I1545">
        <v>666126420</v>
      </c>
      <c r="J1545">
        <v>574260278</v>
      </c>
      <c r="K1545">
        <v>526000600</v>
      </c>
      <c r="L1545">
        <v>507187207</v>
      </c>
      <c r="M1545">
        <v>424750762</v>
      </c>
      <c r="P1545">
        <v>155</v>
      </c>
      <c r="Q1545" t="s">
        <v>3398</v>
      </c>
    </row>
    <row r="1546" spans="1:17" x14ac:dyDescent="0.3">
      <c r="A1546" t="s">
        <v>17</v>
      </c>
      <c r="B1546" t="str">
        <f>"603893"</f>
        <v>603893</v>
      </c>
      <c r="C1546" t="s">
        <v>3399</v>
      </c>
      <c r="D1546" t="s">
        <v>461</v>
      </c>
      <c r="F1546">
        <v>309788477</v>
      </c>
      <c r="G1546">
        <v>157904097</v>
      </c>
      <c r="H1546">
        <v>98803098</v>
      </c>
      <c r="I1546">
        <v>80849218</v>
      </c>
      <c r="J1546">
        <v>119898899</v>
      </c>
      <c r="K1546">
        <v>152248216</v>
      </c>
      <c r="P1546">
        <v>444</v>
      </c>
      <c r="Q1546" t="s">
        <v>3400</v>
      </c>
    </row>
    <row r="1547" spans="1:17" x14ac:dyDescent="0.3">
      <c r="A1547" t="s">
        <v>17</v>
      </c>
      <c r="B1547" t="str">
        <f>"603895"</f>
        <v>603895</v>
      </c>
      <c r="C1547" t="s">
        <v>3401</v>
      </c>
      <c r="D1547" t="s">
        <v>741</v>
      </c>
      <c r="F1547">
        <v>245714967</v>
      </c>
      <c r="G1547">
        <v>200810928</v>
      </c>
      <c r="H1547">
        <v>257333694</v>
      </c>
      <c r="I1547">
        <v>301774223</v>
      </c>
      <c r="J1547">
        <v>201730686</v>
      </c>
      <c r="K1547">
        <v>123071166</v>
      </c>
      <c r="L1547">
        <v>89700481</v>
      </c>
      <c r="M1547">
        <v>77209507</v>
      </c>
      <c r="P1547">
        <v>65</v>
      </c>
      <c r="Q1547" t="s">
        <v>3402</v>
      </c>
    </row>
    <row r="1548" spans="1:17" x14ac:dyDescent="0.3">
      <c r="A1548" t="s">
        <v>17</v>
      </c>
      <c r="B1548" t="str">
        <f>"603896"</f>
        <v>603896</v>
      </c>
      <c r="C1548" t="s">
        <v>3403</v>
      </c>
      <c r="D1548" t="s">
        <v>188</v>
      </c>
      <c r="F1548">
        <v>84520615</v>
      </c>
      <c r="G1548">
        <v>70072278</v>
      </c>
      <c r="H1548">
        <v>62842264</v>
      </c>
      <c r="I1548">
        <v>63417448</v>
      </c>
      <c r="J1548">
        <v>36865890</v>
      </c>
      <c r="K1548">
        <v>38055892</v>
      </c>
      <c r="L1548">
        <v>38235729</v>
      </c>
      <c r="M1548">
        <v>36945796</v>
      </c>
      <c r="P1548">
        <v>230</v>
      </c>
      <c r="Q1548" t="s">
        <v>3404</v>
      </c>
    </row>
    <row r="1549" spans="1:17" x14ac:dyDescent="0.3">
      <c r="A1549" t="s">
        <v>17</v>
      </c>
      <c r="B1549" t="str">
        <f>"603897"</f>
        <v>603897</v>
      </c>
      <c r="C1549" t="s">
        <v>3405</v>
      </c>
      <c r="D1549" t="s">
        <v>1164</v>
      </c>
      <c r="F1549">
        <v>1550215702</v>
      </c>
      <c r="G1549">
        <v>1034394667</v>
      </c>
      <c r="H1549">
        <v>667438387</v>
      </c>
      <c r="I1549">
        <v>521247839</v>
      </c>
      <c r="J1549">
        <v>500750137</v>
      </c>
      <c r="K1549">
        <v>428765719</v>
      </c>
      <c r="L1549">
        <v>288873894</v>
      </c>
      <c r="P1549">
        <v>137</v>
      </c>
      <c r="Q1549" t="s">
        <v>3406</v>
      </c>
    </row>
    <row r="1550" spans="1:17" x14ac:dyDescent="0.3">
      <c r="A1550" t="s">
        <v>17</v>
      </c>
      <c r="B1550" t="str">
        <f>"603898"</f>
        <v>603898</v>
      </c>
      <c r="C1550" t="s">
        <v>3407</v>
      </c>
      <c r="D1550" t="s">
        <v>2664</v>
      </c>
      <c r="F1550">
        <v>188397257</v>
      </c>
      <c r="G1550">
        <v>154367729</v>
      </c>
      <c r="H1550">
        <v>28559501</v>
      </c>
      <c r="I1550">
        <v>13790647</v>
      </c>
      <c r="J1550">
        <v>7747332</v>
      </c>
      <c r="K1550">
        <v>3908763</v>
      </c>
      <c r="L1550">
        <v>3893656</v>
      </c>
      <c r="M1550">
        <v>7223395</v>
      </c>
      <c r="N1550">
        <v>6527340</v>
      </c>
      <c r="O1550">
        <v>4658241</v>
      </c>
      <c r="P1550">
        <v>835</v>
      </c>
      <c r="Q1550" t="s">
        <v>3408</v>
      </c>
    </row>
    <row r="1551" spans="1:17" x14ac:dyDescent="0.3">
      <c r="A1551" t="s">
        <v>17</v>
      </c>
      <c r="B1551" t="str">
        <f>"603899"</f>
        <v>603899</v>
      </c>
      <c r="C1551" t="s">
        <v>3409</v>
      </c>
      <c r="D1551" t="s">
        <v>3410</v>
      </c>
      <c r="F1551">
        <v>1720868415</v>
      </c>
      <c r="G1551">
        <v>1561211469</v>
      </c>
      <c r="H1551">
        <v>1026094724</v>
      </c>
      <c r="I1551">
        <v>808772113</v>
      </c>
      <c r="J1551">
        <v>469157897</v>
      </c>
      <c r="K1551">
        <v>165471100</v>
      </c>
      <c r="L1551">
        <v>98110944</v>
      </c>
      <c r="M1551">
        <v>54629090</v>
      </c>
      <c r="N1551">
        <v>54387999</v>
      </c>
      <c r="O1551">
        <v>34409045</v>
      </c>
      <c r="P1551">
        <v>25827</v>
      </c>
      <c r="Q1551" t="s">
        <v>3411</v>
      </c>
    </row>
    <row r="1552" spans="1:17" x14ac:dyDescent="0.3">
      <c r="A1552" t="s">
        <v>17</v>
      </c>
      <c r="B1552" t="str">
        <f>"603900"</f>
        <v>603900</v>
      </c>
      <c r="C1552" t="s">
        <v>3412</v>
      </c>
      <c r="D1552" t="s">
        <v>1238</v>
      </c>
      <c r="F1552">
        <v>74247105</v>
      </c>
      <c r="G1552">
        <v>96154027</v>
      </c>
      <c r="H1552">
        <v>98742988</v>
      </c>
      <c r="I1552">
        <v>115039457</v>
      </c>
      <c r="J1552">
        <v>176645482</v>
      </c>
      <c r="K1552">
        <v>136879399</v>
      </c>
      <c r="L1552">
        <v>128663229</v>
      </c>
      <c r="M1552">
        <v>97154478</v>
      </c>
      <c r="N1552">
        <v>75379713</v>
      </c>
      <c r="P1552">
        <v>137</v>
      </c>
      <c r="Q1552" t="s">
        <v>3413</v>
      </c>
    </row>
    <row r="1553" spans="1:17" x14ac:dyDescent="0.3">
      <c r="A1553" t="s">
        <v>17</v>
      </c>
      <c r="B1553" t="str">
        <f>"603901"</f>
        <v>603901</v>
      </c>
      <c r="C1553" t="s">
        <v>3414</v>
      </c>
      <c r="D1553" t="s">
        <v>3415</v>
      </c>
      <c r="F1553">
        <v>475933126</v>
      </c>
      <c r="G1553">
        <v>413483117</v>
      </c>
      <c r="H1553">
        <v>393583756</v>
      </c>
      <c r="I1553">
        <v>406161954</v>
      </c>
      <c r="J1553">
        <v>379121154</v>
      </c>
      <c r="K1553">
        <v>266512856</v>
      </c>
      <c r="L1553">
        <v>203056672</v>
      </c>
      <c r="M1553">
        <v>184552514</v>
      </c>
      <c r="N1553">
        <v>186288698</v>
      </c>
      <c r="O1553">
        <v>128138669</v>
      </c>
      <c r="P1553">
        <v>140</v>
      </c>
      <c r="Q1553" t="s">
        <v>3416</v>
      </c>
    </row>
    <row r="1554" spans="1:17" x14ac:dyDescent="0.3">
      <c r="A1554" t="s">
        <v>17</v>
      </c>
      <c r="B1554" t="str">
        <f>"603903"</f>
        <v>603903</v>
      </c>
      <c r="C1554" t="s">
        <v>3417</v>
      </c>
      <c r="D1554" t="s">
        <v>33</v>
      </c>
      <c r="F1554">
        <v>651944851</v>
      </c>
      <c r="G1554">
        <v>436933460</v>
      </c>
      <c r="H1554">
        <v>477648024</v>
      </c>
      <c r="I1554">
        <v>459850167</v>
      </c>
      <c r="J1554">
        <v>247450066</v>
      </c>
      <c r="K1554">
        <v>165522906</v>
      </c>
      <c r="L1554">
        <v>169142610</v>
      </c>
      <c r="M1554">
        <v>118972743</v>
      </c>
      <c r="P1554">
        <v>119</v>
      </c>
      <c r="Q1554" t="s">
        <v>3418</v>
      </c>
    </row>
    <row r="1555" spans="1:17" x14ac:dyDescent="0.3">
      <c r="A1555" t="s">
        <v>17</v>
      </c>
      <c r="B1555" t="str">
        <f>"603906"</f>
        <v>603906</v>
      </c>
      <c r="C1555" t="s">
        <v>3419</v>
      </c>
      <c r="D1555" t="s">
        <v>386</v>
      </c>
      <c r="F1555">
        <v>857996553</v>
      </c>
      <c r="G1555">
        <v>238159335</v>
      </c>
      <c r="H1555">
        <v>229259799</v>
      </c>
      <c r="I1555">
        <v>201278474</v>
      </c>
      <c r="J1555">
        <v>173235106</v>
      </c>
      <c r="K1555">
        <v>140819524</v>
      </c>
      <c r="L1555">
        <v>106915370</v>
      </c>
      <c r="M1555">
        <v>101151324</v>
      </c>
      <c r="P1555">
        <v>185</v>
      </c>
      <c r="Q1555" t="s">
        <v>3420</v>
      </c>
    </row>
    <row r="1556" spans="1:17" x14ac:dyDescent="0.3">
      <c r="A1556" t="s">
        <v>17</v>
      </c>
      <c r="B1556" t="str">
        <f>"603908"</f>
        <v>603908</v>
      </c>
      <c r="C1556" t="s">
        <v>3421</v>
      </c>
      <c r="D1556" t="s">
        <v>330</v>
      </c>
      <c r="F1556">
        <v>85343716</v>
      </c>
      <c r="G1556">
        <v>67408516</v>
      </c>
      <c r="H1556">
        <v>37043190</v>
      </c>
      <c r="I1556">
        <v>36802685</v>
      </c>
      <c r="J1556">
        <v>27034763</v>
      </c>
      <c r="K1556">
        <v>25577243</v>
      </c>
      <c r="L1556">
        <v>35579309</v>
      </c>
      <c r="M1556">
        <v>55894126</v>
      </c>
      <c r="P1556">
        <v>114</v>
      </c>
      <c r="Q1556" t="s">
        <v>3422</v>
      </c>
    </row>
    <row r="1557" spans="1:17" x14ac:dyDescent="0.3">
      <c r="A1557" t="s">
        <v>17</v>
      </c>
      <c r="B1557" t="str">
        <f>"603909"</f>
        <v>603909</v>
      </c>
      <c r="C1557" t="s">
        <v>3423</v>
      </c>
      <c r="D1557" t="s">
        <v>1272</v>
      </c>
      <c r="F1557">
        <v>721620827</v>
      </c>
      <c r="G1557">
        <v>668171913</v>
      </c>
      <c r="H1557">
        <v>776869122</v>
      </c>
      <c r="I1557">
        <v>701690594</v>
      </c>
      <c r="J1557">
        <v>331453146</v>
      </c>
      <c r="K1557">
        <v>239232247</v>
      </c>
      <c r="L1557">
        <v>197106695</v>
      </c>
      <c r="M1557">
        <v>161510912</v>
      </c>
      <c r="N1557">
        <v>124486759</v>
      </c>
      <c r="P1557">
        <v>65</v>
      </c>
      <c r="Q1557" t="s">
        <v>3424</v>
      </c>
    </row>
    <row r="1558" spans="1:17" x14ac:dyDescent="0.3">
      <c r="A1558" t="s">
        <v>17</v>
      </c>
      <c r="B1558" t="str">
        <f>"603912"</f>
        <v>603912</v>
      </c>
      <c r="C1558" t="s">
        <v>3425</v>
      </c>
      <c r="D1558" t="s">
        <v>988</v>
      </c>
      <c r="F1558">
        <v>229209447</v>
      </c>
      <c r="G1558">
        <v>251307879</v>
      </c>
      <c r="H1558">
        <v>236275840</v>
      </c>
      <c r="I1558">
        <v>135077269</v>
      </c>
      <c r="J1558">
        <v>144905975</v>
      </c>
      <c r="K1558">
        <v>116862381</v>
      </c>
      <c r="L1558">
        <v>97601147</v>
      </c>
      <c r="M1558">
        <v>117773206</v>
      </c>
      <c r="P1558">
        <v>286</v>
      </c>
      <c r="Q1558" t="s">
        <v>3426</v>
      </c>
    </row>
    <row r="1559" spans="1:17" x14ac:dyDescent="0.3">
      <c r="A1559" t="s">
        <v>17</v>
      </c>
      <c r="B1559" t="str">
        <f>"603915"</f>
        <v>603915</v>
      </c>
      <c r="C1559" t="s">
        <v>3427</v>
      </c>
      <c r="D1559" t="s">
        <v>274</v>
      </c>
      <c r="F1559">
        <v>254666497</v>
      </c>
      <c r="G1559">
        <v>228928480</v>
      </c>
      <c r="H1559">
        <v>198375357</v>
      </c>
      <c r="I1559">
        <v>0</v>
      </c>
      <c r="J1559">
        <v>0</v>
      </c>
      <c r="K1559">
        <v>0</v>
      </c>
      <c r="P1559">
        <v>160</v>
      </c>
      <c r="Q1559" t="s">
        <v>3428</v>
      </c>
    </row>
    <row r="1560" spans="1:17" x14ac:dyDescent="0.3">
      <c r="A1560" t="s">
        <v>17</v>
      </c>
      <c r="B1560" t="str">
        <f>"603916"</f>
        <v>603916</v>
      </c>
      <c r="C1560" t="s">
        <v>3429</v>
      </c>
      <c r="D1560" t="s">
        <v>386</v>
      </c>
      <c r="F1560">
        <v>2767776008</v>
      </c>
      <c r="G1560">
        <v>1975939923</v>
      </c>
      <c r="H1560">
        <v>1777223828</v>
      </c>
      <c r="I1560">
        <v>1298823408</v>
      </c>
      <c r="J1560">
        <v>966631553</v>
      </c>
      <c r="K1560">
        <v>931154654</v>
      </c>
      <c r="L1560">
        <v>932480265</v>
      </c>
      <c r="M1560">
        <v>979895861</v>
      </c>
      <c r="P1560">
        <v>273</v>
      </c>
      <c r="Q1560" t="s">
        <v>3430</v>
      </c>
    </row>
    <row r="1561" spans="1:17" x14ac:dyDescent="0.3">
      <c r="A1561" t="s">
        <v>17</v>
      </c>
      <c r="B1561" t="str">
        <f>"603917"</f>
        <v>603917</v>
      </c>
      <c r="C1561" t="s">
        <v>3431</v>
      </c>
      <c r="D1561" t="s">
        <v>985</v>
      </c>
      <c r="F1561">
        <v>297596334</v>
      </c>
      <c r="G1561">
        <v>284720713</v>
      </c>
      <c r="H1561">
        <v>316578848</v>
      </c>
      <c r="I1561">
        <v>291363415</v>
      </c>
      <c r="J1561">
        <v>207129835</v>
      </c>
      <c r="K1561">
        <v>160351276</v>
      </c>
      <c r="L1561">
        <v>102569746</v>
      </c>
      <c r="M1561">
        <v>119951948</v>
      </c>
      <c r="P1561">
        <v>73</v>
      </c>
      <c r="Q1561" t="s">
        <v>3432</v>
      </c>
    </row>
    <row r="1562" spans="1:17" x14ac:dyDescent="0.3">
      <c r="A1562" t="s">
        <v>17</v>
      </c>
      <c r="B1562" t="str">
        <f>"603918"</f>
        <v>603918</v>
      </c>
      <c r="C1562" t="s">
        <v>3433</v>
      </c>
      <c r="D1562" t="s">
        <v>316</v>
      </c>
      <c r="F1562">
        <v>386185475</v>
      </c>
      <c r="G1562">
        <v>327122838</v>
      </c>
      <c r="H1562">
        <v>367827326</v>
      </c>
      <c r="I1562">
        <v>282468546</v>
      </c>
      <c r="J1562">
        <v>256838503</v>
      </c>
      <c r="K1562">
        <v>271129613</v>
      </c>
      <c r="L1562">
        <v>269589830</v>
      </c>
      <c r="M1562">
        <v>241654141</v>
      </c>
      <c r="N1562">
        <v>195389935</v>
      </c>
      <c r="O1562">
        <v>187419113</v>
      </c>
      <c r="P1562">
        <v>142</v>
      </c>
      <c r="Q1562" t="s">
        <v>3434</v>
      </c>
    </row>
    <row r="1563" spans="1:17" x14ac:dyDescent="0.3">
      <c r="A1563" t="s">
        <v>17</v>
      </c>
      <c r="B1563" t="str">
        <f>"603919"</f>
        <v>603919</v>
      </c>
      <c r="C1563" t="s">
        <v>3435</v>
      </c>
      <c r="D1563" t="s">
        <v>458</v>
      </c>
      <c r="F1563">
        <v>9202541</v>
      </c>
      <c r="G1563">
        <v>7883510</v>
      </c>
      <c r="H1563">
        <v>14358640</v>
      </c>
      <c r="I1563">
        <v>0</v>
      </c>
      <c r="J1563">
        <v>10984728</v>
      </c>
      <c r="K1563">
        <v>9671396</v>
      </c>
      <c r="L1563">
        <v>9121670</v>
      </c>
      <c r="M1563">
        <v>10870294</v>
      </c>
      <c r="N1563">
        <v>10416112</v>
      </c>
      <c r="P1563">
        <v>446</v>
      </c>
      <c r="Q1563" t="s">
        <v>3436</v>
      </c>
    </row>
    <row r="1564" spans="1:17" x14ac:dyDescent="0.3">
      <c r="A1564" t="s">
        <v>17</v>
      </c>
      <c r="B1564" t="str">
        <f>"603920"</f>
        <v>603920</v>
      </c>
      <c r="C1564" t="s">
        <v>3437</v>
      </c>
      <c r="D1564" t="s">
        <v>425</v>
      </c>
      <c r="F1564">
        <v>1156838714</v>
      </c>
      <c r="G1564">
        <v>727771282</v>
      </c>
      <c r="H1564">
        <v>686838222</v>
      </c>
      <c r="I1564">
        <v>567746612</v>
      </c>
      <c r="J1564">
        <v>486975491</v>
      </c>
      <c r="K1564">
        <v>405423044</v>
      </c>
      <c r="L1564">
        <v>301349538</v>
      </c>
      <c r="M1564">
        <v>232133940</v>
      </c>
      <c r="P1564">
        <v>267</v>
      </c>
      <c r="Q1564" t="s">
        <v>3438</v>
      </c>
    </row>
    <row r="1565" spans="1:17" x14ac:dyDescent="0.3">
      <c r="A1565" t="s">
        <v>17</v>
      </c>
      <c r="B1565" t="str">
        <f>"603922"</f>
        <v>603922</v>
      </c>
      <c r="C1565" t="s">
        <v>3439</v>
      </c>
      <c r="D1565" t="s">
        <v>985</v>
      </c>
      <c r="F1565">
        <v>160747143</v>
      </c>
      <c r="G1565">
        <v>154264677</v>
      </c>
      <c r="H1565">
        <v>224790250</v>
      </c>
      <c r="I1565">
        <v>227092524</v>
      </c>
      <c r="J1565">
        <v>251737333</v>
      </c>
      <c r="K1565">
        <v>226555018</v>
      </c>
      <c r="L1565">
        <v>218229479</v>
      </c>
      <c r="M1565">
        <v>220525732</v>
      </c>
      <c r="P1565">
        <v>54</v>
      </c>
      <c r="Q1565" t="s">
        <v>3440</v>
      </c>
    </row>
    <row r="1566" spans="1:17" x14ac:dyDescent="0.3">
      <c r="A1566" t="s">
        <v>17</v>
      </c>
      <c r="B1566" t="str">
        <f>"603926"</f>
        <v>603926</v>
      </c>
      <c r="C1566" t="s">
        <v>3441</v>
      </c>
      <c r="D1566" t="s">
        <v>348</v>
      </c>
      <c r="F1566">
        <v>350395644</v>
      </c>
      <c r="G1566">
        <v>246652288</v>
      </c>
      <c r="H1566">
        <v>214722495</v>
      </c>
      <c r="I1566">
        <v>150984492</v>
      </c>
      <c r="J1566">
        <v>113539966</v>
      </c>
      <c r="K1566">
        <v>94131723</v>
      </c>
      <c r="L1566">
        <v>67296224</v>
      </c>
      <c r="M1566">
        <v>85844639</v>
      </c>
      <c r="P1566">
        <v>104</v>
      </c>
      <c r="Q1566" t="s">
        <v>3442</v>
      </c>
    </row>
    <row r="1567" spans="1:17" x14ac:dyDescent="0.3">
      <c r="A1567" t="s">
        <v>17</v>
      </c>
      <c r="B1567" t="str">
        <f>"603927"</f>
        <v>603927</v>
      </c>
      <c r="C1567" t="s">
        <v>3443</v>
      </c>
      <c r="D1567" t="s">
        <v>945</v>
      </c>
      <c r="F1567">
        <v>1013218466</v>
      </c>
      <c r="G1567">
        <v>884558905</v>
      </c>
      <c r="H1567">
        <v>1148067504</v>
      </c>
      <c r="I1567">
        <v>1015480933</v>
      </c>
      <c r="J1567">
        <v>1185330996</v>
      </c>
      <c r="K1567">
        <v>923746305</v>
      </c>
      <c r="P1567">
        <v>821</v>
      </c>
      <c r="Q1567" t="s">
        <v>3444</v>
      </c>
    </row>
    <row r="1568" spans="1:17" x14ac:dyDescent="0.3">
      <c r="A1568" t="s">
        <v>17</v>
      </c>
      <c r="B1568" t="str">
        <f>"603928"</f>
        <v>603928</v>
      </c>
      <c r="C1568" t="s">
        <v>3445</v>
      </c>
      <c r="D1568" t="s">
        <v>3377</v>
      </c>
      <c r="F1568">
        <v>770689595</v>
      </c>
      <c r="G1568">
        <v>551518782</v>
      </c>
      <c r="H1568">
        <v>486422414</v>
      </c>
      <c r="I1568">
        <v>546152312</v>
      </c>
      <c r="J1568">
        <v>489090572</v>
      </c>
      <c r="K1568">
        <v>314565984</v>
      </c>
      <c r="L1568">
        <v>272044395</v>
      </c>
      <c r="M1568">
        <v>307062804</v>
      </c>
      <c r="N1568">
        <v>293194001</v>
      </c>
      <c r="P1568">
        <v>102</v>
      </c>
      <c r="Q1568" t="s">
        <v>3446</v>
      </c>
    </row>
    <row r="1569" spans="1:17" x14ac:dyDescent="0.3">
      <c r="A1569" t="s">
        <v>17</v>
      </c>
      <c r="B1569" t="str">
        <f>"603929"</f>
        <v>603929</v>
      </c>
      <c r="C1569" t="s">
        <v>3447</v>
      </c>
      <c r="D1569" t="s">
        <v>1992</v>
      </c>
      <c r="F1569">
        <v>573989885</v>
      </c>
      <c r="G1569">
        <v>220998970</v>
      </c>
      <c r="H1569">
        <v>865589882</v>
      </c>
      <c r="I1569">
        <v>640303882</v>
      </c>
      <c r="J1569">
        <v>608549727</v>
      </c>
      <c r="K1569">
        <v>313911317</v>
      </c>
      <c r="L1569">
        <v>385000665</v>
      </c>
      <c r="M1569">
        <v>368852380</v>
      </c>
      <c r="N1569">
        <v>406490593</v>
      </c>
      <c r="P1569">
        <v>109</v>
      </c>
      <c r="Q1569" t="s">
        <v>3448</v>
      </c>
    </row>
    <row r="1570" spans="1:17" x14ac:dyDescent="0.3">
      <c r="A1570" t="s">
        <v>17</v>
      </c>
      <c r="B1570" t="str">
        <f>"603931"</f>
        <v>603931</v>
      </c>
      <c r="C1570" t="s">
        <v>3449</v>
      </c>
      <c r="D1570" t="s">
        <v>2408</v>
      </c>
      <c r="F1570">
        <v>258516477</v>
      </c>
      <c r="G1570">
        <v>164746250</v>
      </c>
      <c r="H1570">
        <v>124208021</v>
      </c>
      <c r="I1570">
        <v>144923604</v>
      </c>
      <c r="J1570">
        <v>130278609</v>
      </c>
      <c r="P1570">
        <v>88</v>
      </c>
      <c r="Q1570" t="s">
        <v>3450</v>
      </c>
    </row>
    <row r="1571" spans="1:17" x14ac:dyDescent="0.3">
      <c r="A1571" t="s">
        <v>17</v>
      </c>
      <c r="B1571" t="str">
        <f>"603933"</f>
        <v>603933</v>
      </c>
      <c r="C1571" t="s">
        <v>3451</v>
      </c>
      <c r="D1571" t="s">
        <v>651</v>
      </c>
      <c r="F1571">
        <v>456560369</v>
      </c>
      <c r="G1571">
        <v>354991715</v>
      </c>
      <c r="H1571">
        <v>336872708</v>
      </c>
      <c r="I1571">
        <v>309669343</v>
      </c>
      <c r="J1571">
        <v>250612556</v>
      </c>
      <c r="K1571">
        <v>212005488</v>
      </c>
      <c r="L1571">
        <v>172521427</v>
      </c>
      <c r="M1571">
        <v>132334274</v>
      </c>
      <c r="P1571">
        <v>122</v>
      </c>
      <c r="Q1571" t="s">
        <v>3452</v>
      </c>
    </row>
    <row r="1572" spans="1:17" x14ac:dyDescent="0.3">
      <c r="A1572" t="s">
        <v>17</v>
      </c>
      <c r="B1572" t="str">
        <f>"603936"</f>
        <v>603936</v>
      </c>
      <c r="C1572" t="s">
        <v>3453</v>
      </c>
      <c r="D1572" t="s">
        <v>425</v>
      </c>
      <c r="F1572">
        <v>1162628749</v>
      </c>
      <c r="G1572">
        <v>864655345</v>
      </c>
      <c r="H1572">
        <v>772969714</v>
      </c>
      <c r="I1572">
        <v>504992433</v>
      </c>
      <c r="J1572">
        <v>398206131</v>
      </c>
      <c r="K1572">
        <v>301448002</v>
      </c>
      <c r="L1572">
        <v>334629657</v>
      </c>
      <c r="M1572">
        <v>228648082</v>
      </c>
      <c r="N1572">
        <v>227912183</v>
      </c>
      <c r="O1572">
        <v>208565087</v>
      </c>
      <c r="P1572">
        <v>222</v>
      </c>
      <c r="Q1572" t="s">
        <v>3454</v>
      </c>
    </row>
    <row r="1573" spans="1:17" x14ac:dyDescent="0.3">
      <c r="A1573" t="s">
        <v>17</v>
      </c>
      <c r="B1573" t="str">
        <f>"603937"</f>
        <v>603937</v>
      </c>
      <c r="C1573" t="s">
        <v>3455</v>
      </c>
      <c r="D1573" t="s">
        <v>504</v>
      </c>
      <c r="F1573">
        <v>217639482</v>
      </c>
      <c r="G1573">
        <v>175007700</v>
      </c>
      <c r="H1573">
        <v>169451616</v>
      </c>
      <c r="I1573">
        <v>176446625</v>
      </c>
      <c r="J1573">
        <v>177615495</v>
      </c>
      <c r="K1573">
        <v>201029849</v>
      </c>
      <c r="L1573">
        <v>178194325</v>
      </c>
      <c r="M1573">
        <v>156599346</v>
      </c>
      <c r="P1573">
        <v>61</v>
      </c>
      <c r="Q1573" t="s">
        <v>3456</v>
      </c>
    </row>
    <row r="1574" spans="1:17" x14ac:dyDescent="0.3">
      <c r="A1574" t="s">
        <v>17</v>
      </c>
      <c r="B1574" t="str">
        <f>"603938"</f>
        <v>603938</v>
      </c>
      <c r="C1574" t="s">
        <v>3457</v>
      </c>
      <c r="D1574" t="s">
        <v>3458</v>
      </c>
      <c r="F1574">
        <v>77436154</v>
      </c>
      <c r="G1574">
        <v>42049440</v>
      </c>
      <c r="H1574">
        <v>39357966</v>
      </c>
      <c r="I1574">
        <v>68475722</v>
      </c>
      <c r="J1574">
        <v>42164211</v>
      </c>
      <c r="K1574">
        <v>36492316</v>
      </c>
      <c r="L1574">
        <v>42566955</v>
      </c>
      <c r="M1574">
        <v>34341641</v>
      </c>
      <c r="P1574">
        <v>102</v>
      </c>
      <c r="Q1574" t="s">
        <v>3459</v>
      </c>
    </row>
    <row r="1575" spans="1:17" x14ac:dyDescent="0.3">
      <c r="A1575" t="s">
        <v>17</v>
      </c>
      <c r="B1575" t="str">
        <f>"603939"</f>
        <v>603939</v>
      </c>
      <c r="C1575" t="s">
        <v>3460</v>
      </c>
      <c r="D1575" t="s">
        <v>1686</v>
      </c>
      <c r="F1575">
        <v>1076922445</v>
      </c>
      <c r="G1575">
        <v>830297375</v>
      </c>
      <c r="H1575">
        <v>750235295</v>
      </c>
      <c r="I1575">
        <v>604706228</v>
      </c>
      <c r="J1575">
        <v>338598312</v>
      </c>
      <c r="K1575">
        <v>246863352</v>
      </c>
      <c r="L1575">
        <v>182383341</v>
      </c>
      <c r="M1575">
        <v>108717215</v>
      </c>
      <c r="N1575">
        <v>80884208</v>
      </c>
      <c r="O1575">
        <v>54916668</v>
      </c>
      <c r="P1575">
        <v>1482</v>
      </c>
      <c r="Q1575" t="s">
        <v>3461</v>
      </c>
    </row>
    <row r="1576" spans="1:17" x14ac:dyDescent="0.3">
      <c r="A1576" t="s">
        <v>17</v>
      </c>
      <c r="B1576" t="str">
        <f>"603948"</f>
        <v>603948</v>
      </c>
      <c r="C1576" t="s">
        <v>3462</v>
      </c>
      <c r="D1576" t="s">
        <v>386</v>
      </c>
      <c r="F1576">
        <v>129198499</v>
      </c>
      <c r="G1576">
        <v>87282688</v>
      </c>
      <c r="H1576">
        <v>115196739</v>
      </c>
      <c r="I1576">
        <v>89086382</v>
      </c>
      <c r="J1576">
        <v>60064620</v>
      </c>
      <c r="P1576">
        <v>60</v>
      </c>
      <c r="Q1576" t="s">
        <v>3463</v>
      </c>
    </row>
    <row r="1577" spans="1:17" x14ac:dyDescent="0.3">
      <c r="A1577" t="s">
        <v>17</v>
      </c>
      <c r="B1577" t="str">
        <f>"603949"</f>
        <v>603949</v>
      </c>
      <c r="C1577" t="s">
        <v>3464</v>
      </c>
      <c r="D1577" t="s">
        <v>348</v>
      </c>
      <c r="F1577">
        <v>100732027</v>
      </c>
      <c r="G1577">
        <v>110877523</v>
      </c>
      <c r="H1577">
        <v>123509263</v>
      </c>
      <c r="I1577">
        <v>92059078</v>
      </c>
      <c r="J1577">
        <v>102810736</v>
      </c>
      <c r="K1577">
        <v>102356695</v>
      </c>
      <c r="P1577">
        <v>158</v>
      </c>
      <c r="Q1577" t="s">
        <v>3465</v>
      </c>
    </row>
    <row r="1578" spans="1:17" x14ac:dyDescent="0.3">
      <c r="A1578" t="s">
        <v>17</v>
      </c>
      <c r="B1578" t="str">
        <f>"603950"</f>
        <v>603950</v>
      </c>
      <c r="C1578" t="s">
        <v>3466</v>
      </c>
      <c r="D1578" t="s">
        <v>348</v>
      </c>
      <c r="F1578">
        <v>340931057</v>
      </c>
      <c r="G1578">
        <v>548479236</v>
      </c>
      <c r="H1578">
        <v>406701968</v>
      </c>
      <c r="I1578">
        <v>291241145</v>
      </c>
      <c r="J1578">
        <v>331097981</v>
      </c>
      <c r="P1578">
        <v>97</v>
      </c>
      <c r="Q1578" t="s">
        <v>3467</v>
      </c>
    </row>
    <row r="1579" spans="1:17" x14ac:dyDescent="0.3">
      <c r="A1579" t="s">
        <v>17</v>
      </c>
      <c r="B1579" t="str">
        <f>"603955"</f>
        <v>603955</v>
      </c>
      <c r="C1579" t="s">
        <v>3468</v>
      </c>
      <c r="D1579" t="s">
        <v>2417</v>
      </c>
      <c r="F1579">
        <v>491621480</v>
      </c>
      <c r="G1579">
        <v>382388854</v>
      </c>
      <c r="H1579">
        <v>427248118</v>
      </c>
      <c r="I1579">
        <v>408940758</v>
      </c>
      <c r="J1579">
        <v>318583995</v>
      </c>
      <c r="K1579">
        <v>286310912</v>
      </c>
      <c r="L1579">
        <v>367011345</v>
      </c>
      <c r="M1579">
        <v>281785650</v>
      </c>
      <c r="N1579">
        <v>186383551</v>
      </c>
      <c r="P1579">
        <v>60</v>
      </c>
      <c r="Q1579" t="s">
        <v>3469</v>
      </c>
    </row>
    <row r="1580" spans="1:17" x14ac:dyDescent="0.3">
      <c r="A1580" t="s">
        <v>17</v>
      </c>
      <c r="B1580" t="str">
        <f>"603956"</f>
        <v>603956</v>
      </c>
      <c r="C1580" t="s">
        <v>3470</v>
      </c>
      <c r="D1580" t="s">
        <v>741</v>
      </c>
      <c r="F1580">
        <v>856179410</v>
      </c>
      <c r="G1580">
        <v>601201282</v>
      </c>
      <c r="H1580">
        <v>503116944</v>
      </c>
      <c r="I1580">
        <v>358330723</v>
      </c>
      <c r="J1580">
        <v>0</v>
      </c>
      <c r="K1580">
        <v>0</v>
      </c>
      <c r="L1580">
        <v>0</v>
      </c>
      <c r="P1580">
        <v>181</v>
      </c>
      <c r="Q1580" t="s">
        <v>3471</v>
      </c>
    </row>
    <row r="1581" spans="1:17" x14ac:dyDescent="0.3">
      <c r="A1581" t="s">
        <v>17</v>
      </c>
      <c r="B1581" t="str">
        <f>"603958"</f>
        <v>603958</v>
      </c>
      <c r="C1581" t="s">
        <v>3472</v>
      </c>
      <c r="D1581" t="s">
        <v>330</v>
      </c>
      <c r="F1581">
        <v>121563662</v>
      </c>
      <c r="G1581">
        <v>71967050</v>
      </c>
      <c r="H1581">
        <v>111623449</v>
      </c>
      <c r="I1581">
        <v>0</v>
      </c>
      <c r="J1581">
        <v>133500720</v>
      </c>
      <c r="K1581">
        <v>138246634</v>
      </c>
      <c r="L1581">
        <v>151445337</v>
      </c>
      <c r="M1581">
        <v>164416353</v>
      </c>
      <c r="N1581">
        <v>195917271</v>
      </c>
      <c r="P1581">
        <v>67</v>
      </c>
      <c r="Q1581" t="s">
        <v>3473</v>
      </c>
    </row>
    <row r="1582" spans="1:17" x14ac:dyDescent="0.3">
      <c r="A1582" t="s">
        <v>17</v>
      </c>
      <c r="B1582" t="str">
        <f>"603959"</f>
        <v>603959</v>
      </c>
      <c r="C1582" t="s">
        <v>3474</v>
      </c>
      <c r="D1582" t="s">
        <v>2025</v>
      </c>
      <c r="F1582">
        <v>532828755</v>
      </c>
      <c r="G1582">
        <v>709285073</v>
      </c>
      <c r="H1582">
        <v>686516796</v>
      </c>
      <c r="I1582">
        <v>678430085</v>
      </c>
      <c r="J1582">
        <v>770068594</v>
      </c>
      <c r="K1582">
        <v>739551218</v>
      </c>
      <c r="L1582">
        <v>546629851</v>
      </c>
      <c r="M1582">
        <v>642221486</v>
      </c>
      <c r="N1582">
        <v>425202722</v>
      </c>
      <c r="O1582">
        <v>204556643</v>
      </c>
      <c r="P1582">
        <v>80</v>
      </c>
      <c r="Q1582" t="s">
        <v>3475</v>
      </c>
    </row>
    <row r="1583" spans="1:17" x14ac:dyDescent="0.3">
      <c r="A1583" t="s">
        <v>17</v>
      </c>
      <c r="B1583" t="str">
        <f>"603960"</f>
        <v>603960</v>
      </c>
      <c r="C1583" t="s">
        <v>3476</v>
      </c>
      <c r="D1583" t="s">
        <v>3477</v>
      </c>
      <c r="F1583">
        <v>158385434</v>
      </c>
      <c r="G1583">
        <v>127432389</v>
      </c>
      <c r="H1583">
        <v>157446158</v>
      </c>
      <c r="I1583">
        <v>151429939</v>
      </c>
      <c r="J1583">
        <v>75736809</v>
      </c>
      <c r="K1583">
        <v>52042840</v>
      </c>
      <c r="L1583">
        <v>79891203</v>
      </c>
      <c r="M1583">
        <v>59461137</v>
      </c>
      <c r="P1583">
        <v>383</v>
      </c>
      <c r="Q1583" t="s">
        <v>3478</v>
      </c>
    </row>
    <row r="1584" spans="1:17" x14ac:dyDescent="0.3">
      <c r="A1584" t="s">
        <v>17</v>
      </c>
      <c r="B1584" t="str">
        <f>"603963"</f>
        <v>603963</v>
      </c>
      <c r="C1584" t="s">
        <v>3479</v>
      </c>
      <c r="D1584" t="s">
        <v>188</v>
      </c>
      <c r="F1584">
        <v>8046246</v>
      </c>
      <c r="G1584">
        <v>9708638</v>
      </c>
      <c r="H1584">
        <v>17384340</v>
      </c>
      <c r="I1584">
        <v>34916162</v>
      </c>
      <c r="J1584">
        <v>16336022</v>
      </c>
      <c r="K1584">
        <v>140298</v>
      </c>
      <c r="L1584">
        <v>0</v>
      </c>
      <c r="M1584">
        <v>0</v>
      </c>
      <c r="P1584">
        <v>109</v>
      </c>
      <c r="Q1584" t="s">
        <v>3480</v>
      </c>
    </row>
    <row r="1585" spans="1:17" x14ac:dyDescent="0.3">
      <c r="A1585" t="s">
        <v>17</v>
      </c>
      <c r="B1585" t="str">
        <f>"603966"</f>
        <v>603966</v>
      </c>
      <c r="C1585" t="s">
        <v>3481</v>
      </c>
      <c r="D1585" t="s">
        <v>395</v>
      </c>
      <c r="F1585">
        <v>411626393</v>
      </c>
      <c r="G1585">
        <v>274949427</v>
      </c>
      <c r="H1585">
        <v>288327280</v>
      </c>
      <c r="I1585">
        <v>310821258</v>
      </c>
      <c r="J1585">
        <v>253861346</v>
      </c>
      <c r="K1585">
        <v>202956871</v>
      </c>
      <c r="L1585">
        <v>148938679</v>
      </c>
      <c r="M1585">
        <v>121591088</v>
      </c>
      <c r="N1585">
        <v>150271556</v>
      </c>
      <c r="P1585">
        <v>122</v>
      </c>
      <c r="Q1585" t="s">
        <v>3482</v>
      </c>
    </row>
    <row r="1586" spans="1:17" x14ac:dyDescent="0.3">
      <c r="A1586" t="s">
        <v>17</v>
      </c>
      <c r="B1586" t="str">
        <f>"603967"</f>
        <v>603967</v>
      </c>
      <c r="C1586" t="s">
        <v>3483</v>
      </c>
      <c r="D1586" t="s">
        <v>287</v>
      </c>
      <c r="F1586">
        <v>1404694135</v>
      </c>
      <c r="G1586">
        <v>709306300</v>
      </c>
      <c r="H1586">
        <v>568035830</v>
      </c>
      <c r="I1586">
        <v>524629990</v>
      </c>
      <c r="J1586">
        <v>477124699</v>
      </c>
      <c r="K1586">
        <v>457106425</v>
      </c>
      <c r="P1586">
        <v>85</v>
      </c>
      <c r="Q1586" t="s">
        <v>3484</v>
      </c>
    </row>
    <row r="1587" spans="1:17" x14ac:dyDescent="0.3">
      <c r="A1587" t="s">
        <v>17</v>
      </c>
      <c r="B1587" t="str">
        <f>"603968"</f>
        <v>603968</v>
      </c>
      <c r="C1587" t="s">
        <v>3485</v>
      </c>
      <c r="D1587" t="s">
        <v>677</v>
      </c>
      <c r="F1587">
        <v>357804591</v>
      </c>
      <c r="G1587">
        <v>241149622</v>
      </c>
      <c r="H1587">
        <v>281333988</v>
      </c>
      <c r="I1587">
        <v>177665808</v>
      </c>
      <c r="J1587">
        <v>174126095</v>
      </c>
      <c r="K1587">
        <v>179650663</v>
      </c>
      <c r="L1587">
        <v>144836834</v>
      </c>
      <c r="M1587">
        <v>131654195</v>
      </c>
      <c r="N1587">
        <v>125828799</v>
      </c>
      <c r="O1587">
        <v>108126529</v>
      </c>
      <c r="P1587">
        <v>244</v>
      </c>
      <c r="Q1587" t="s">
        <v>3486</v>
      </c>
    </row>
    <row r="1588" spans="1:17" x14ac:dyDescent="0.3">
      <c r="A1588" t="s">
        <v>17</v>
      </c>
      <c r="B1588" t="str">
        <f>"603969"</f>
        <v>603969</v>
      </c>
      <c r="C1588" t="s">
        <v>3487</v>
      </c>
      <c r="D1588" t="s">
        <v>274</v>
      </c>
      <c r="F1588">
        <v>1301175071</v>
      </c>
      <c r="G1588">
        <v>1049014143</v>
      </c>
      <c r="H1588">
        <v>1138852276</v>
      </c>
      <c r="I1588">
        <v>1006489583</v>
      </c>
      <c r="J1588">
        <v>906551617</v>
      </c>
      <c r="K1588">
        <v>680119595</v>
      </c>
      <c r="L1588">
        <v>515736671</v>
      </c>
      <c r="M1588">
        <v>439521576</v>
      </c>
      <c r="N1588">
        <v>510812951</v>
      </c>
      <c r="O1588">
        <v>374729576</v>
      </c>
      <c r="P1588">
        <v>94</v>
      </c>
      <c r="Q1588" t="s">
        <v>3488</v>
      </c>
    </row>
    <row r="1589" spans="1:17" x14ac:dyDescent="0.3">
      <c r="A1589" t="s">
        <v>17</v>
      </c>
      <c r="B1589" t="str">
        <f>"603970"</f>
        <v>603970</v>
      </c>
      <c r="C1589" t="s">
        <v>3489</v>
      </c>
      <c r="D1589" t="s">
        <v>853</v>
      </c>
      <c r="F1589">
        <v>118427438</v>
      </c>
      <c r="G1589">
        <v>469270487</v>
      </c>
      <c r="H1589">
        <v>219030679</v>
      </c>
      <c r="I1589">
        <v>249501578</v>
      </c>
      <c r="J1589">
        <v>206634600</v>
      </c>
      <c r="K1589">
        <v>313354609</v>
      </c>
      <c r="L1589">
        <v>301002169</v>
      </c>
      <c r="M1589">
        <v>130331972</v>
      </c>
      <c r="P1589">
        <v>90</v>
      </c>
      <c r="Q1589" t="s">
        <v>3490</v>
      </c>
    </row>
    <row r="1590" spans="1:17" x14ac:dyDescent="0.3">
      <c r="A1590" t="s">
        <v>17</v>
      </c>
      <c r="B1590" t="str">
        <f>"603976"</f>
        <v>603976</v>
      </c>
      <c r="C1590" t="s">
        <v>3491</v>
      </c>
      <c r="D1590" t="s">
        <v>1077</v>
      </c>
      <c r="F1590">
        <v>136507735</v>
      </c>
      <c r="G1590">
        <v>109556041</v>
      </c>
      <c r="H1590">
        <v>111794757</v>
      </c>
      <c r="I1590">
        <v>118884442</v>
      </c>
      <c r="J1590">
        <v>75237546</v>
      </c>
      <c r="K1590">
        <v>70904076</v>
      </c>
      <c r="L1590">
        <v>66364671</v>
      </c>
      <c r="M1590">
        <v>51424862</v>
      </c>
      <c r="P1590">
        <v>216</v>
      </c>
      <c r="Q1590" t="s">
        <v>3492</v>
      </c>
    </row>
    <row r="1591" spans="1:17" x14ac:dyDescent="0.3">
      <c r="A1591" t="s">
        <v>17</v>
      </c>
      <c r="B1591" t="str">
        <f>"603977"</f>
        <v>603977</v>
      </c>
      <c r="C1591" t="s">
        <v>3493</v>
      </c>
      <c r="D1591" t="s">
        <v>2736</v>
      </c>
      <c r="F1591">
        <v>567066656</v>
      </c>
      <c r="G1591">
        <v>398582314</v>
      </c>
      <c r="H1591">
        <v>295382871</v>
      </c>
      <c r="I1591">
        <v>115903759</v>
      </c>
      <c r="J1591">
        <v>54636570</v>
      </c>
      <c r="K1591">
        <v>54150392</v>
      </c>
      <c r="L1591">
        <v>43337259</v>
      </c>
      <c r="M1591">
        <v>35603088</v>
      </c>
      <c r="N1591">
        <v>31297274</v>
      </c>
      <c r="P1591">
        <v>87</v>
      </c>
      <c r="Q1591" t="s">
        <v>3494</v>
      </c>
    </row>
    <row r="1592" spans="1:17" x14ac:dyDescent="0.3">
      <c r="A1592" t="s">
        <v>17</v>
      </c>
      <c r="B1592" t="str">
        <f>"603978"</f>
        <v>603978</v>
      </c>
      <c r="C1592" t="s">
        <v>3495</v>
      </c>
      <c r="D1592" t="s">
        <v>581</v>
      </c>
      <c r="F1592">
        <v>361065681</v>
      </c>
      <c r="G1592">
        <v>318655628</v>
      </c>
      <c r="H1592">
        <v>260578130</v>
      </c>
      <c r="I1592">
        <v>271334645</v>
      </c>
      <c r="J1592">
        <v>239379674</v>
      </c>
      <c r="K1592">
        <v>205904267</v>
      </c>
      <c r="L1592">
        <v>138869550</v>
      </c>
      <c r="M1592">
        <v>153890656</v>
      </c>
      <c r="P1592">
        <v>112</v>
      </c>
      <c r="Q1592" t="s">
        <v>3496</v>
      </c>
    </row>
    <row r="1593" spans="1:17" x14ac:dyDescent="0.3">
      <c r="A1593" t="s">
        <v>17</v>
      </c>
      <c r="B1593" t="str">
        <f>"603979"</f>
        <v>603979</v>
      </c>
      <c r="C1593" t="s">
        <v>3497</v>
      </c>
      <c r="D1593" t="s">
        <v>1992</v>
      </c>
      <c r="F1593">
        <v>1996531162</v>
      </c>
      <c r="G1593">
        <v>1953279994</v>
      </c>
      <c r="H1593">
        <v>1886078031</v>
      </c>
      <c r="I1593">
        <v>2189110126</v>
      </c>
      <c r="J1593">
        <v>2087453149</v>
      </c>
      <c r="K1593">
        <v>1966340977</v>
      </c>
      <c r="L1593">
        <v>1581395102</v>
      </c>
      <c r="M1593">
        <v>1269497098</v>
      </c>
      <c r="N1593">
        <v>851031437</v>
      </c>
      <c r="O1593">
        <v>682027417</v>
      </c>
      <c r="P1593">
        <v>122</v>
      </c>
      <c r="Q1593" t="s">
        <v>3498</v>
      </c>
    </row>
    <row r="1594" spans="1:17" x14ac:dyDescent="0.3">
      <c r="A1594" t="s">
        <v>17</v>
      </c>
      <c r="B1594" t="str">
        <f>"603980"</f>
        <v>603980</v>
      </c>
      <c r="C1594" t="s">
        <v>3499</v>
      </c>
      <c r="D1594" t="s">
        <v>779</v>
      </c>
      <c r="F1594">
        <v>279753816</v>
      </c>
      <c r="G1594">
        <v>174656290</v>
      </c>
      <c r="H1594">
        <v>248142394</v>
      </c>
      <c r="I1594">
        <v>315630971</v>
      </c>
      <c r="J1594">
        <v>231586621</v>
      </c>
      <c r="K1594">
        <v>306127932</v>
      </c>
      <c r="L1594">
        <v>314728803</v>
      </c>
      <c r="M1594">
        <v>254673781</v>
      </c>
      <c r="P1594">
        <v>195</v>
      </c>
      <c r="Q1594" t="s">
        <v>3500</v>
      </c>
    </row>
    <row r="1595" spans="1:17" x14ac:dyDescent="0.3">
      <c r="A1595" t="s">
        <v>17</v>
      </c>
      <c r="B1595" t="str">
        <f>"603982"</f>
        <v>603982</v>
      </c>
      <c r="C1595" t="s">
        <v>3501</v>
      </c>
      <c r="D1595" t="s">
        <v>348</v>
      </c>
      <c r="F1595">
        <v>440602466</v>
      </c>
      <c r="G1595">
        <v>371442743</v>
      </c>
      <c r="H1595">
        <v>300809383</v>
      </c>
      <c r="I1595">
        <v>0</v>
      </c>
      <c r="J1595">
        <v>0</v>
      </c>
      <c r="K1595">
        <v>0</v>
      </c>
      <c r="P1595">
        <v>122</v>
      </c>
      <c r="Q1595" t="s">
        <v>3502</v>
      </c>
    </row>
    <row r="1596" spans="1:17" x14ac:dyDescent="0.3">
      <c r="A1596" t="s">
        <v>17</v>
      </c>
      <c r="B1596" t="str">
        <f>"603983"</f>
        <v>603983</v>
      </c>
      <c r="C1596" t="s">
        <v>3503</v>
      </c>
      <c r="D1596" t="s">
        <v>709</v>
      </c>
      <c r="F1596">
        <v>57397828</v>
      </c>
      <c r="G1596">
        <v>5224325</v>
      </c>
      <c r="H1596">
        <v>1805569</v>
      </c>
      <c r="I1596">
        <v>2898481</v>
      </c>
      <c r="J1596">
        <v>9169078</v>
      </c>
      <c r="K1596">
        <v>29263727</v>
      </c>
      <c r="P1596">
        <v>898</v>
      </c>
      <c r="Q1596" t="s">
        <v>3504</v>
      </c>
    </row>
    <row r="1597" spans="1:17" x14ac:dyDescent="0.3">
      <c r="A1597" t="s">
        <v>17</v>
      </c>
      <c r="B1597" t="str">
        <f>"603985"</f>
        <v>603985</v>
      </c>
      <c r="C1597" t="s">
        <v>3505</v>
      </c>
      <c r="D1597" t="s">
        <v>274</v>
      </c>
      <c r="F1597">
        <v>361872179</v>
      </c>
      <c r="G1597">
        <v>329477904</v>
      </c>
      <c r="H1597">
        <v>336645500</v>
      </c>
      <c r="I1597">
        <v>348540818</v>
      </c>
      <c r="J1597">
        <v>185130026</v>
      </c>
      <c r="K1597">
        <v>176922772</v>
      </c>
      <c r="L1597">
        <v>149687758</v>
      </c>
      <c r="M1597">
        <v>174087954</v>
      </c>
      <c r="P1597">
        <v>218</v>
      </c>
      <c r="Q1597" t="s">
        <v>3506</v>
      </c>
    </row>
    <row r="1598" spans="1:17" x14ac:dyDescent="0.3">
      <c r="A1598" t="s">
        <v>17</v>
      </c>
      <c r="B1598" t="str">
        <f>"603986"</f>
        <v>603986</v>
      </c>
      <c r="C1598" t="s">
        <v>3507</v>
      </c>
      <c r="D1598" t="s">
        <v>461</v>
      </c>
      <c r="F1598">
        <v>281756663</v>
      </c>
      <c r="G1598">
        <v>172164316</v>
      </c>
      <c r="H1598">
        <v>186770449</v>
      </c>
      <c r="I1598">
        <v>103305492</v>
      </c>
      <c r="J1598">
        <v>93987436</v>
      </c>
      <c r="K1598">
        <v>103144755</v>
      </c>
      <c r="L1598">
        <v>126952380</v>
      </c>
      <c r="M1598">
        <v>104806810</v>
      </c>
      <c r="N1598">
        <v>44282690</v>
      </c>
      <c r="P1598">
        <v>2706</v>
      </c>
      <c r="Q1598" t="s">
        <v>3508</v>
      </c>
    </row>
    <row r="1599" spans="1:17" x14ac:dyDescent="0.3">
      <c r="A1599" t="s">
        <v>17</v>
      </c>
      <c r="B1599" t="str">
        <f>"603987"</f>
        <v>603987</v>
      </c>
      <c r="C1599" t="s">
        <v>3509</v>
      </c>
      <c r="D1599" t="s">
        <v>1077</v>
      </c>
      <c r="F1599">
        <v>899386066</v>
      </c>
      <c r="G1599">
        <v>677632688</v>
      </c>
      <c r="H1599">
        <v>569311257</v>
      </c>
      <c r="I1599">
        <v>222921842</v>
      </c>
      <c r="J1599">
        <v>188038242</v>
      </c>
      <c r="K1599">
        <v>202986152</v>
      </c>
      <c r="L1599">
        <v>201129113</v>
      </c>
      <c r="M1599">
        <v>185538648</v>
      </c>
      <c r="N1599">
        <v>160732840</v>
      </c>
      <c r="P1599">
        <v>266</v>
      </c>
      <c r="Q1599" t="s">
        <v>3510</v>
      </c>
    </row>
    <row r="1600" spans="1:17" x14ac:dyDescent="0.3">
      <c r="A1600" t="s">
        <v>17</v>
      </c>
      <c r="B1600" t="str">
        <f>"603988"</f>
        <v>603988</v>
      </c>
      <c r="C1600" t="s">
        <v>3511</v>
      </c>
      <c r="D1600" t="s">
        <v>1171</v>
      </c>
      <c r="F1600">
        <v>323128407</v>
      </c>
      <c r="G1600">
        <v>200905338</v>
      </c>
      <c r="H1600">
        <v>165534294</v>
      </c>
      <c r="I1600">
        <v>132647445</v>
      </c>
      <c r="J1600">
        <v>139287726</v>
      </c>
      <c r="K1600">
        <v>145876328</v>
      </c>
      <c r="L1600">
        <v>145028847</v>
      </c>
      <c r="M1600">
        <v>136214055</v>
      </c>
      <c r="N1600">
        <v>127762866</v>
      </c>
      <c r="O1600">
        <v>94324247</v>
      </c>
      <c r="P1600">
        <v>192</v>
      </c>
      <c r="Q1600" t="s">
        <v>3512</v>
      </c>
    </row>
    <row r="1601" spans="1:17" x14ac:dyDescent="0.3">
      <c r="A1601" t="s">
        <v>17</v>
      </c>
      <c r="B1601" t="str">
        <f>"603989"</f>
        <v>603989</v>
      </c>
      <c r="C1601" t="s">
        <v>3513</v>
      </c>
      <c r="D1601" t="s">
        <v>546</v>
      </c>
      <c r="F1601">
        <v>939466419</v>
      </c>
      <c r="G1601">
        <v>797981836</v>
      </c>
      <c r="H1601">
        <v>692840002</v>
      </c>
      <c r="I1601">
        <v>592530018</v>
      </c>
      <c r="J1601">
        <v>534119423</v>
      </c>
      <c r="K1601">
        <v>496392725</v>
      </c>
      <c r="L1601">
        <v>350565032</v>
      </c>
      <c r="M1601">
        <v>298231308</v>
      </c>
      <c r="N1601">
        <v>327483839</v>
      </c>
      <c r="O1601">
        <v>252182890</v>
      </c>
      <c r="P1601">
        <v>12177</v>
      </c>
      <c r="Q1601" t="s">
        <v>3514</v>
      </c>
    </row>
    <row r="1602" spans="1:17" x14ac:dyDescent="0.3">
      <c r="A1602" t="s">
        <v>17</v>
      </c>
      <c r="B1602" t="str">
        <f>"603990"</f>
        <v>603990</v>
      </c>
      <c r="C1602" t="s">
        <v>3515</v>
      </c>
      <c r="D1602" t="s">
        <v>945</v>
      </c>
      <c r="F1602">
        <v>250383730</v>
      </c>
      <c r="G1602">
        <v>249853388</v>
      </c>
      <c r="H1602">
        <v>275613558</v>
      </c>
      <c r="I1602">
        <v>227377255</v>
      </c>
      <c r="J1602">
        <v>193403589</v>
      </c>
      <c r="K1602">
        <v>147416052</v>
      </c>
      <c r="L1602">
        <v>102843172</v>
      </c>
      <c r="M1602">
        <v>74536037</v>
      </c>
      <c r="N1602">
        <v>74107101</v>
      </c>
      <c r="P1602">
        <v>143</v>
      </c>
      <c r="Q1602" t="s">
        <v>3516</v>
      </c>
    </row>
    <row r="1603" spans="1:17" x14ac:dyDescent="0.3">
      <c r="A1603" t="s">
        <v>17</v>
      </c>
      <c r="B1603" t="str">
        <f>"603991"</f>
        <v>603991</v>
      </c>
      <c r="C1603" t="s">
        <v>3517</v>
      </c>
      <c r="D1603" t="s">
        <v>1192</v>
      </c>
      <c r="F1603">
        <v>75419712</v>
      </c>
      <c r="G1603">
        <v>179510723</v>
      </c>
      <c r="H1603">
        <v>260570771</v>
      </c>
      <c r="I1603">
        <v>267254646</v>
      </c>
      <c r="J1603">
        <v>192235801</v>
      </c>
      <c r="K1603">
        <v>155501024</v>
      </c>
      <c r="L1603">
        <v>133146442</v>
      </c>
      <c r="M1603">
        <v>104578423</v>
      </c>
      <c r="P1603">
        <v>96</v>
      </c>
      <c r="Q1603" t="s">
        <v>3518</v>
      </c>
    </row>
    <row r="1604" spans="1:17" x14ac:dyDescent="0.3">
      <c r="A1604" t="s">
        <v>17</v>
      </c>
      <c r="B1604" t="str">
        <f>"603992"</f>
        <v>603992</v>
      </c>
      <c r="C1604" t="s">
        <v>3519</v>
      </c>
      <c r="D1604" t="s">
        <v>2912</v>
      </c>
      <c r="F1604">
        <v>675515677</v>
      </c>
      <c r="G1604">
        <v>429952822</v>
      </c>
      <c r="H1604">
        <v>342507743</v>
      </c>
      <c r="I1604">
        <v>300320068</v>
      </c>
      <c r="J1604">
        <v>288558024</v>
      </c>
      <c r="K1604">
        <v>259256733</v>
      </c>
      <c r="P1604">
        <v>120</v>
      </c>
      <c r="Q1604" t="s">
        <v>3520</v>
      </c>
    </row>
    <row r="1605" spans="1:17" x14ac:dyDescent="0.3">
      <c r="A1605" t="s">
        <v>17</v>
      </c>
      <c r="B1605" t="str">
        <f>"603993"</f>
        <v>603993</v>
      </c>
      <c r="C1605" t="s">
        <v>3521</v>
      </c>
      <c r="D1605" t="s">
        <v>2363</v>
      </c>
      <c r="F1605">
        <v>745903479</v>
      </c>
      <c r="G1605">
        <v>702193714</v>
      </c>
      <c r="H1605">
        <v>1510508441</v>
      </c>
      <c r="I1605">
        <v>1635326380</v>
      </c>
      <c r="J1605">
        <v>2144630759</v>
      </c>
      <c r="K1605">
        <v>1461807200</v>
      </c>
      <c r="L1605">
        <v>744253181</v>
      </c>
      <c r="M1605">
        <v>851358849</v>
      </c>
      <c r="N1605">
        <v>805679743</v>
      </c>
      <c r="O1605">
        <v>640733756</v>
      </c>
      <c r="P1605">
        <v>1125</v>
      </c>
      <c r="Q1605" t="s">
        <v>3522</v>
      </c>
    </row>
    <row r="1606" spans="1:17" x14ac:dyDescent="0.3">
      <c r="A1606" t="s">
        <v>17</v>
      </c>
      <c r="B1606" t="str">
        <f>"603995"</f>
        <v>603995</v>
      </c>
      <c r="C1606" t="s">
        <v>3523</v>
      </c>
      <c r="D1606" t="s">
        <v>281</v>
      </c>
      <c r="F1606">
        <v>364472622</v>
      </c>
      <c r="G1606">
        <v>128580736</v>
      </c>
      <c r="H1606">
        <v>139104563</v>
      </c>
      <c r="I1606">
        <v>109667072</v>
      </c>
      <c r="J1606">
        <v>277751753</v>
      </c>
      <c r="K1606">
        <v>123825567</v>
      </c>
      <c r="P1606">
        <v>128</v>
      </c>
      <c r="Q1606" t="s">
        <v>3524</v>
      </c>
    </row>
    <row r="1607" spans="1:17" x14ac:dyDescent="0.3">
      <c r="A1607" t="s">
        <v>17</v>
      </c>
      <c r="B1607" t="str">
        <f>"603996"</f>
        <v>603996</v>
      </c>
      <c r="C1607" t="s">
        <v>3525</v>
      </c>
      <c r="D1607" t="s">
        <v>3526</v>
      </c>
      <c r="F1607">
        <v>66575330</v>
      </c>
      <c r="G1607">
        <v>223727156</v>
      </c>
      <c r="H1607">
        <v>484557056</v>
      </c>
      <c r="I1607">
        <v>1661327277</v>
      </c>
      <c r="J1607">
        <v>1983331074</v>
      </c>
      <c r="K1607">
        <v>1121813981</v>
      </c>
      <c r="L1607">
        <v>878282743</v>
      </c>
      <c r="M1607">
        <v>648946363</v>
      </c>
      <c r="N1607">
        <v>754892276</v>
      </c>
      <c r="O1607">
        <v>617601998</v>
      </c>
      <c r="P1607">
        <v>71</v>
      </c>
      <c r="Q1607" t="s">
        <v>3527</v>
      </c>
    </row>
    <row r="1608" spans="1:17" x14ac:dyDescent="0.3">
      <c r="A1608" t="s">
        <v>17</v>
      </c>
      <c r="B1608" t="str">
        <f>"603997"</f>
        <v>603997</v>
      </c>
      <c r="C1608" t="s">
        <v>3528</v>
      </c>
      <c r="D1608" t="s">
        <v>191</v>
      </c>
      <c r="F1608">
        <v>2309923989</v>
      </c>
      <c r="G1608">
        <v>2337989997</v>
      </c>
      <c r="H1608">
        <v>2140303522</v>
      </c>
      <c r="I1608">
        <v>527088290</v>
      </c>
      <c r="J1608">
        <v>515609130</v>
      </c>
      <c r="K1608">
        <v>475938401</v>
      </c>
      <c r="L1608">
        <v>294700926</v>
      </c>
      <c r="M1608">
        <v>258454113</v>
      </c>
      <c r="N1608">
        <v>173299649</v>
      </c>
      <c r="O1608">
        <v>118308535</v>
      </c>
      <c r="P1608">
        <v>248</v>
      </c>
      <c r="Q1608" t="s">
        <v>3529</v>
      </c>
    </row>
    <row r="1609" spans="1:17" x14ac:dyDescent="0.3">
      <c r="A1609" t="s">
        <v>17</v>
      </c>
      <c r="B1609" t="str">
        <f>"603998"</f>
        <v>603998</v>
      </c>
      <c r="C1609" t="s">
        <v>3530</v>
      </c>
      <c r="D1609" t="s">
        <v>188</v>
      </c>
      <c r="F1609">
        <v>243284434</v>
      </c>
      <c r="G1609">
        <v>182908661</v>
      </c>
      <c r="H1609">
        <v>160096951</v>
      </c>
      <c r="I1609">
        <v>100646354</v>
      </c>
      <c r="J1609">
        <v>50108243</v>
      </c>
      <c r="K1609">
        <v>20218513</v>
      </c>
      <c r="L1609">
        <v>6485719</v>
      </c>
      <c r="M1609">
        <v>3302204</v>
      </c>
      <c r="N1609">
        <v>2334339</v>
      </c>
      <c r="O1609">
        <v>2962377</v>
      </c>
      <c r="P1609">
        <v>126</v>
      </c>
      <c r="Q1609" t="s">
        <v>3531</v>
      </c>
    </row>
    <row r="1610" spans="1:17" x14ac:dyDescent="0.3">
      <c r="A1610" t="s">
        <v>17</v>
      </c>
      <c r="B1610" t="str">
        <f>"603999"</f>
        <v>603999</v>
      </c>
      <c r="C1610" t="s">
        <v>3532</v>
      </c>
      <c r="D1610" t="s">
        <v>525</v>
      </c>
      <c r="F1610">
        <v>118692945</v>
      </c>
      <c r="G1610">
        <v>104760257</v>
      </c>
      <c r="H1610">
        <v>86047489</v>
      </c>
      <c r="I1610">
        <v>102218390</v>
      </c>
      <c r="J1610">
        <v>74132733</v>
      </c>
      <c r="K1610">
        <v>101353893</v>
      </c>
      <c r="L1610">
        <v>109013310</v>
      </c>
      <c r="M1610">
        <v>136168480</v>
      </c>
      <c r="N1610">
        <v>135447602</v>
      </c>
      <c r="O1610">
        <v>106991224</v>
      </c>
      <c r="P1610">
        <v>85</v>
      </c>
      <c r="Q1610" t="s">
        <v>3533</v>
      </c>
    </row>
    <row r="1611" spans="1:17" x14ac:dyDescent="0.3">
      <c r="A1611" t="s">
        <v>17</v>
      </c>
      <c r="B1611" t="str">
        <f>"605001"</f>
        <v>605001</v>
      </c>
      <c r="C1611" t="s">
        <v>3534</v>
      </c>
      <c r="D1611" t="s">
        <v>1012</v>
      </c>
      <c r="F1611">
        <v>771220734</v>
      </c>
      <c r="G1611">
        <v>962594650</v>
      </c>
      <c r="H1611">
        <v>451153442</v>
      </c>
      <c r="I1611">
        <v>300915195</v>
      </c>
      <c r="J1611">
        <v>425816940</v>
      </c>
      <c r="P1611">
        <v>48</v>
      </c>
      <c r="Q1611" t="s">
        <v>3535</v>
      </c>
    </row>
    <row r="1612" spans="1:17" x14ac:dyDescent="0.3">
      <c r="A1612" t="s">
        <v>17</v>
      </c>
      <c r="B1612" t="str">
        <f>"605003"</f>
        <v>605003</v>
      </c>
      <c r="C1612" t="s">
        <v>3536</v>
      </c>
      <c r="D1612" t="s">
        <v>2889</v>
      </c>
      <c r="F1612">
        <v>98414431</v>
      </c>
      <c r="G1612">
        <v>72452160</v>
      </c>
      <c r="H1612">
        <v>72187147</v>
      </c>
      <c r="I1612">
        <v>75370833</v>
      </c>
      <c r="J1612">
        <v>47668713</v>
      </c>
      <c r="P1612">
        <v>75</v>
      </c>
      <c r="Q1612" t="s">
        <v>3537</v>
      </c>
    </row>
    <row r="1613" spans="1:17" x14ac:dyDescent="0.3">
      <c r="A1613" t="s">
        <v>17</v>
      </c>
      <c r="B1613" t="str">
        <f>"605005"</f>
        <v>605005</v>
      </c>
      <c r="C1613" t="s">
        <v>3538</v>
      </c>
      <c r="D1613" t="s">
        <v>1415</v>
      </c>
      <c r="F1613">
        <v>345305945</v>
      </c>
      <c r="G1613">
        <v>319094789</v>
      </c>
      <c r="H1613">
        <v>276772480</v>
      </c>
      <c r="I1613">
        <v>276772480</v>
      </c>
      <c r="J1613">
        <v>279923184</v>
      </c>
      <c r="P1613">
        <v>62</v>
      </c>
      <c r="Q1613" t="s">
        <v>3539</v>
      </c>
    </row>
    <row r="1614" spans="1:17" x14ac:dyDescent="0.3">
      <c r="A1614" t="s">
        <v>17</v>
      </c>
      <c r="B1614" t="str">
        <f>"605006"</f>
        <v>605006</v>
      </c>
      <c r="C1614" t="s">
        <v>3540</v>
      </c>
      <c r="D1614" t="s">
        <v>411</v>
      </c>
      <c r="F1614">
        <v>46653855</v>
      </c>
      <c r="G1614">
        <v>65637476</v>
      </c>
      <c r="H1614">
        <v>107347548</v>
      </c>
      <c r="I1614">
        <v>103935499</v>
      </c>
      <c r="J1614">
        <v>77753638</v>
      </c>
      <c r="P1614">
        <v>121</v>
      </c>
      <c r="Q1614" t="s">
        <v>3541</v>
      </c>
    </row>
    <row r="1615" spans="1:17" x14ac:dyDescent="0.3">
      <c r="A1615" t="s">
        <v>17</v>
      </c>
      <c r="B1615" t="str">
        <f>"605007"</f>
        <v>605007</v>
      </c>
      <c r="C1615" t="s">
        <v>3542</v>
      </c>
      <c r="D1615" t="s">
        <v>244</v>
      </c>
      <c r="F1615">
        <v>612727691</v>
      </c>
      <c r="G1615">
        <v>450593143</v>
      </c>
      <c r="H1615">
        <v>503724377</v>
      </c>
      <c r="I1615">
        <v>410649977</v>
      </c>
      <c r="J1615">
        <v>400547341</v>
      </c>
      <c r="K1615">
        <v>325746559</v>
      </c>
      <c r="P1615">
        <v>81</v>
      </c>
      <c r="Q1615" t="s">
        <v>3543</v>
      </c>
    </row>
    <row r="1616" spans="1:17" x14ac:dyDescent="0.3">
      <c r="A1616" t="s">
        <v>17</v>
      </c>
      <c r="B1616" t="str">
        <f>"605008"</f>
        <v>605008</v>
      </c>
      <c r="C1616" t="s">
        <v>3544</v>
      </c>
      <c r="D1616" t="s">
        <v>1192</v>
      </c>
      <c r="F1616">
        <v>315255488</v>
      </c>
      <c r="G1616">
        <v>186572575</v>
      </c>
      <c r="H1616">
        <v>65340420</v>
      </c>
      <c r="I1616">
        <v>41902904</v>
      </c>
      <c r="J1616">
        <v>9253321</v>
      </c>
      <c r="P1616">
        <v>66</v>
      </c>
      <c r="Q1616" t="s">
        <v>3545</v>
      </c>
    </row>
    <row r="1617" spans="1:17" x14ac:dyDescent="0.3">
      <c r="A1617" t="s">
        <v>17</v>
      </c>
      <c r="B1617" t="str">
        <f>"605009"</f>
        <v>605009</v>
      </c>
      <c r="C1617" t="s">
        <v>3546</v>
      </c>
      <c r="D1617" t="s">
        <v>2751</v>
      </c>
      <c r="F1617">
        <v>228506206</v>
      </c>
      <c r="G1617">
        <v>58593863</v>
      </c>
      <c r="H1617">
        <v>88425021</v>
      </c>
      <c r="I1617">
        <v>77244740</v>
      </c>
      <c r="J1617">
        <v>36104436</v>
      </c>
      <c r="P1617">
        <v>355</v>
      </c>
      <c r="Q1617" t="s">
        <v>3547</v>
      </c>
    </row>
    <row r="1618" spans="1:17" x14ac:dyDescent="0.3">
      <c r="A1618" t="s">
        <v>17</v>
      </c>
      <c r="B1618" t="str">
        <f>"605011"</f>
        <v>605011</v>
      </c>
      <c r="C1618" t="s">
        <v>3548</v>
      </c>
      <c r="D1618" t="s">
        <v>351</v>
      </c>
      <c r="F1618">
        <v>216635972</v>
      </c>
      <c r="G1618">
        <v>181502062</v>
      </c>
      <c r="H1618">
        <v>156953549</v>
      </c>
      <c r="I1618">
        <v>194324265</v>
      </c>
      <c r="J1618">
        <v>181161079</v>
      </c>
      <c r="P1618">
        <v>27</v>
      </c>
      <c r="Q1618" t="s">
        <v>3549</v>
      </c>
    </row>
    <row r="1619" spans="1:17" x14ac:dyDescent="0.3">
      <c r="A1619" t="s">
        <v>17</v>
      </c>
      <c r="B1619" t="str">
        <f>"605016"</f>
        <v>605016</v>
      </c>
      <c r="C1619" t="s">
        <v>3550</v>
      </c>
      <c r="D1619" t="s">
        <v>677</v>
      </c>
      <c r="F1619">
        <v>141997583</v>
      </c>
      <c r="G1619">
        <v>123913359</v>
      </c>
      <c r="H1619">
        <v>106342696</v>
      </c>
      <c r="I1619">
        <v>71836737</v>
      </c>
      <c r="J1619">
        <v>56334300</v>
      </c>
      <c r="P1619">
        <v>65</v>
      </c>
      <c r="Q1619" t="s">
        <v>3551</v>
      </c>
    </row>
    <row r="1620" spans="1:17" x14ac:dyDescent="0.3">
      <c r="A1620" t="s">
        <v>17</v>
      </c>
      <c r="B1620" t="str">
        <f>"605018"</f>
        <v>605018</v>
      </c>
      <c r="C1620" t="s">
        <v>3552</v>
      </c>
      <c r="D1620" t="s">
        <v>985</v>
      </c>
      <c r="F1620">
        <v>246082658</v>
      </c>
      <c r="G1620">
        <v>215440057</v>
      </c>
      <c r="H1620">
        <v>212253303</v>
      </c>
      <c r="I1620">
        <v>249739552</v>
      </c>
      <c r="J1620">
        <v>252482180</v>
      </c>
      <c r="P1620">
        <v>48</v>
      </c>
      <c r="Q1620" t="s">
        <v>3553</v>
      </c>
    </row>
    <row r="1621" spans="1:17" x14ac:dyDescent="0.3">
      <c r="A1621" t="s">
        <v>17</v>
      </c>
      <c r="B1621" t="str">
        <f>"605020"</f>
        <v>605020</v>
      </c>
      <c r="C1621" t="s">
        <v>3554</v>
      </c>
      <c r="D1621" t="s">
        <v>375</v>
      </c>
      <c r="F1621">
        <v>309005266</v>
      </c>
      <c r="G1621">
        <v>169355548</v>
      </c>
      <c r="H1621">
        <v>169625012</v>
      </c>
      <c r="I1621">
        <v>194817638</v>
      </c>
      <c r="J1621">
        <v>184265025</v>
      </c>
      <c r="P1621">
        <v>33</v>
      </c>
      <c r="Q1621" t="s">
        <v>3555</v>
      </c>
    </row>
    <row r="1622" spans="1:17" x14ac:dyDescent="0.3">
      <c r="A1622" t="s">
        <v>17</v>
      </c>
      <c r="B1622" t="str">
        <f>"605028"</f>
        <v>605028</v>
      </c>
      <c r="C1622" t="s">
        <v>3556</v>
      </c>
      <c r="D1622" t="s">
        <v>351</v>
      </c>
      <c r="F1622">
        <v>81901944</v>
      </c>
      <c r="G1622">
        <v>57420329</v>
      </c>
      <c r="H1622">
        <v>46097271</v>
      </c>
      <c r="I1622">
        <v>40328009</v>
      </c>
      <c r="J1622">
        <v>43603651</v>
      </c>
      <c r="P1622">
        <v>46</v>
      </c>
      <c r="Q1622" t="s">
        <v>3557</v>
      </c>
    </row>
    <row r="1623" spans="1:17" x14ac:dyDescent="0.3">
      <c r="A1623" t="s">
        <v>17</v>
      </c>
      <c r="B1623" t="str">
        <f>"605033"</f>
        <v>605033</v>
      </c>
      <c r="C1623" t="s">
        <v>3558</v>
      </c>
      <c r="D1623" t="s">
        <v>853</v>
      </c>
      <c r="F1623">
        <v>90143475</v>
      </c>
      <c r="G1623">
        <v>20946568</v>
      </c>
      <c r="H1623">
        <v>14068869</v>
      </c>
      <c r="I1623">
        <v>10643932</v>
      </c>
      <c r="J1623">
        <v>10434811</v>
      </c>
      <c r="P1623">
        <v>14</v>
      </c>
      <c r="Q1623" t="s">
        <v>3559</v>
      </c>
    </row>
    <row r="1624" spans="1:17" x14ac:dyDescent="0.3">
      <c r="A1624" t="s">
        <v>17</v>
      </c>
      <c r="B1624" t="str">
        <f>"605050"</f>
        <v>605050</v>
      </c>
      <c r="C1624" t="s">
        <v>3560</v>
      </c>
      <c r="D1624" t="s">
        <v>128</v>
      </c>
      <c r="F1624">
        <v>1315382638</v>
      </c>
      <c r="G1624">
        <v>1021432873</v>
      </c>
      <c r="H1624">
        <v>758006926</v>
      </c>
      <c r="I1624">
        <v>728819980</v>
      </c>
      <c r="J1624">
        <v>696385513</v>
      </c>
      <c r="K1624">
        <v>519889583</v>
      </c>
      <c r="P1624">
        <v>37</v>
      </c>
      <c r="Q1624" t="s">
        <v>3561</v>
      </c>
    </row>
    <row r="1625" spans="1:17" x14ac:dyDescent="0.3">
      <c r="A1625" t="s">
        <v>17</v>
      </c>
      <c r="B1625" t="str">
        <f>"605055"</f>
        <v>605055</v>
      </c>
      <c r="C1625" t="s">
        <v>3562</v>
      </c>
      <c r="D1625" t="s">
        <v>817</v>
      </c>
      <c r="F1625">
        <v>107667667</v>
      </c>
      <c r="G1625">
        <v>60374658</v>
      </c>
      <c r="H1625">
        <v>56572248</v>
      </c>
      <c r="I1625">
        <v>48947694</v>
      </c>
      <c r="J1625">
        <v>66841805</v>
      </c>
      <c r="K1625">
        <v>47578783</v>
      </c>
      <c r="P1625">
        <v>38</v>
      </c>
      <c r="Q1625" t="s">
        <v>3563</v>
      </c>
    </row>
    <row r="1626" spans="1:17" x14ac:dyDescent="0.3">
      <c r="A1626" t="s">
        <v>17</v>
      </c>
      <c r="B1626" t="str">
        <f>"605056"</f>
        <v>605056</v>
      </c>
      <c r="C1626" t="s">
        <v>3564</v>
      </c>
      <c r="D1626" t="s">
        <v>2566</v>
      </c>
      <c r="F1626">
        <v>736018661</v>
      </c>
      <c r="G1626">
        <v>678188516</v>
      </c>
      <c r="H1626">
        <v>772173560</v>
      </c>
      <c r="I1626">
        <v>624003664</v>
      </c>
      <c r="J1626">
        <v>466358452</v>
      </c>
      <c r="P1626">
        <v>21</v>
      </c>
      <c r="Q1626" t="s">
        <v>3565</v>
      </c>
    </row>
    <row r="1627" spans="1:17" x14ac:dyDescent="0.3">
      <c r="A1627" t="s">
        <v>17</v>
      </c>
      <c r="B1627" t="str">
        <f>"605058"</f>
        <v>605058</v>
      </c>
      <c r="C1627" t="s">
        <v>3566</v>
      </c>
      <c r="D1627" t="s">
        <v>425</v>
      </c>
      <c r="F1627">
        <v>306500858</v>
      </c>
      <c r="G1627">
        <v>270487237</v>
      </c>
      <c r="H1627">
        <v>226378331</v>
      </c>
      <c r="I1627">
        <v>196751392</v>
      </c>
      <c r="J1627">
        <v>216005691</v>
      </c>
      <c r="K1627">
        <v>0</v>
      </c>
      <c r="P1627">
        <v>48</v>
      </c>
      <c r="Q1627" t="s">
        <v>3567</v>
      </c>
    </row>
    <row r="1628" spans="1:17" x14ac:dyDescent="0.3">
      <c r="A1628" t="s">
        <v>17</v>
      </c>
      <c r="B1628" t="str">
        <f>"605060"</f>
        <v>605060</v>
      </c>
      <c r="C1628" t="s">
        <v>3568</v>
      </c>
      <c r="D1628" t="s">
        <v>560</v>
      </c>
      <c r="F1628">
        <v>267081483</v>
      </c>
      <c r="G1628">
        <v>210521320</v>
      </c>
      <c r="H1628">
        <v>136383123</v>
      </c>
      <c r="I1628">
        <v>154835791</v>
      </c>
      <c r="J1628">
        <v>112015950</v>
      </c>
      <c r="P1628">
        <v>43</v>
      </c>
      <c r="Q1628" t="s">
        <v>3569</v>
      </c>
    </row>
    <row r="1629" spans="1:17" x14ac:dyDescent="0.3">
      <c r="A1629" t="s">
        <v>17</v>
      </c>
      <c r="B1629" t="str">
        <f>"605066"</f>
        <v>605066</v>
      </c>
      <c r="C1629" t="s">
        <v>3570</v>
      </c>
      <c r="D1629" t="s">
        <v>657</v>
      </c>
      <c r="F1629">
        <v>810300661</v>
      </c>
      <c r="G1629">
        <v>774488235</v>
      </c>
      <c r="H1629">
        <v>637507357</v>
      </c>
      <c r="I1629">
        <v>593591392</v>
      </c>
      <c r="J1629">
        <v>596770873</v>
      </c>
      <c r="P1629">
        <v>54</v>
      </c>
      <c r="Q1629" t="s">
        <v>3571</v>
      </c>
    </row>
    <row r="1630" spans="1:17" x14ac:dyDescent="0.3">
      <c r="A1630" t="s">
        <v>17</v>
      </c>
      <c r="B1630" t="str">
        <f>"605068"</f>
        <v>605068</v>
      </c>
      <c r="C1630" t="s">
        <v>3572</v>
      </c>
      <c r="D1630" t="s">
        <v>191</v>
      </c>
      <c r="F1630">
        <v>317819286</v>
      </c>
      <c r="G1630">
        <v>242029151</v>
      </c>
      <c r="H1630">
        <v>202074402</v>
      </c>
      <c r="I1630">
        <v>133404813</v>
      </c>
      <c r="J1630">
        <v>132379392</v>
      </c>
      <c r="K1630">
        <v>0</v>
      </c>
      <c r="P1630">
        <v>89</v>
      </c>
      <c r="Q1630" t="s">
        <v>3573</v>
      </c>
    </row>
    <row r="1631" spans="1:17" x14ac:dyDescent="0.3">
      <c r="A1631" t="s">
        <v>17</v>
      </c>
      <c r="B1631" t="str">
        <f>"605069"</f>
        <v>605069</v>
      </c>
      <c r="C1631" t="s">
        <v>3574</v>
      </c>
      <c r="D1631" t="s">
        <v>3575</v>
      </c>
      <c r="F1631">
        <v>1790441169</v>
      </c>
      <c r="G1631">
        <v>1679888558</v>
      </c>
      <c r="H1631">
        <v>1513425701</v>
      </c>
      <c r="I1631">
        <v>1252985195</v>
      </c>
      <c r="J1631">
        <v>977190600</v>
      </c>
      <c r="P1631">
        <v>16</v>
      </c>
      <c r="Q1631" t="s">
        <v>3576</v>
      </c>
    </row>
    <row r="1632" spans="1:17" x14ac:dyDescent="0.3">
      <c r="A1632" t="s">
        <v>17</v>
      </c>
      <c r="B1632" t="str">
        <f>"605077"</f>
        <v>605077</v>
      </c>
      <c r="C1632" t="s">
        <v>3577</v>
      </c>
      <c r="D1632" t="s">
        <v>677</v>
      </c>
      <c r="F1632">
        <v>228154222</v>
      </c>
      <c r="G1632">
        <v>124578516</v>
      </c>
      <c r="H1632">
        <v>122081238</v>
      </c>
      <c r="I1632">
        <v>191272724</v>
      </c>
      <c r="J1632">
        <v>126648117</v>
      </c>
      <c r="P1632">
        <v>88</v>
      </c>
      <c r="Q1632" t="s">
        <v>3578</v>
      </c>
    </row>
    <row r="1633" spans="1:17" x14ac:dyDescent="0.3">
      <c r="A1633" t="s">
        <v>17</v>
      </c>
      <c r="B1633" t="str">
        <f>"605080"</f>
        <v>605080</v>
      </c>
      <c r="C1633" t="s">
        <v>3579</v>
      </c>
      <c r="D1633" t="s">
        <v>2931</v>
      </c>
      <c r="F1633">
        <v>129801588</v>
      </c>
      <c r="G1633">
        <v>94140539</v>
      </c>
      <c r="H1633">
        <v>76241605</v>
      </c>
      <c r="I1633">
        <v>72388458</v>
      </c>
      <c r="J1633">
        <v>46850196</v>
      </c>
      <c r="P1633">
        <v>47</v>
      </c>
      <c r="Q1633" t="s">
        <v>3580</v>
      </c>
    </row>
    <row r="1634" spans="1:17" x14ac:dyDescent="0.3">
      <c r="A1634" t="s">
        <v>17</v>
      </c>
      <c r="B1634" t="str">
        <f>"605081"</f>
        <v>605081</v>
      </c>
      <c r="C1634" t="s">
        <v>3581</v>
      </c>
      <c r="D1634" t="s">
        <v>33</v>
      </c>
      <c r="F1634">
        <v>671215178</v>
      </c>
      <c r="G1634">
        <v>478616003</v>
      </c>
      <c r="H1634">
        <v>322294788</v>
      </c>
      <c r="I1634">
        <v>224477065</v>
      </c>
      <c r="J1634">
        <v>155805030</v>
      </c>
      <c r="K1634">
        <v>219493395</v>
      </c>
      <c r="P1634">
        <v>30</v>
      </c>
      <c r="Q1634" t="s">
        <v>3582</v>
      </c>
    </row>
    <row r="1635" spans="1:17" x14ac:dyDescent="0.3">
      <c r="A1635" t="s">
        <v>17</v>
      </c>
      <c r="B1635" t="str">
        <f>"605086"</f>
        <v>605086</v>
      </c>
      <c r="C1635" t="s">
        <v>3583</v>
      </c>
      <c r="D1635" t="s">
        <v>2762</v>
      </c>
      <c r="F1635">
        <v>0</v>
      </c>
      <c r="G1635">
        <v>103</v>
      </c>
      <c r="H1635">
        <v>133670</v>
      </c>
      <c r="I1635">
        <v>45617</v>
      </c>
      <c r="J1635">
        <v>68831</v>
      </c>
      <c r="P1635">
        <v>29</v>
      </c>
      <c r="Q1635" t="s">
        <v>3584</v>
      </c>
    </row>
    <row r="1636" spans="1:17" x14ac:dyDescent="0.3">
      <c r="A1636" t="s">
        <v>17</v>
      </c>
      <c r="B1636" t="str">
        <f>"605088"</f>
        <v>605088</v>
      </c>
      <c r="C1636" t="s">
        <v>3585</v>
      </c>
      <c r="D1636" t="s">
        <v>348</v>
      </c>
      <c r="F1636">
        <v>439261805</v>
      </c>
      <c r="G1636">
        <v>363198166</v>
      </c>
      <c r="H1636">
        <v>329949549</v>
      </c>
      <c r="I1636">
        <v>296516039</v>
      </c>
      <c r="J1636">
        <v>283432362</v>
      </c>
      <c r="P1636">
        <v>47</v>
      </c>
      <c r="Q1636" t="s">
        <v>3586</v>
      </c>
    </row>
    <row r="1637" spans="1:17" x14ac:dyDescent="0.3">
      <c r="A1637" t="s">
        <v>17</v>
      </c>
      <c r="B1637" t="str">
        <f>"605089"</f>
        <v>605089</v>
      </c>
      <c r="C1637" t="s">
        <v>3587</v>
      </c>
      <c r="D1637" t="s">
        <v>2865</v>
      </c>
      <c r="F1637">
        <v>4337288</v>
      </c>
      <c r="G1637">
        <v>3619613</v>
      </c>
      <c r="H1637">
        <v>488932</v>
      </c>
      <c r="I1637">
        <v>322222</v>
      </c>
      <c r="J1637">
        <v>186549</v>
      </c>
      <c r="P1637">
        <v>131</v>
      </c>
      <c r="Q1637" t="s">
        <v>3588</v>
      </c>
    </row>
    <row r="1638" spans="1:17" x14ac:dyDescent="0.3">
      <c r="A1638" t="s">
        <v>17</v>
      </c>
      <c r="B1638" t="str">
        <f>"605090"</f>
        <v>605090</v>
      </c>
      <c r="C1638" t="s">
        <v>3589</v>
      </c>
      <c r="D1638" t="s">
        <v>749</v>
      </c>
      <c r="F1638">
        <v>548091263</v>
      </c>
      <c r="G1638">
        <v>160275204</v>
      </c>
      <c r="H1638">
        <v>212560205</v>
      </c>
      <c r="I1638">
        <v>146666566</v>
      </c>
      <c r="J1638">
        <v>154522949</v>
      </c>
      <c r="P1638">
        <v>51</v>
      </c>
      <c r="Q1638" t="s">
        <v>3590</v>
      </c>
    </row>
    <row r="1639" spans="1:17" x14ac:dyDescent="0.3">
      <c r="A1639" t="s">
        <v>17</v>
      </c>
      <c r="B1639" t="str">
        <f>"605098"</f>
        <v>605098</v>
      </c>
      <c r="C1639" t="s">
        <v>3591</v>
      </c>
      <c r="D1639" t="s">
        <v>1336</v>
      </c>
      <c r="F1639">
        <v>828</v>
      </c>
      <c r="G1639">
        <v>18479</v>
      </c>
      <c r="H1639">
        <v>336823</v>
      </c>
      <c r="I1639">
        <v>21357</v>
      </c>
      <c r="J1639">
        <v>52626</v>
      </c>
      <c r="P1639">
        <v>53</v>
      </c>
      <c r="Q1639" t="s">
        <v>3592</v>
      </c>
    </row>
    <row r="1640" spans="1:17" x14ac:dyDescent="0.3">
      <c r="A1640" t="s">
        <v>17</v>
      </c>
      <c r="B1640" t="str">
        <f>"605099"</f>
        <v>605099</v>
      </c>
      <c r="C1640" t="s">
        <v>3593</v>
      </c>
      <c r="D1640" t="s">
        <v>2445</v>
      </c>
      <c r="F1640">
        <v>321428088</v>
      </c>
      <c r="G1640">
        <v>265492953</v>
      </c>
      <c r="H1640">
        <v>219139026</v>
      </c>
      <c r="I1640">
        <v>222655577</v>
      </c>
      <c r="J1640">
        <v>162781523</v>
      </c>
      <c r="P1640">
        <v>166</v>
      </c>
      <c r="Q1640" t="s">
        <v>3594</v>
      </c>
    </row>
    <row r="1641" spans="1:17" x14ac:dyDescent="0.3">
      <c r="A1641" t="s">
        <v>17</v>
      </c>
      <c r="B1641" t="str">
        <f>"605100"</f>
        <v>605100</v>
      </c>
      <c r="C1641" t="s">
        <v>3595</v>
      </c>
      <c r="D1641" t="s">
        <v>274</v>
      </c>
      <c r="F1641">
        <v>74692060</v>
      </c>
      <c r="G1641">
        <v>205916623</v>
      </c>
      <c r="H1641">
        <v>124751854</v>
      </c>
      <c r="I1641">
        <v>164026030</v>
      </c>
      <c r="J1641">
        <v>239073177</v>
      </c>
      <c r="P1641">
        <v>60</v>
      </c>
      <c r="Q1641" t="s">
        <v>3596</v>
      </c>
    </row>
    <row r="1642" spans="1:17" x14ac:dyDescent="0.3">
      <c r="A1642" t="s">
        <v>17</v>
      </c>
      <c r="B1642" t="str">
        <f>"605108"</f>
        <v>605108</v>
      </c>
      <c r="C1642" t="s">
        <v>3597</v>
      </c>
      <c r="D1642" t="s">
        <v>3598</v>
      </c>
      <c r="F1642">
        <v>7572635</v>
      </c>
      <c r="G1642">
        <v>7050430</v>
      </c>
      <c r="H1642">
        <v>4006186</v>
      </c>
      <c r="I1642">
        <v>4261843</v>
      </c>
      <c r="J1642">
        <v>4484719</v>
      </c>
      <c r="P1642">
        <v>104</v>
      </c>
      <c r="Q1642" t="s">
        <v>3599</v>
      </c>
    </row>
    <row r="1643" spans="1:17" x14ac:dyDescent="0.3">
      <c r="A1643" t="s">
        <v>17</v>
      </c>
      <c r="B1643" t="str">
        <f>"605111"</f>
        <v>605111</v>
      </c>
      <c r="C1643" t="s">
        <v>3600</v>
      </c>
      <c r="D1643" t="s">
        <v>795</v>
      </c>
      <c r="F1643">
        <v>136313503</v>
      </c>
      <c r="G1643">
        <v>92088952</v>
      </c>
      <c r="H1643">
        <v>100522293</v>
      </c>
      <c r="I1643">
        <v>53387779</v>
      </c>
      <c r="J1643">
        <v>65425300</v>
      </c>
      <c r="K1643">
        <v>91593926</v>
      </c>
      <c r="P1643">
        <v>332</v>
      </c>
      <c r="Q1643" t="s">
        <v>3601</v>
      </c>
    </row>
    <row r="1644" spans="1:17" x14ac:dyDescent="0.3">
      <c r="A1644" t="s">
        <v>17</v>
      </c>
      <c r="B1644" t="str">
        <f>"605116"</f>
        <v>605116</v>
      </c>
      <c r="C1644" t="s">
        <v>3602</v>
      </c>
      <c r="D1644" t="s">
        <v>496</v>
      </c>
      <c r="F1644">
        <v>140721139</v>
      </c>
      <c r="G1644">
        <v>142628037</v>
      </c>
      <c r="H1644">
        <v>133931542</v>
      </c>
      <c r="I1644">
        <v>121397370</v>
      </c>
      <c r="J1644">
        <v>126469374</v>
      </c>
      <c r="K1644">
        <v>128841803</v>
      </c>
      <c r="P1644">
        <v>81</v>
      </c>
      <c r="Q1644" t="s">
        <v>3603</v>
      </c>
    </row>
    <row r="1645" spans="1:17" x14ac:dyDescent="0.3">
      <c r="A1645" t="s">
        <v>17</v>
      </c>
      <c r="B1645" t="str">
        <f>"605117"</f>
        <v>605117</v>
      </c>
      <c r="C1645" t="s">
        <v>3604</v>
      </c>
      <c r="D1645" t="s">
        <v>1253</v>
      </c>
      <c r="F1645">
        <v>270118879</v>
      </c>
      <c r="G1645">
        <v>323959950</v>
      </c>
      <c r="H1645">
        <v>249468871</v>
      </c>
      <c r="I1645">
        <v>154043929</v>
      </c>
      <c r="J1645">
        <v>70190342</v>
      </c>
      <c r="P1645">
        <v>141</v>
      </c>
      <c r="Q1645" t="s">
        <v>3605</v>
      </c>
    </row>
    <row r="1646" spans="1:17" x14ac:dyDescent="0.3">
      <c r="A1646" t="s">
        <v>17</v>
      </c>
      <c r="B1646" t="str">
        <f>"605118"</f>
        <v>605118</v>
      </c>
      <c r="C1646" t="s">
        <v>3606</v>
      </c>
      <c r="D1646" t="s">
        <v>2980</v>
      </c>
      <c r="F1646">
        <v>80484641</v>
      </c>
      <c r="G1646">
        <v>68154838</v>
      </c>
      <c r="H1646">
        <v>61556996</v>
      </c>
      <c r="I1646">
        <v>65666515</v>
      </c>
      <c r="J1646">
        <v>67031460</v>
      </c>
      <c r="P1646">
        <v>114</v>
      </c>
      <c r="Q1646" t="s">
        <v>3607</v>
      </c>
    </row>
    <row r="1647" spans="1:17" x14ac:dyDescent="0.3">
      <c r="A1647" t="s">
        <v>17</v>
      </c>
      <c r="B1647" t="str">
        <f>"605122"</f>
        <v>605122</v>
      </c>
      <c r="C1647" t="s">
        <v>3608</v>
      </c>
      <c r="D1647" t="s">
        <v>3098</v>
      </c>
      <c r="F1647">
        <v>1348384439</v>
      </c>
      <c r="G1647">
        <v>1016300704</v>
      </c>
      <c r="H1647">
        <v>1273603163</v>
      </c>
      <c r="I1647">
        <v>1021789529</v>
      </c>
      <c r="J1647">
        <v>765933025</v>
      </c>
      <c r="K1647">
        <v>647266595</v>
      </c>
      <c r="P1647">
        <v>36</v>
      </c>
      <c r="Q1647" t="s">
        <v>3609</v>
      </c>
    </row>
    <row r="1648" spans="1:17" x14ac:dyDescent="0.3">
      <c r="A1648" t="s">
        <v>17</v>
      </c>
      <c r="B1648" t="str">
        <f>"605123"</f>
        <v>605123</v>
      </c>
      <c r="C1648" t="s">
        <v>3610</v>
      </c>
      <c r="D1648" t="s">
        <v>98</v>
      </c>
      <c r="F1648">
        <v>615506131</v>
      </c>
      <c r="G1648">
        <v>465532376</v>
      </c>
      <c r="H1648">
        <v>291394906</v>
      </c>
      <c r="I1648">
        <v>214906079</v>
      </c>
      <c r="J1648">
        <v>198306248</v>
      </c>
      <c r="P1648">
        <v>143</v>
      </c>
      <c r="Q1648" t="s">
        <v>3611</v>
      </c>
    </row>
    <row r="1649" spans="1:17" x14ac:dyDescent="0.3">
      <c r="A1649" t="s">
        <v>17</v>
      </c>
      <c r="B1649" t="str">
        <f>"605128"</f>
        <v>605128</v>
      </c>
      <c r="C1649" t="s">
        <v>3612</v>
      </c>
      <c r="D1649" t="s">
        <v>191</v>
      </c>
      <c r="F1649">
        <v>339047649</v>
      </c>
      <c r="G1649">
        <v>357228655</v>
      </c>
      <c r="H1649">
        <v>279534247</v>
      </c>
      <c r="I1649">
        <v>262271412</v>
      </c>
      <c r="J1649">
        <v>409108375</v>
      </c>
      <c r="P1649">
        <v>53</v>
      </c>
      <c r="Q1649" t="s">
        <v>3613</v>
      </c>
    </row>
    <row r="1650" spans="1:17" x14ac:dyDescent="0.3">
      <c r="A1650" t="s">
        <v>17</v>
      </c>
      <c r="B1650" t="str">
        <f>"605133"</f>
        <v>605133</v>
      </c>
      <c r="C1650" t="s">
        <v>3614</v>
      </c>
      <c r="D1650" t="s">
        <v>348</v>
      </c>
      <c r="F1650">
        <v>341595104</v>
      </c>
      <c r="G1650">
        <v>334846378</v>
      </c>
      <c r="H1650">
        <v>310272203</v>
      </c>
      <c r="I1650">
        <v>230211422</v>
      </c>
      <c r="J1650">
        <v>174388499</v>
      </c>
      <c r="P1650">
        <v>36</v>
      </c>
      <c r="Q1650" t="s">
        <v>3615</v>
      </c>
    </row>
    <row r="1651" spans="1:17" x14ac:dyDescent="0.3">
      <c r="A1651" t="s">
        <v>17</v>
      </c>
      <c r="B1651" t="str">
        <f>"605136"</f>
        <v>605136</v>
      </c>
      <c r="C1651" t="s">
        <v>3616</v>
      </c>
      <c r="D1651" t="s">
        <v>3617</v>
      </c>
      <c r="F1651">
        <v>141136938</v>
      </c>
      <c r="G1651">
        <v>141653363</v>
      </c>
      <c r="H1651">
        <v>83237069</v>
      </c>
      <c r="I1651">
        <v>132522241</v>
      </c>
      <c r="J1651">
        <v>79082814</v>
      </c>
      <c r="K1651">
        <v>40384740</v>
      </c>
      <c r="P1651">
        <v>99</v>
      </c>
      <c r="Q1651" t="s">
        <v>3618</v>
      </c>
    </row>
    <row r="1652" spans="1:17" x14ac:dyDescent="0.3">
      <c r="A1652" t="s">
        <v>17</v>
      </c>
      <c r="B1652" t="str">
        <f>"605138"</f>
        <v>605138</v>
      </c>
      <c r="C1652" t="s">
        <v>3619</v>
      </c>
      <c r="D1652" t="s">
        <v>255</v>
      </c>
      <c r="F1652">
        <v>646397643</v>
      </c>
      <c r="G1652">
        <v>747236946</v>
      </c>
      <c r="H1652">
        <v>707471466</v>
      </c>
      <c r="I1652">
        <v>705028690</v>
      </c>
      <c r="J1652">
        <v>595491600</v>
      </c>
      <c r="P1652">
        <v>27</v>
      </c>
      <c r="Q1652" t="s">
        <v>3620</v>
      </c>
    </row>
    <row r="1653" spans="1:17" x14ac:dyDescent="0.3">
      <c r="A1653" t="s">
        <v>17</v>
      </c>
      <c r="B1653" t="str">
        <f>"605151"</f>
        <v>605151</v>
      </c>
      <c r="C1653" t="s">
        <v>3621</v>
      </c>
      <c r="D1653" t="s">
        <v>2368</v>
      </c>
      <c r="F1653">
        <v>364287746</v>
      </c>
      <c r="G1653">
        <v>332199803</v>
      </c>
      <c r="H1653">
        <v>372417405</v>
      </c>
      <c r="I1653">
        <v>357729773</v>
      </c>
      <c r="J1653">
        <v>407823653</v>
      </c>
      <c r="K1653">
        <v>432794400</v>
      </c>
      <c r="P1653">
        <v>55</v>
      </c>
      <c r="Q1653" t="s">
        <v>3622</v>
      </c>
    </row>
    <row r="1654" spans="1:17" x14ac:dyDescent="0.3">
      <c r="A1654" t="s">
        <v>17</v>
      </c>
      <c r="B1654" t="str">
        <f>"605155"</f>
        <v>605155</v>
      </c>
      <c r="C1654" t="s">
        <v>3623</v>
      </c>
      <c r="D1654" t="s">
        <v>2445</v>
      </c>
      <c r="F1654">
        <v>33000927</v>
      </c>
      <c r="G1654">
        <v>27466145</v>
      </c>
      <c r="H1654">
        <v>29027655</v>
      </c>
      <c r="I1654">
        <v>32153216</v>
      </c>
      <c r="J1654">
        <v>29886797</v>
      </c>
      <c r="K1654">
        <v>0</v>
      </c>
      <c r="P1654">
        <v>45</v>
      </c>
      <c r="Q1654" t="s">
        <v>3624</v>
      </c>
    </row>
    <row r="1655" spans="1:17" x14ac:dyDescent="0.3">
      <c r="A1655" t="s">
        <v>17</v>
      </c>
      <c r="B1655" t="str">
        <f>"605158"</f>
        <v>605158</v>
      </c>
      <c r="C1655" t="s">
        <v>3625</v>
      </c>
      <c r="D1655" t="s">
        <v>38</v>
      </c>
      <c r="F1655">
        <v>110111622</v>
      </c>
      <c r="G1655">
        <v>45297028</v>
      </c>
      <c r="H1655">
        <v>101332410</v>
      </c>
      <c r="I1655">
        <v>71583255</v>
      </c>
      <c r="J1655">
        <v>108522408</v>
      </c>
      <c r="P1655">
        <v>91</v>
      </c>
      <c r="Q1655" t="s">
        <v>3626</v>
      </c>
    </row>
    <row r="1656" spans="1:17" x14ac:dyDescent="0.3">
      <c r="A1656" t="s">
        <v>17</v>
      </c>
      <c r="B1656" t="str">
        <f>"605162"</f>
        <v>605162</v>
      </c>
      <c r="C1656" t="s">
        <v>3627</v>
      </c>
      <c r="D1656" t="s">
        <v>351</v>
      </c>
      <c r="F1656">
        <v>120269792</v>
      </c>
      <c r="G1656">
        <v>86580420</v>
      </c>
      <c r="H1656">
        <v>82555597</v>
      </c>
      <c r="I1656">
        <v>55572386</v>
      </c>
      <c r="J1656">
        <v>63262320</v>
      </c>
      <c r="P1656">
        <v>27</v>
      </c>
      <c r="Q1656" t="s">
        <v>3628</v>
      </c>
    </row>
    <row r="1657" spans="1:17" x14ac:dyDescent="0.3">
      <c r="A1657" t="s">
        <v>17</v>
      </c>
      <c r="B1657" t="str">
        <f>"605166"</f>
        <v>605166</v>
      </c>
      <c r="C1657" t="s">
        <v>3629</v>
      </c>
      <c r="D1657" t="s">
        <v>1638</v>
      </c>
      <c r="F1657">
        <v>147209466</v>
      </c>
      <c r="G1657">
        <v>107983906</v>
      </c>
      <c r="H1657">
        <v>76449421</v>
      </c>
      <c r="I1657">
        <v>42058662</v>
      </c>
      <c r="J1657">
        <v>51678141</v>
      </c>
      <c r="K1657">
        <v>65747841</v>
      </c>
      <c r="P1657">
        <v>68</v>
      </c>
      <c r="Q1657" t="s">
        <v>3630</v>
      </c>
    </row>
    <row r="1658" spans="1:17" x14ac:dyDescent="0.3">
      <c r="A1658" t="s">
        <v>17</v>
      </c>
      <c r="B1658" t="str">
        <f>"605167"</f>
        <v>605167</v>
      </c>
      <c r="C1658" t="s">
        <v>3631</v>
      </c>
      <c r="D1658" t="s">
        <v>2025</v>
      </c>
      <c r="F1658">
        <v>415922409</v>
      </c>
      <c r="G1658">
        <v>303751142</v>
      </c>
      <c r="H1658">
        <v>312093269</v>
      </c>
      <c r="I1658">
        <v>434946662</v>
      </c>
      <c r="J1658">
        <v>244579460</v>
      </c>
      <c r="P1658">
        <v>22</v>
      </c>
      <c r="Q1658" t="s">
        <v>3632</v>
      </c>
    </row>
    <row r="1659" spans="1:17" x14ac:dyDescent="0.3">
      <c r="A1659" t="s">
        <v>17</v>
      </c>
      <c r="B1659" t="str">
        <f>"605168"</f>
        <v>605168</v>
      </c>
      <c r="C1659" t="s">
        <v>3633</v>
      </c>
      <c r="D1659" t="s">
        <v>207</v>
      </c>
      <c r="F1659">
        <v>1449512051</v>
      </c>
      <c r="G1659">
        <v>925480954</v>
      </c>
      <c r="H1659">
        <v>437178881</v>
      </c>
      <c r="I1659">
        <v>349360194</v>
      </c>
      <c r="J1659">
        <v>269310500</v>
      </c>
      <c r="P1659">
        <v>317</v>
      </c>
      <c r="Q1659" t="s">
        <v>3634</v>
      </c>
    </row>
    <row r="1660" spans="1:17" x14ac:dyDescent="0.3">
      <c r="A1660" t="s">
        <v>17</v>
      </c>
      <c r="B1660" t="str">
        <f>"605169"</f>
        <v>605169</v>
      </c>
      <c r="C1660" t="s">
        <v>3635</v>
      </c>
      <c r="D1660" t="s">
        <v>749</v>
      </c>
      <c r="F1660">
        <v>25855638</v>
      </c>
      <c r="G1660">
        <v>20659612</v>
      </c>
      <c r="H1660">
        <v>24314603</v>
      </c>
      <c r="I1660">
        <v>28171523</v>
      </c>
      <c r="J1660">
        <v>25336454</v>
      </c>
      <c r="P1660">
        <v>62</v>
      </c>
      <c r="Q1660" t="s">
        <v>3636</v>
      </c>
    </row>
    <row r="1661" spans="1:17" x14ac:dyDescent="0.3">
      <c r="A1661" t="s">
        <v>17</v>
      </c>
      <c r="B1661" t="str">
        <f>"605177"</f>
        <v>605177</v>
      </c>
      <c r="C1661" t="s">
        <v>3637</v>
      </c>
      <c r="D1661" t="s">
        <v>496</v>
      </c>
      <c r="F1661">
        <v>78266645</v>
      </c>
      <c r="G1661">
        <v>97784171</v>
      </c>
      <c r="H1661">
        <v>79591780</v>
      </c>
      <c r="I1661">
        <v>84749264</v>
      </c>
      <c r="J1661">
        <v>133595851</v>
      </c>
      <c r="K1661">
        <v>85676400</v>
      </c>
      <c r="P1661">
        <v>38</v>
      </c>
      <c r="Q1661" t="s">
        <v>3638</v>
      </c>
    </row>
    <row r="1662" spans="1:17" x14ac:dyDescent="0.3">
      <c r="A1662" t="s">
        <v>17</v>
      </c>
      <c r="B1662" t="str">
        <f>"605178"</f>
        <v>605178</v>
      </c>
      <c r="C1662" t="s">
        <v>3639</v>
      </c>
      <c r="D1662" t="s">
        <v>450</v>
      </c>
      <c r="F1662">
        <v>352818281</v>
      </c>
      <c r="G1662">
        <v>251097929</v>
      </c>
      <c r="H1662">
        <v>693836540</v>
      </c>
      <c r="I1662">
        <v>478822822</v>
      </c>
      <c r="J1662">
        <v>318786638</v>
      </c>
      <c r="P1662">
        <v>49</v>
      </c>
      <c r="Q1662" t="s">
        <v>3640</v>
      </c>
    </row>
    <row r="1663" spans="1:17" x14ac:dyDescent="0.3">
      <c r="A1663" t="s">
        <v>17</v>
      </c>
      <c r="B1663" t="str">
        <f>"605179"</f>
        <v>605179</v>
      </c>
      <c r="C1663" t="s">
        <v>3641</v>
      </c>
      <c r="D1663" t="s">
        <v>900</v>
      </c>
      <c r="F1663">
        <v>79224957</v>
      </c>
      <c r="G1663">
        <v>51552258</v>
      </c>
      <c r="H1663">
        <v>37302689</v>
      </c>
      <c r="I1663">
        <v>40686812</v>
      </c>
      <c r="J1663">
        <v>31341911</v>
      </c>
      <c r="P1663">
        <v>84</v>
      </c>
      <c r="Q1663" t="s">
        <v>3642</v>
      </c>
    </row>
    <row r="1664" spans="1:17" x14ac:dyDescent="0.3">
      <c r="A1664" t="s">
        <v>17</v>
      </c>
      <c r="B1664" t="str">
        <f>"605180"</f>
        <v>605180</v>
      </c>
      <c r="C1664" t="s">
        <v>3643</v>
      </c>
      <c r="D1664" t="s">
        <v>366</v>
      </c>
      <c r="F1664">
        <v>228932668</v>
      </c>
      <c r="G1664">
        <v>133107443</v>
      </c>
      <c r="H1664">
        <v>84169669</v>
      </c>
      <c r="I1664">
        <v>79299683</v>
      </c>
      <c r="J1664">
        <v>64316674</v>
      </c>
      <c r="P1664">
        <v>40</v>
      </c>
      <c r="Q1664" t="s">
        <v>3644</v>
      </c>
    </row>
    <row r="1665" spans="1:17" x14ac:dyDescent="0.3">
      <c r="A1665" t="s">
        <v>17</v>
      </c>
      <c r="B1665" t="str">
        <f>"605183"</f>
        <v>605183</v>
      </c>
      <c r="C1665" t="s">
        <v>3645</v>
      </c>
      <c r="D1665" t="s">
        <v>3646</v>
      </c>
      <c r="F1665">
        <v>503747419</v>
      </c>
      <c r="G1665">
        <v>315505485</v>
      </c>
      <c r="H1665">
        <v>285364549</v>
      </c>
      <c r="I1665">
        <v>291478679</v>
      </c>
      <c r="J1665">
        <v>216342013</v>
      </c>
      <c r="K1665">
        <v>189227809</v>
      </c>
      <c r="P1665">
        <v>63</v>
      </c>
      <c r="Q1665" t="s">
        <v>3647</v>
      </c>
    </row>
    <row r="1666" spans="1:17" x14ac:dyDescent="0.3">
      <c r="A1666" t="s">
        <v>17</v>
      </c>
      <c r="B1666" t="str">
        <f>"605186"</f>
        <v>605186</v>
      </c>
      <c r="C1666" t="s">
        <v>3648</v>
      </c>
      <c r="D1666" t="s">
        <v>3477</v>
      </c>
      <c r="F1666">
        <v>286994523</v>
      </c>
      <c r="G1666">
        <v>207185026</v>
      </c>
      <c r="H1666">
        <v>140127702</v>
      </c>
      <c r="I1666">
        <v>115880648</v>
      </c>
      <c r="J1666">
        <v>91153605</v>
      </c>
      <c r="K1666">
        <v>67381685</v>
      </c>
      <c r="P1666">
        <v>47</v>
      </c>
      <c r="Q1666" t="s">
        <v>3649</v>
      </c>
    </row>
    <row r="1667" spans="1:17" x14ac:dyDescent="0.3">
      <c r="A1667" t="s">
        <v>17</v>
      </c>
      <c r="B1667" t="str">
        <f>"605188"</f>
        <v>605188</v>
      </c>
      <c r="C1667" t="s">
        <v>3650</v>
      </c>
      <c r="D1667" t="s">
        <v>798</v>
      </c>
      <c r="F1667">
        <v>36829392</v>
      </c>
      <c r="G1667">
        <v>22490355</v>
      </c>
      <c r="H1667">
        <v>33409868</v>
      </c>
      <c r="I1667">
        <v>26212195</v>
      </c>
      <c r="J1667">
        <v>16177703</v>
      </c>
      <c r="P1667">
        <v>43</v>
      </c>
      <c r="Q1667" t="s">
        <v>3651</v>
      </c>
    </row>
    <row r="1668" spans="1:17" x14ac:dyDescent="0.3">
      <c r="A1668" t="s">
        <v>17</v>
      </c>
      <c r="B1668" t="str">
        <f>"605189"</f>
        <v>605189</v>
      </c>
      <c r="C1668" t="s">
        <v>3652</v>
      </c>
      <c r="D1668" t="s">
        <v>817</v>
      </c>
      <c r="F1668">
        <v>26446130</v>
      </c>
      <c r="G1668">
        <v>17357464</v>
      </c>
      <c r="H1668">
        <v>24190198</v>
      </c>
      <c r="I1668">
        <v>26955382</v>
      </c>
      <c r="J1668">
        <v>29324475</v>
      </c>
      <c r="P1668">
        <v>44</v>
      </c>
      <c r="Q1668" t="s">
        <v>3653</v>
      </c>
    </row>
    <row r="1669" spans="1:17" x14ac:dyDescent="0.3">
      <c r="A1669" t="s">
        <v>17</v>
      </c>
      <c r="B1669" t="str">
        <f>"605196"</f>
        <v>605196</v>
      </c>
      <c r="C1669" t="s">
        <v>3654</v>
      </c>
      <c r="D1669" t="s">
        <v>1164</v>
      </c>
      <c r="F1669">
        <v>1533385520</v>
      </c>
      <c r="G1669">
        <v>830988186</v>
      </c>
      <c r="H1669">
        <v>873134150</v>
      </c>
      <c r="I1669">
        <v>815558251</v>
      </c>
      <c r="J1669">
        <v>585442300</v>
      </c>
      <c r="P1669">
        <v>27</v>
      </c>
      <c r="Q1669" t="s">
        <v>3655</v>
      </c>
    </row>
    <row r="1670" spans="1:17" x14ac:dyDescent="0.3">
      <c r="A1670" t="s">
        <v>17</v>
      </c>
      <c r="B1670" t="str">
        <f>"605198"</f>
        <v>605198</v>
      </c>
      <c r="C1670" t="s">
        <v>3656</v>
      </c>
      <c r="D1670" t="s">
        <v>574</v>
      </c>
      <c r="F1670">
        <v>199020317</v>
      </c>
      <c r="G1670">
        <v>176572911</v>
      </c>
      <c r="H1670">
        <v>216312169</v>
      </c>
      <c r="I1670">
        <v>170512897</v>
      </c>
      <c r="J1670">
        <v>192554256</v>
      </c>
      <c r="K1670">
        <v>0</v>
      </c>
      <c r="P1670">
        <v>47</v>
      </c>
      <c r="Q1670" t="s">
        <v>3657</v>
      </c>
    </row>
    <row r="1671" spans="1:17" x14ac:dyDescent="0.3">
      <c r="A1671" t="s">
        <v>17</v>
      </c>
      <c r="B1671" t="str">
        <f>"605199"</f>
        <v>605199</v>
      </c>
      <c r="C1671" t="s">
        <v>3658</v>
      </c>
      <c r="D1671" t="s">
        <v>188</v>
      </c>
      <c r="F1671">
        <v>340126053</v>
      </c>
      <c r="G1671">
        <v>270258919</v>
      </c>
      <c r="H1671">
        <v>148113763</v>
      </c>
      <c r="I1671">
        <v>96042354</v>
      </c>
      <c r="J1671">
        <v>58129395</v>
      </c>
      <c r="K1671">
        <v>26624396</v>
      </c>
      <c r="P1671">
        <v>136</v>
      </c>
      <c r="Q1671" t="s">
        <v>3659</v>
      </c>
    </row>
    <row r="1672" spans="1:17" x14ac:dyDescent="0.3">
      <c r="A1672" t="s">
        <v>17</v>
      </c>
      <c r="B1672" t="str">
        <f>"605208"</f>
        <v>605208</v>
      </c>
      <c r="C1672" t="s">
        <v>3660</v>
      </c>
      <c r="D1672" t="s">
        <v>504</v>
      </c>
      <c r="F1672">
        <v>652624944</v>
      </c>
      <c r="G1672">
        <v>456849905</v>
      </c>
      <c r="H1672">
        <v>448533994</v>
      </c>
      <c r="I1672">
        <v>446993813</v>
      </c>
      <c r="J1672">
        <v>485884486</v>
      </c>
      <c r="P1672">
        <v>40</v>
      </c>
      <c r="Q1672" t="s">
        <v>3661</v>
      </c>
    </row>
    <row r="1673" spans="1:17" x14ac:dyDescent="0.3">
      <c r="A1673" t="s">
        <v>17</v>
      </c>
      <c r="B1673" t="str">
        <f>"605218"</f>
        <v>605218</v>
      </c>
      <c r="C1673" t="s">
        <v>3662</v>
      </c>
      <c r="D1673" t="s">
        <v>1117</v>
      </c>
      <c r="F1673">
        <v>309223919</v>
      </c>
      <c r="G1673">
        <v>288654939</v>
      </c>
      <c r="H1673">
        <v>159855554</v>
      </c>
      <c r="I1673">
        <v>274668947</v>
      </c>
      <c r="J1673">
        <v>261974137</v>
      </c>
      <c r="K1673">
        <v>286424420</v>
      </c>
      <c r="P1673">
        <v>56</v>
      </c>
      <c r="Q1673" t="s">
        <v>3663</v>
      </c>
    </row>
    <row r="1674" spans="1:17" x14ac:dyDescent="0.3">
      <c r="A1674" t="s">
        <v>17</v>
      </c>
      <c r="B1674" t="str">
        <f>"605222"</f>
        <v>605222</v>
      </c>
      <c r="C1674" t="s">
        <v>3664</v>
      </c>
      <c r="D1674" t="s">
        <v>1164</v>
      </c>
      <c r="F1674">
        <v>2281547076</v>
      </c>
      <c r="G1674">
        <v>1615725509</v>
      </c>
      <c r="H1674">
        <v>1025996242</v>
      </c>
      <c r="I1674">
        <v>797964855</v>
      </c>
      <c r="J1674">
        <v>826109996</v>
      </c>
      <c r="P1674">
        <v>110</v>
      </c>
      <c r="Q1674" t="s">
        <v>3665</v>
      </c>
    </row>
    <row r="1675" spans="1:17" x14ac:dyDescent="0.3">
      <c r="A1675" t="s">
        <v>17</v>
      </c>
      <c r="B1675" t="str">
        <f>"605228"</f>
        <v>605228</v>
      </c>
      <c r="C1675" t="s">
        <v>3666</v>
      </c>
      <c r="D1675" t="s">
        <v>191</v>
      </c>
      <c r="F1675">
        <v>307813230</v>
      </c>
      <c r="G1675">
        <v>334969561</v>
      </c>
      <c r="H1675">
        <v>338785364</v>
      </c>
      <c r="I1675">
        <v>351900257</v>
      </c>
      <c r="J1675">
        <v>275372360</v>
      </c>
      <c r="P1675">
        <v>30</v>
      </c>
      <c r="Q1675" t="s">
        <v>3667</v>
      </c>
    </row>
    <row r="1676" spans="1:17" x14ac:dyDescent="0.3">
      <c r="A1676" t="s">
        <v>17</v>
      </c>
      <c r="B1676" t="str">
        <f>"605255"</f>
        <v>605255</v>
      </c>
      <c r="C1676" t="s">
        <v>3668</v>
      </c>
      <c r="D1676" t="s">
        <v>348</v>
      </c>
      <c r="F1676">
        <v>84430638</v>
      </c>
      <c r="G1676">
        <v>101264128</v>
      </c>
      <c r="H1676">
        <v>73448976</v>
      </c>
      <c r="I1676">
        <v>101075647</v>
      </c>
      <c r="J1676">
        <v>116873139</v>
      </c>
      <c r="P1676">
        <v>51</v>
      </c>
      <c r="Q1676" t="s">
        <v>3669</v>
      </c>
    </row>
    <row r="1677" spans="1:17" x14ac:dyDescent="0.3">
      <c r="A1677" t="s">
        <v>17</v>
      </c>
      <c r="B1677" t="str">
        <f>"605258"</f>
        <v>605258</v>
      </c>
      <c r="C1677" t="s">
        <v>3670</v>
      </c>
      <c r="D1677" t="s">
        <v>425</v>
      </c>
      <c r="F1677">
        <v>265056038</v>
      </c>
      <c r="G1677">
        <v>248092242</v>
      </c>
      <c r="H1677">
        <v>214287701</v>
      </c>
      <c r="I1677">
        <v>215507849</v>
      </c>
      <c r="J1677">
        <v>206892915</v>
      </c>
      <c r="K1677">
        <v>146928788</v>
      </c>
      <c r="P1677">
        <v>51</v>
      </c>
      <c r="Q1677" t="s">
        <v>3671</v>
      </c>
    </row>
    <row r="1678" spans="1:17" x14ac:dyDescent="0.3">
      <c r="A1678" t="s">
        <v>17</v>
      </c>
      <c r="B1678" t="str">
        <f>"605259"</f>
        <v>605259</v>
      </c>
      <c r="C1678" t="s">
        <v>3672</v>
      </c>
      <c r="D1678" t="s">
        <v>741</v>
      </c>
      <c r="F1678">
        <v>184393245</v>
      </c>
      <c r="G1678">
        <v>124829630</v>
      </c>
      <c r="H1678">
        <v>120646583</v>
      </c>
      <c r="I1678">
        <v>87136314</v>
      </c>
      <c r="J1678">
        <v>89468590</v>
      </c>
      <c r="P1678">
        <v>17</v>
      </c>
      <c r="Q1678" t="s">
        <v>3673</v>
      </c>
    </row>
    <row r="1679" spans="1:17" x14ac:dyDescent="0.3">
      <c r="A1679" t="s">
        <v>17</v>
      </c>
      <c r="B1679" t="str">
        <f>"605266"</f>
        <v>605266</v>
      </c>
      <c r="C1679" t="s">
        <v>3674</v>
      </c>
      <c r="D1679" t="s">
        <v>1686</v>
      </c>
      <c r="F1679">
        <v>227871542</v>
      </c>
      <c r="G1679">
        <v>166699818</v>
      </c>
      <c r="H1679">
        <v>132555303</v>
      </c>
      <c r="I1679">
        <v>166950322</v>
      </c>
      <c r="J1679">
        <v>151664314</v>
      </c>
      <c r="K1679">
        <v>126571962</v>
      </c>
      <c r="P1679">
        <v>105</v>
      </c>
      <c r="Q1679" t="s">
        <v>3675</v>
      </c>
    </row>
    <row r="1680" spans="1:17" x14ac:dyDescent="0.3">
      <c r="A1680" t="s">
        <v>17</v>
      </c>
      <c r="B1680" t="str">
        <f>"605268"</f>
        <v>605268</v>
      </c>
      <c r="C1680" t="s">
        <v>3676</v>
      </c>
      <c r="D1680" t="s">
        <v>2664</v>
      </c>
      <c r="F1680">
        <v>913272532</v>
      </c>
      <c r="G1680">
        <v>611356826</v>
      </c>
      <c r="H1680">
        <v>464449362</v>
      </c>
      <c r="I1680">
        <v>519400863</v>
      </c>
      <c r="J1680">
        <v>478624704</v>
      </c>
      <c r="K1680">
        <v>370403900</v>
      </c>
      <c r="P1680">
        <v>60</v>
      </c>
      <c r="Q1680" t="s">
        <v>3677</v>
      </c>
    </row>
    <row r="1681" spans="1:17" x14ac:dyDescent="0.3">
      <c r="A1681" t="s">
        <v>17</v>
      </c>
      <c r="B1681" t="str">
        <f>"605277"</f>
        <v>605277</v>
      </c>
      <c r="C1681" t="s">
        <v>3678</v>
      </c>
      <c r="D1681" t="s">
        <v>313</v>
      </c>
      <c r="F1681">
        <v>418224289</v>
      </c>
      <c r="G1681">
        <v>312906060</v>
      </c>
      <c r="H1681">
        <v>251348052</v>
      </c>
      <c r="I1681">
        <v>238981655</v>
      </c>
      <c r="J1681">
        <v>285577336</v>
      </c>
      <c r="K1681">
        <v>208745283</v>
      </c>
      <c r="P1681">
        <v>68</v>
      </c>
      <c r="Q1681" t="s">
        <v>3679</v>
      </c>
    </row>
    <row r="1682" spans="1:17" x14ac:dyDescent="0.3">
      <c r="A1682" t="s">
        <v>17</v>
      </c>
      <c r="B1682" t="str">
        <f>"605286"</f>
        <v>605286</v>
      </c>
      <c r="C1682" t="s">
        <v>3680</v>
      </c>
      <c r="D1682" t="s">
        <v>1691</v>
      </c>
      <c r="F1682">
        <v>596328482</v>
      </c>
      <c r="G1682">
        <v>353651366</v>
      </c>
      <c r="H1682">
        <v>320928988</v>
      </c>
      <c r="I1682">
        <v>306438002</v>
      </c>
      <c r="J1682">
        <v>268334499</v>
      </c>
      <c r="P1682">
        <v>27</v>
      </c>
      <c r="Q1682" t="s">
        <v>3681</v>
      </c>
    </row>
    <row r="1683" spans="1:17" x14ac:dyDescent="0.3">
      <c r="A1683" t="s">
        <v>17</v>
      </c>
      <c r="B1683" t="str">
        <f>"605287"</f>
        <v>605287</v>
      </c>
      <c r="C1683" t="s">
        <v>3682</v>
      </c>
      <c r="D1683" t="s">
        <v>450</v>
      </c>
      <c r="F1683">
        <v>3431058827</v>
      </c>
      <c r="G1683">
        <v>2791897263</v>
      </c>
      <c r="H1683">
        <v>2004746101</v>
      </c>
      <c r="I1683">
        <v>1398893912</v>
      </c>
      <c r="J1683">
        <v>1138312663</v>
      </c>
      <c r="P1683">
        <v>21</v>
      </c>
      <c r="Q1683" t="s">
        <v>3683</v>
      </c>
    </row>
    <row r="1684" spans="1:17" x14ac:dyDescent="0.3">
      <c r="A1684" t="s">
        <v>17</v>
      </c>
      <c r="B1684" t="str">
        <f>"605288"</f>
        <v>605288</v>
      </c>
      <c r="C1684" t="s">
        <v>3684</v>
      </c>
      <c r="D1684" t="s">
        <v>2432</v>
      </c>
      <c r="F1684">
        <v>450215153</v>
      </c>
      <c r="G1684">
        <v>355404248</v>
      </c>
      <c r="H1684">
        <v>256015315</v>
      </c>
      <c r="I1684">
        <v>238007373</v>
      </c>
      <c r="J1684">
        <v>193970573</v>
      </c>
      <c r="P1684">
        <v>86</v>
      </c>
      <c r="Q1684" t="s">
        <v>3685</v>
      </c>
    </row>
    <row r="1685" spans="1:17" x14ac:dyDescent="0.3">
      <c r="A1685" t="s">
        <v>17</v>
      </c>
      <c r="B1685" t="str">
        <f>"605289"</f>
        <v>605289</v>
      </c>
      <c r="C1685" t="s">
        <v>3686</v>
      </c>
      <c r="D1685" t="s">
        <v>1992</v>
      </c>
      <c r="F1685">
        <v>506903886</v>
      </c>
      <c r="G1685">
        <v>502635085</v>
      </c>
      <c r="H1685">
        <v>495801239</v>
      </c>
      <c r="I1685">
        <v>439311796</v>
      </c>
      <c r="J1685">
        <v>253208454</v>
      </c>
      <c r="K1685">
        <v>0</v>
      </c>
      <c r="P1685">
        <v>29</v>
      </c>
      <c r="Q1685" t="s">
        <v>3687</v>
      </c>
    </row>
    <row r="1686" spans="1:17" x14ac:dyDescent="0.3">
      <c r="A1686" t="s">
        <v>17</v>
      </c>
      <c r="B1686" t="str">
        <f>"605296"</f>
        <v>605296</v>
      </c>
      <c r="C1686" t="s">
        <v>3688</v>
      </c>
      <c r="D1686" t="s">
        <v>1900</v>
      </c>
      <c r="F1686">
        <v>37908240</v>
      </c>
      <c r="G1686">
        <v>8329793</v>
      </c>
      <c r="H1686">
        <v>9504942</v>
      </c>
      <c r="I1686">
        <v>20576095</v>
      </c>
      <c r="J1686">
        <v>5922707</v>
      </c>
      <c r="P1686">
        <v>59</v>
      </c>
      <c r="Q1686" t="s">
        <v>3689</v>
      </c>
    </row>
    <row r="1687" spans="1:17" x14ac:dyDescent="0.3">
      <c r="A1687" t="s">
        <v>17</v>
      </c>
      <c r="B1687" t="str">
        <f>"605298"</f>
        <v>605298</v>
      </c>
      <c r="C1687" t="s">
        <v>3690</v>
      </c>
      <c r="D1687" t="s">
        <v>1012</v>
      </c>
      <c r="F1687">
        <v>201125522</v>
      </c>
      <c r="G1687">
        <v>192860504</v>
      </c>
      <c r="H1687">
        <v>163388864</v>
      </c>
      <c r="I1687">
        <v>164109583</v>
      </c>
      <c r="J1687">
        <v>163209427</v>
      </c>
      <c r="P1687">
        <v>46</v>
      </c>
      <c r="Q1687" t="s">
        <v>3691</v>
      </c>
    </row>
    <row r="1688" spans="1:17" x14ac:dyDescent="0.3">
      <c r="A1688" t="s">
        <v>17</v>
      </c>
      <c r="B1688" t="str">
        <f>"605299"</f>
        <v>605299</v>
      </c>
      <c r="C1688" t="s">
        <v>3692</v>
      </c>
      <c r="D1688" t="s">
        <v>2931</v>
      </c>
      <c r="F1688">
        <v>238500419</v>
      </c>
      <c r="G1688">
        <v>264909897</v>
      </c>
      <c r="H1688">
        <v>305897967</v>
      </c>
      <c r="I1688">
        <v>236527109</v>
      </c>
      <c r="J1688">
        <v>264015537</v>
      </c>
      <c r="K1688">
        <v>228530203</v>
      </c>
      <c r="P1688">
        <v>58</v>
      </c>
      <c r="Q1688" t="s">
        <v>3693</v>
      </c>
    </row>
    <row r="1689" spans="1:17" x14ac:dyDescent="0.3">
      <c r="A1689" t="s">
        <v>17</v>
      </c>
      <c r="B1689" t="str">
        <f>"605300"</f>
        <v>605300</v>
      </c>
      <c r="C1689" t="s">
        <v>3694</v>
      </c>
      <c r="D1689" t="s">
        <v>900</v>
      </c>
      <c r="F1689">
        <v>242597511</v>
      </c>
      <c r="G1689">
        <v>203277939</v>
      </c>
      <c r="H1689">
        <v>190825449</v>
      </c>
      <c r="I1689">
        <v>160521937</v>
      </c>
      <c r="J1689">
        <v>155190552</v>
      </c>
      <c r="P1689">
        <v>56</v>
      </c>
      <c r="Q1689" t="s">
        <v>3695</v>
      </c>
    </row>
    <row r="1690" spans="1:17" x14ac:dyDescent="0.3">
      <c r="A1690" t="s">
        <v>17</v>
      </c>
      <c r="B1690" t="str">
        <f>"605303"</f>
        <v>605303</v>
      </c>
      <c r="C1690" t="s">
        <v>3696</v>
      </c>
      <c r="D1690" t="s">
        <v>2417</v>
      </c>
      <c r="F1690">
        <v>1136221928</v>
      </c>
      <c r="G1690">
        <v>1053934957</v>
      </c>
      <c r="H1690">
        <v>1187162653</v>
      </c>
      <c r="I1690">
        <v>689652308</v>
      </c>
      <c r="J1690">
        <v>447793180</v>
      </c>
      <c r="P1690">
        <v>28</v>
      </c>
      <c r="Q1690" t="s">
        <v>3697</v>
      </c>
    </row>
    <row r="1691" spans="1:17" x14ac:dyDescent="0.3">
      <c r="A1691" t="s">
        <v>17</v>
      </c>
      <c r="B1691" t="str">
        <f>"605305"</f>
        <v>605305</v>
      </c>
      <c r="C1691" t="s">
        <v>3698</v>
      </c>
      <c r="D1691" t="s">
        <v>83</v>
      </c>
      <c r="F1691">
        <v>285385862</v>
      </c>
      <c r="G1691">
        <v>197146307</v>
      </c>
      <c r="H1691">
        <v>203002540</v>
      </c>
      <c r="I1691">
        <v>205137853</v>
      </c>
      <c r="J1691">
        <v>145432432</v>
      </c>
      <c r="P1691">
        <v>81</v>
      </c>
      <c r="Q1691" t="s">
        <v>3699</v>
      </c>
    </row>
    <row r="1692" spans="1:17" x14ac:dyDescent="0.3">
      <c r="A1692" t="s">
        <v>17</v>
      </c>
      <c r="B1692" t="str">
        <f>"605318"</f>
        <v>605318</v>
      </c>
      <c r="C1692" t="s">
        <v>3700</v>
      </c>
      <c r="D1692" t="s">
        <v>722</v>
      </c>
      <c r="F1692">
        <v>57780824</v>
      </c>
      <c r="G1692">
        <v>38321543</v>
      </c>
      <c r="H1692">
        <v>19244044</v>
      </c>
      <c r="I1692">
        <v>10512308</v>
      </c>
      <c r="J1692">
        <v>7654942</v>
      </c>
      <c r="K1692">
        <v>0</v>
      </c>
      <c r="P1692">
        <v>58</v>
      </c>
      <c r="Q1692" t="s">
        <v>3701</v>
      </c>
    </row>
    <row r="1693" spans="1:17" x14ac:dyDescent="0.3">
      <c r="A1693" t="s">
        <v>17</v>
      </c>
      <c r="B1693" t="str">
        <f>"605319"</f>
        <v>605319</v>
      </c>
      <c r="C1693" t="s">
        <v>3702</v>
      </c>
      <c r="D1693" t="s">
        <v>985</v>
      </c>
      <c r="F1693">
        <v>748074509</v>
      </c>
      <c r="G1693">
        <v>754585676</v>
      </c>
      <c r="H1693">
        <v>610160962</v>
      </c>
      <c r="I1693">
        <v>462507974</v>
      </c>
      <c r="J1693">
        <v>494972100</v>
      </c>
      <c r="P1693">
        <v>22</v>
      </c>
      <c r="Q1693" t="s">
        <v>3703</v>
      </c>
    </row>
    <row r="1694" spans="1:17" x14ac:dyDescent="0.3">
      <c r="A1694" t="s">
        <v>17</v>
      </c>
      <c r="B1694" t="str">
        <f>"605333"</f>
        <v>605333</v>
      </c>
      <c r="C1694" t="s">
        <v>3704</v>
      </c>
      <c r="D1694" t="s">
        <v>1415</v>
      </c>
      <c r="F1694">
        <v>1108635125</v>
      </c>
      <c r="G1694">
        <v>613428949</v>
      </c>
      <c r="H1694">
        <v>454864217</v>
      </c>
      <c r="I1694">
        <v>366869849</v>
      </c>
      <c r="J1694">
        <v>400320271</v>
      </c>
      <c r="P1694">
        <v>85</v>
      </c>
      <c r="Q1694" t="s">
        <v>3705</v>
      </c>
    </row>
    <row r="1695" spans="1:17" x14ac:dyDescent="0.3">
      <c r="A1695" t="s">
        <v>17</v>
      </c>
      <c r="B1695" t="str">
        <f>"605336"</f>
        <v>605336</v>
      </c>
      <c r="C1695" t="s">
        <v>3706</v>
      </c>
      <c r="D1695" t="s">
        <v>3707</v>
      </c>
      <c r="F1695">
        <v>4747066</v>
      </c>
      <c r="G1695">
        <v>148271</v>
      </c>
      <c r="H1695">
        <v>322</v>
      </c>
      <c r="I1695">
        <v>369593</v>
      </c>
      <c r="J1695">
        <v>103458</v>
      </c>
      <c r="K1695">
        <v>853104</v>
      </c>
      <c r="P1695">
        <v>141</v>
      </c>
      <c r="Q1695" t="s">
        <v>3708</v>
      </c>
    </row>
    <row r="1696" spans="1:17" x14ac:dyDescent="0.3">
      <c r="A1696" t="s">
        <v>17</v>
      </c>
      <c r="B1696" t="str">
        <f>"605337"</f>
        <v>605337</v>
      </c>
      <c r="C1696" t="s">
        <v>3709</v>
      </c>
      <c r="D1696" t="s">
        <v>440</v>
      </c>
      <c r="F1696">
        <v>1061721</v>
      </c>
      <c r="G1696">
        <v>808630</v>
      </c>
      <c r="H1696">
        <v>1156154</v>
      </c>
      <c r="I1696">
        <v>514220</v>
      </c>
      <c r="J1696">
        <v>500843</v>
      </c>
      <c r="K1696">
        <v>256918</v>
      </c>
      <c r="P1696">
        <v>146</v>
      </c>
      <c r="Q1696" t="s">
        <v>3710</v>
      </c>
    </row>
    <row r="1697" spans="1:17" x14ac:dyDescent="0.3">
      <c r="A1697" t="s">
        <v>17</v>
      </c>
      <c r="B1697" t="str">
        <f>"605338"</f>
        <v>605338</v>
      </c>
      <c r="C1697" t="s">
        <v>3711</v>
      </c>
      <c r="D1697" t="s">
        <v>2865</v>
      </c>
      <c r="F1697">
        <v>69237958</v>
      </c>
      <c r="G1697">
        <v>51301411</v>
      </c>
      <c r="H1697">
        <v>45604561</v>
      </c>
      <c r="I1697">
        <v>41829741</v>
      </c>
      <c r="J1697">
        <v>36462488</v>
      </c>
      <c r="K1697">
        <v>29927559</v>
      </c>
      <c r="P1697">
        <v>198</v>
      </c>
      <c r="Q1697" t="s">
        <v>3712</v>
      </c>
    </row>
    <row r="1698" spans="1:17" x14ac:dyDescent="0.3">
      <c r="A1698" t="s">
        <v>17</v>
      </c>
      <c r="B1698" t="str">
        <f>"605339"</f>
        <v>605339</v>
      </c>
      <c r="C1698" t="s">
        <v>3713</v>
      </c>
      <c r="D1698" t="s">
        <v>2488</v>
      </c>
      <c r="F1698">
        <v>218576039</v>
      </c>
      <c r="G1698">
        <v>156253036</v>
      </c>
      <c r="H1698">
        <v>145234097</v>
      </c>
      <c r="I1698">
        <v>156551419</v>
      </c>
      <c r="J1698">
        <v>0</v>
      </c>
      <c r="K1698">
        <v>0</v>
      </c>
      <c r="L1698">
        <v>0</v>
      </c>
      <c r="P1698">
        <v>66</v>
      </c>
      <c r="Q1698" t="s">
        <v>3714</v>
      </c>
    </row>
    <row r="1699" spans="1:17" x14ac:dyDescent="0.3">
      <c r="A1699" t="s">
        <v>17</v>
      </c>
      <c r="B1699" t="str">
        <f>"605358"</f>
        <v>605358</v>
      </c>
      <c r="C1699" t="s">
        <v>3715</v>
      </c>
      <c r="D1699" t="s">
        <v>475</v>
      </c>
      <c r="F1699">
        <v>706031730</v>
      </c>
      <c r="G1699">
        <v>540265240</v>
      </c>
      <c r="H1699">
        <v>412599099</v>
      </c>
      <c r="I1699">
        <v>355891686</v>
      </c>
      <c r="J1699">
        <v>316702939</v>
      </c>
      <c r="P1699">
        <v>289</v>
      </c>
      <c r="Q1699" t="s">
        <v>3716</v>
      </c>
    </row>
    <row r="1700" spans="1:17" x14ac:dyDescent="0.3">
      <c r="A1700" t="s">
        <v>17</v>
      </c>
      <c r="B1700" t="str">
        <f>"605365"</f>
        <v>605365</v>
      </c>
      <c r="C1700" t="s">
        <v>3717</v>
      </c>
      <c r="D1700" t="s">
        <v>598</v>
      </c>
      <c r="F1700">
        <v>1223197260</v>
      </c>
      <c r="G1700">
        <v>1111967881</v>
      </c>
      <c r="H1700">
        <v>988428724</v>
      </c>
      <c r="I1700">
        <v>831272093</v>
      </c>
      <c r="J1700">
        <v>936437618</v>
      </c>
      <c r="P1700">
        <v>28</v>
      </c>
      <c r="Q1700" t="s">
        <v>3718</v>
      </c>
    </row>
    <row r="1701" spans="1:17" x14ac:dyDescent="0.3">
      <c r="A1701" t="s">
        <v>17</v>
      </c>
      <c r="B1701" t="str">
        <f>"605366"</f>
        <v>605366</v>
      </c>
      <c r="C1701" t="s">
        <v>3719</v>
      </c>
      <c r="D1701" t="s">
        <v>386</v>
      </c>
      <c r="F1701">
        <v>355837152</v>
      </c>
      <c r="G1701">
        <v>218359732</v>
      </c>
      <c r="H1701">
        <v>221898655</v>
      </c>
      <c r="I1701">
        <v>222661016</v>
      </c>
      <c r="J1701">
        <v>198636334</v>
      </c>
      <c r="P1701">
        <v>59</v>
      </c>
      <c r="Q1701" t="s">
        <v>3720</v>
      </c>
    </row>
    <row r="1702" spans="1:17" x14ac:dyDescent="0.3">
      <c r="A1702" t="s">
        <v>17</v>
      </c>
      <c r="B1702" t="str">
        <f>"605368"</f>
        <v>605368</v>
      </c>
      <c r="C1702" t="s">
        <v>3721</v>
      </c>
      <c r="D1702" t="s">
        <v>749</v>
      </c>
      <c r="F1702">
        <v>80337845</v>
      </c>
      <c r="G1702">
        <v>24461481</v>
      </c>
      <c r="H1702">
        <v>15253368</v>
      </c>
      <c r="I1702">
        <v>34668852</v>
      </c>
      <c r="J1702">
        <v>11585159</v>
      </c>
      <c r="K1702">
        <v>27202242</v>
      </c>
      <c r="L1702">
        <v>25624233</v>
      </c>
      <c r="P1702">
        <v>60</v>
      </c>
      <c r="Q1702" t="s">
        <v>3722</v>
      </c>
    </row>
    <row r="1703" spans="1:17" x14ac:dyDescent="0.3">
      <c r="A1703" t="s">
        <v>17</v>
      </c>
      <c r="B1703" t="str">
        <f>"605369"</f>
        <v>605369</v>
      </c>
      <c r="C1703" t="s">
        <v>3723</v>
      </c>
      <c r="D1703" t="s">
        <v>1077</v>
      </c>
      <c r="F1703">
        <v>197123476</v>
      </c>
      <c r="G1703">
        <v>151416357</v>
      </c>
      <c r="H1703">
        <v>109077615</v>
      </c>
      <c r="I1703">
        <v>95452321</v>
      </c>
      <c r="J1703">
        <v>85135725</v>
      </c>
      <c r="P1703">
        <v>177</v>
      </c>
      <c r="Q1703" t="s">
        <v>3724</v>
      </c>
    </row>
    <row r="1704" spans="1:17" x14ac:dyDescent="0.3">
      <c r="A1704" t="s">
        <v>17</v>
      </c>
      <c r="B1704" t="str">
        <f>"605376"</f>
        <v>605376</v>
      </c>
      <c r="C1704" t="s">
        <v>3725</v>
      </c>
      <c r="D1704" t="s">
        <v>636</v>
      </c>
      <c r="F1704">
        <v>179758764</v>
      </c>
      <c r="G1704">
        <v>99731711</v>
      </c>
      <c r="H1704">
        <v>85176026</v>
      </c>
      <c r="I1704">
        <v>130510798</v>
      </c>
      <c r="J1704">
        <v>89183643</v>
      </c>
      <c r="K1704">
        <v>44581100</v>
      </c>
      <c r="P1704">
        <v>110</v>
      </c>
      <c r="Q1704" t="s">
        <v>3726</v>
      </c>
    </row>
    <row r="1705" spans="1:17" x14ac:dyDescent="0.3">
      <c r="A1705" t="s">
        <v>17</v>
      </c>
      <c r="B1705" t="str">
        <f>"605377"</f>
        <v>605377</v>
      </c>
      <c r="C1705" t="s">
        <v>3727</v>
      </c>
      <c r="D1705" t="s">
        <v>244</v>
      </c>
      <c r="F1705">
        <v>222118652</v>
      </c>
      <c r="G1705">
        <v>151778368</v>
      </c>
      <c r="H1705">
        <v>151775981</v>
      </c>
      <c r="I1705">
        <v>212299924</v>
      </c>
      <c r="J1705">
        <v>212118607</v>
      </c>
      <c r="K1705">
        <v>179702209</v>
      </c>
      <c r="P1705">
        <v>59</v>
      </c>
      <c r="Q1705" t="s">
        <v>3728</v>
      </c>
    </row>
    <row r="1706" spans="1:17" x14ac:dyDescent="0.3">
      <c r="A1706" t="s">
        <v>17</v>
      </c>
      <c r="B1706" t="str">
        <f>"605378"</f>
        <v>605378</v>
      </c>
      <c r="C1706" t="s">
        <v>3729</v>
      </c>
      <c r="D1706" t="s">
        <v>555</v>
      </c>
      <c r="F1706">
        <v>161344618</v>
      </c>
      <c r="G1706">
        <v>168282068</v>
      </c>
      <c r="H1706">
        <v>169014452</v>
      </c>
      <c r="I1706">
        <v>214427551</v>
      </c>
      <c r="J1706">
        <v>173722965</v>
      </c>
      <c r="P1706">
        <v>32</v>
      </c>
      <c r="Q1706" t="s">
        <v>3730</v>
      </c>
    </row>
    <row r="1707" spans="1:17" x14ac:dyDescent="0.3">
      <c r="A1707" t="s">
        <v>17</v>
      </c>
      <c r="B1707" t="str">
        <f>"605388"</f>
        <v>605388</v>
      </c>
      <c r="C1707" t="s">
        <v>3731</v>
      </c>
      <c r="D1707" t="s">
        <v>900</v>
      </c>
      <c r="F1707">
        <v>7446383</v>
      </c>
      <c r="G1707">
        <v>1404505</v>
      </c>
      <c r="H1707">
        <v>416170</v>
      </c>
      <c r="I1707">
        <v>247950</v>
      </c>
      <c r="J1707">
        <v>67631</v>
      </c>
      <c r="P1707">
        <v>103</v>
      </c>
      <c r="Q1707" t="s">
        <v>3732</v>
      </c>
    </row>
    <row r="1708" spans="1:17" x14ac:dyDescent="0.3">
      <c r="A1708" t="s">
        <v>17</v>
      </c>
      <c r="B1708" t="str">
        <f>"605389"</f>
        <v>605389</v>
      </c>
      <c r="C1708" t="s">
        <v>3733</v>
      </c>
      <c r="D1708" t="s">
        <v>2007</v>
      </c>
      <c r="F1708">
        <v>292944065</v>
      </c>
      <c r="G1708">
        <v>262683001</v>
      </c>
      <c r="H1708">
        <v>184708500</v>
      </c>
      <c r="I1708">
        <v>156300650</v>
      </c>
      <c r="J1708">
        <v>108673945</v>
      </c>
      <c r="P1708">
        <v>64</v>
      </c>
      <c r="Q1708" t="s">
        <v>3734</v>
      </c>
    </row>
    <row r="1709" spans="1:17" x14ac:dyDescent="0.3">
      <c r="A1709" t="s">
        <v>17</v>
      </c>
      <c r="B1709" t="str">
        <f>"605398"</f>
        <v>605398</v>
      </c>
      <c r="C1709" t="s">
        <v>3735</v>
      </c>
      <c r="D1709" t="s">
        <v>316</v>
      </c>
      <c r="F1709">
        <v>61134941</v>
      </c>
      <c r="G1709">
        <v>66705887</v>
      </c>
      <c r="H1709">
        <v>201032604</v>
      </c>
      <c r="I1709">
        <v>186066733</v>
      </c>
      <c r="J1709">
        <v>136744391</v>
      </c>
      <c r="K1709">
        <v>113015358</v>
      </c>
      <c r="P1709">
        <v>39</v>
      </c>
      <c r="Q1709" t="s">
        <v>3736</v>
      </c>
    </row>
    <row r="1710" spans="1:17" x14ac:dyDescent="0.3">
      <c r="A1710" t="s">
        <v>17</v>
      </c>
      <c r="B1710" t="str">
        <f>"605399"</f>
        <v>605399</v>
      </c>
      <c r="C1710" t="s">
        <v>3737</v>
      </c>
      <c r="D1710" t="s">
        <v>1205</v>
      </c>
      <c r="F1710">
        <v>193407278</v>
      </c>
      <c r="G1710">
        <v>83222723</v>
      </c>
      <c r="H1710">
        <v>86142015</v>
      </c>
      <c r="I1710">
        <v>53509698</v>
      </c>
      <c r="J1710">
        <v>53161959</v>
      </c>
      <c r="P1710">
        <v>126</v>
      </c>
      <c r="Q1710" t="s">
        <v>3738</v>
      </c>
    </row>
    <row r="1711" spans="1:17" x14ac:dyDescent="0.3">
      <c r="A1711" t="s">
        <v>17</v>
      </c>
      <c r="B1711" t="str">
        <f>"605488"</f>
        <v>605488</v>
      </c>
      <c r="C1711" t="s">
        <v>3739</v>
      </c>
      <c r="D1711" t="s">
        <v>1192</v>
      </c>
      <c r="F1711">
        <v>280116366</v>
      </c>
      <c r="G1711">
        <v>219519989</v>
      </c>
      <c r="H1711">
        <v>188515537</v>
      </c>
      <c r="I1711">
        <v>202964524</v>
      </c>
      <c r="J1711">
        <v>185914100</v>
      </c>
      <c r="P1711">
        <v>28</v>
      </c>
      <c r="Q1711" t="s">
        <v>3740</v>
      </c>
    </row>
    <row r="1712" spans="1:17" x14ac:dyDescent="0.3">
      <c r="A1712" t="s">
        <v>17</v>
      </c>
      <c r="B1712" t="str">
        <f>"605499"</f>
        <v>605499</v>
      </c>
      <c r="C1712" t="s">
        <v>3741</v>
      </c>
      <c r="D1712" t="s">
        <v>440</v>
      </c>
      <c r="F1712">
        <v>24573790</v>
      </c>
      <c r="G1712">
        <v>12851730</v>
      </c>
      <c r="H1712">
        <v>25571793</v>
      </c>
      <c r="I1712">
        <v>39542317</v>
      </c>
      <c r="J1712">
        <v>14084000</v>
      </c>
      <c r="P1712">
        <v>282</v>
      </c>
      <c r="Q1712" t="s">
        <v>3742</v>
      </c>
    </row>
    <row r="1713" spans="1:17" x14ac:dyDescent="0.3">
      <c r="A1713" t="s">
        <v>17</v>
      </c>
      <c r="B1713" t="str">
        <f>"605500"</f>
        <v>605500</v>
      </c>
      <c r="C1713" t="s">
        <v>3743</v>
      </c>
      <c r="D1713" t="s">
        <v>694</v>
      </c>
      <c r="F1713">
        <v>291307515</v>
      </c>
      <c r="G1713">
        <v>231347690</v>
      </c>
      <c r="H1713">
        <v>202961671</v>
      </c>
      <c r="I1713">
        <v>215884079</v>
      </c>
      <c r="J1713">
        <v>271474661</v>
      </c>
      <c r="P1713">
        <v>37</v>
      </c>
      <c r="Q1713" t="s">
        <v>3744</v>
      </c>
    </row>
    <row r="1714" spans="1:17" x14ac:dyDescent="0.3">
      <c r="A1714" t="s">
        <v>17</v>
      </c>
      <c r="B1714" t="str">
        <f>"605507"</f>
        <v>605507</v>
      </c>
      <c r="C1714" t="s">
        <v>3745</v>
      </c>
      <c r="D1714" t="s">
        <v>496</v>
      </c>
      <c r="F1714">
        <v>445030445</v>
      </c>
      <c r="G1714">
        <v>384731847</v>
      </c>
      <c r="H1714">
        <v>377112646</v>
      </c>
      <c r="I1714">
        <v>363685662</v>
      </c>
      <c r="J1714">
        <v>382992453</v>
      </c>
      <c r="P1714">
        <v>25</v>
      </c>
      <c r="Q1714" t="s">
        <v>3746</v>
      </c>
    </row>
    <row r="1715" spans="1:17" x14ac:dyDescent="0.3">
      <c r="A1715" t="s">
        <v>17</v>
      </c>
      <c r="B1715" t="str">
        <f>"605555"</f>
        <v>605555</v>
      </c>
      <c r="C1715" t="s">
        <v>3747</v>
      </c>
      <c r="D1715" t="s">
        <v>2720</v>
      </c>
      <c r="F1715">
        <v>854859383</v>
      </c>
      <c r="G1715">
        <v>752318939</v>
      </c>
      <c r="H1715">
        <v>249449038</v>
      </c>
      <c r="I1715">
        <v>465742794</v>
      </c>
      <c r="J1715">
        <v>414368605</v>
      </c>
      <c r="P1715">
        <v>34</v>
      </c>
      <c r="Q1715" t="s">
        <v>3748</v>
      </c>
    </row>
    <row r="1716" spans="1:17" x14ac:dyDescent="0.3">
      <c r="A1716" t="s">
        <v>17</v>
      </c>
      <c r="B1716" t="str">
        <f>"605566"</f>
        <v>605566</v>
      </c>
      <c r="C1716" t="s">
        <v>3749</v>
      </c>
      <c r="D1716" t="s">
        <v>779</v>
      </c>
      <c r="F1716">
        <v>183793962</v>
      </c>
      <c r="G1716">
        <v>143329996</v>
      </c>
      <c r="H1716">
        <v>106600794</v>
      </c>
      <c r="I1716">
        <v>106236768</v>
      </c>
      <c r="J1716">
        <v>126253330</v>
      </c>
      <c r="P1716">
        <v>22</v>
      </c>
      <c r="Q1716" t="s">
        <v>3750</v>
      </c>
    </row>
    <row r="1717" spans="1:17" x14ac:dyDescent="0.3">
      <c r="A1717" t="s">
        <v>17</v>
      </c>
      <c r="B1717" t="str">
        <f>"605567"</f>
        <v>605567</v>
      </c>
      <c r="C1717" t="s">
        <v>3751</v>
      </c>
      <c r="D1717" t="s">
        <v>2865</v>
      </c>
      <c r="F1717">
        <v>78777990</v>
      </c>
      <c r="G1717">
        <v>83282928</v>
      </c>
      <c r="H1717">
        <v>126778118</v>
      </c>
      <c r="I1717">
        <v>124446872</v>
      </c>
      <c r="J1717">
        <v>73243891</v>
      </c>
      <c r="P1717">
        <v>32</v>
      </c>
      <c r="Q1717" t="s">
        <v>3752</v>
      </c>
    </row>
    <row r="1718" spans="1:17" x14ac:dyDescent="0.3">
      <c r="A1718" t="s">
        <v>17</v>
      </c>
      <c r="B1718" t="str">
        <f>"605577"</f>
        <v>605577</v>
      </c>
      <c r="C1718" t="s">
        <v>3753</v>
      </c>
      <c r="D1718" t="s">
        <v>1536</v>
      </c>
      <c r="F1718">
        <v>127678625</v>
      </c>
      <c r="G1718">
        <v>132965171</v>
      </c>
      <c r="H1718">
        <v>147663414</v>
      </c>
      <c r="I1718">
        <v>140981107</v>
      </c>
      <c r="J1718">
        <v>153190800</v>
      </c>
      <c r="P1718">
        <v>19</v>
      </c>
      <c r="Q1718" t="s">
        <v>3754</v>
      </c>
    </row>
    <row r="1719" spans="1:17" x14ac:dyDescent="0.3">
      <c r="A1719" t="s">
        <v>17</v>
      </c>
      <c r="B1719" t="str">
        <f>"605580"</f>
        <v>605580</v>
      </c>
      <c r="C1719" t="s">
        <v>3755</v>
      </c>
      <c r="D1719" t="s">
        <v>351</v>
      </c>
      <c r="F1719">
        <v>194242730</v>
      </c>
      <c r="G1719">
        <v>94158959</v>
      </c>
      <c r="H1719">
        <v>92091216</v>
      </c>
      <c r="I1719">
        <v>68941701</v>
      </c>
      <c r="J1719">
        <v>64943495</v>
      </c>
      <c r="P1719">
        <v>30</v>
      </c>
      <c r="Q1719" t="s">
        <v>3756</v>
      </c>
    </row>
    <row r="1720" spans="1:17" x14ac:dyDescent="0.3">
      <c r="A1720" t="s">
        <v>17</v>
      </c>
      <c r="B1720" t="str">
        <f>"605588"</f>
        <v>605588</v>
      </c>
      <c r="C1720" t="s">
        <v>3757</v>
      </c>
      <c r="D1720" t="s">
        <v>164</v>
      </c>
      <c r="F1720">
        <v>311616112</v>
      </c>
      <c r="G1720">
        <v>300217942</v>
      </c>
      <c r="H1720">
        <v>264808493</v>
      </c>
      <c r="I1720">
        <v>233303889</v>
      </c>
      <c r="J1720">
        <v>138238062</v>
      </c>
      <c r="P1720">
        <v>16</v>
      </c>
      <c r="Q1720" t="s">
        <v>3758</v>
      </c>
    </row>
    <row r="1721" spans="1:17" x14ac:dyDescent="0.3">
      <c r="A1721" t="s">
        <v>17</v>
      </c>
      <c r="B1721" t="str">
        <f>"605589"</f>
        <v>605589</v>
      </c>
      <c r="C1721" t="s">
        <v>3759</v>
      </c>
      <c r="D1721" t="s">
        <v>3377</v>
      </c>
      <c r="F1721">
        <v>1345275163</v>
      </c>
      <c r="G1721">
        <v>1086859548</v>
      </c>
      <c r="H1721">
        <v>1030871482</v>
      </c>
      <c r="I1721">
        <v>1051170077</v>
      </c>
      <c r="J1721">
        <v>919298124</v>
      </c>
      <c r="P1721">
        <v>40</v>
      </c>
      <c r="Q1721" t="s">
        <v>3760</v>
      </c>
    </row>
    <row r="1722" spans="1:17" x14ac:dyDescent="0.3">
      <c r="A1722" t="s">
        <v>17</v>
      </c>
      <c r="B1722" t="str">
        <f>"605598"</f>
        <v>605598</v>
      </c>
      <c r="C1722" t="s">
        <v>3761</v>
      </c>
      <c r="D1722" t="s">
        <v>1992</v>
      </c>
      <c r="F1722">
        <v>322823714</v>
      </c>
      <c r="G1722">
        <v>349007088</v>
      </c>
      <c r="H1722">
        <v>610970331</v>
      </c>
      <c r="I1722">
        <v>582383751</v>
      </c>
      <c r="J1722">
        <v>511265445</v>
      </c>
      <c r="P1722">
        <v>18</v>
      </c>
      <c r="Q1722" t="s">
        <v>3762</v>
      </c>
    </row>
    <row r="1723" spans="1:17" x14ac:dyDescent="0.3">
      <c r="A1723" t="s">
        <v>17</v>
      </c>
      <c r="B1723" t="str">
        <f>"605599"</f>
        <v>605599</v>
      </c>
      <c r="C1723" t="s">
        <v>3763</v>
      </c>
      <c r="D1723" t="s">
        <v>1238</v>
      </c>
      <c r="F1723">
        <v>178313613</v>
      </c>
      <c r="G1723">
        <v>128736652</v>
      </c>
      <c r="H1723">
        <v>138237836</v>
      </c>
      <c r="I1723">
        <v>124248783</v>
      </c>
      <c r="J1723">
        <v>128506782</v>
      </c>
      <c r="P1723">
        <v>21</v>
      </c>
      <c r="Q1723" t="s">
        <v>3764</v>
      </c>
    </row>
    <row r="1724" spans="1:17" x14ac:dyDescent="0.3">
      <c r="A1724" t="s">
        <v>17</v>
      </c>
      <c r="B1724" t="str">
        <f>"688001"</f>
        <v>688001</v>
      </c>
      <c r="C1724" t="s">
        <v>3765</v>
      </c>
      <c r="D1724" t="s">
        <v>2566</v>
      </c>
      <c r="F1724">
        <v>1086897199</v>
      </c>
      <c r="G1724">
        <v>875579823</v>
      </c>
      <c r="H1724">
        <v>589377904</v>
      </c>
      <c r="I1724">
        <v>322527615</v>
      </c>
      <c r="J1724">
        <v>292543932</v>
      </c>
      <c r="K1724">
        <v>73539955</v>
      </c>
      <c r="P1724">
        <v>169</v>
      </c>
      <c r="Q1724" t="s">
        <v>3766</v>
      </c>
    </row>
    <row r="1725" spans="1:17" x14ac:dyDescent="0.3">
      <c r="A1725" t="s">
        <v>17</v>
      </c>
      <c r="B1725" t="str">
        <f>"688002"</f>
        <v>688002</v>
      </c>
      <c r="C1725" t="s">
        <v>3767</v>
      </c>
      <c r="D1725" t="s">
        <v>1136</v>
      </c>
      <c r="F1725">
        <v>529108449</v>
      </c>
      <c r="G1725">
        <v>322443485</v>
      </c>
      <c r="H1725">
        <v>114805748</v>
      </c>
      <c r="I1725">
        <v>86565120</v>
      </c>
      <c r="J1725">
        <v>64117460</v>
      </c>
      <c r="K1725">
        <v>24868433</v>
      </c>
      <c r="P1725">
        <v>407</v>
      </c>
      <c r="Q1725" t="s">
        <v>3768</v>
      </c>
    </row>
    <row r="1726" spans="1:17" x14ac:dyDescent="0.3">
      <c r="A1726" t="s">
        <v>17</v>
      </c>
      <c r="B1726" t="str">
        <f>"688003"</f>
        <v>688003</v>
      </c>
      <c r="C1726" t="s">
        <v>3769</v>
      </c>
      <c r="D1726" t="s">
        <v>3477</v>
      </c>
      <c r="F1726">
        <v>301502903</v>
      </c>
      <c r="G1726">
        <v>224412842</v>
      </c>
      <c r="H1726">
        <v>124091181</v>
      </c>
      <c r="I1726">
        <v>58679421</v>
      </c>
      <c r="J1726">
        <v>64336153</v>
      </c>
      <c r="K1726">
        <v>48233436</v>
      </c>
      <c r="P1726">
        <v>141</v>
      </c>
      <c r="Q1726" t="s">
        <v>3770</v>
      </c>
    </row>
    <row r="1727" spans="1:17" x14ac:dyDescent="0.3">
      <c r="A1727" t="s">
        <v>17</v>
      </c>
      <c r="B1727" t="str">
        <f>"688004"</f>
        <v>688004</v>
      </c>
      <c r="C1727" t="s">
        <v>3771</v>
      </c>
      <c r="D1727" t="s">
        <v>316</v>
      </c>
      <c r="F1727">
        <v>139938788</v>
      </c>
      <c r="G1727">
        <v>118268073</v>
      </c>
      <c r="H1727">
        <v>104764401</v>
      </c>
      <c r="I1727">
        <v>82279263</v>
      </c>
      <c r="J1727">
        <v>63900222</v>
      </c>
      <c r="K1727">
        <v>39517046</v>
      </c>
      <c r="P1727">
        <v>37</v>
      </c>
      <c r="Q1727" t="s">
        <v>3772</v>
      </c>
    </row>
    <row r="1728" spans="1:17" x14ac:dyDescent="0.3">
      <c r="A1728" t="s">
        <v>17</v>
      </c>
      <c r="B1728" t="str">
        <f>"688005"</f>
        <v>688005</v>
      </c>
      <c r="C1728" t="s">
        <v>3773</v>
      </c>
      <c r="D1728" t="s">
        <v>1790</v>
      </c>
      <c r="F1728">
        <v>1843142180</v>
      </c>
      <c r="G1728">
        <v>731530480</v>
      </c>
      <c r="H1728">
        <v>876094323</v>
      </c>
      <c r="I1728">
        <v>1085100361</v>
      </c>
      <c r="J1728">
        <v>764562045</v>
      </c>
      <c r="K1728">
        <v>0</v>
      </c>
      <c r="P1728">
        <v>318</v>
      </c>
      <c r="Q1728" t="s">
        <v>3774</v>
      </c>
    </row>
    <row r="1729" spans="1:17" x14ac:dyDescent="0.3">
      <c r="A1729" t="s">
        <v>17</v>
      </c>
      <c r="B1729" t="str">
        <f>"688006"</f>
        <v>688006</v>
      </c>
      <c r="C1729" t="s">
        <v>3775</v>
      </c>
      <c r="D1729" t="s">
        <v>3776</v>
      </c>
      <c r="F1729">
        <v>988281857</v>
      </c>
      <c r="G1729">
        <v>349215708</v>
      </c>
      <c r="H1729">
        <v>357680345</v>
      </c>
      <c r="I1729">
        <v>181366096</v>
      </c>
      <c r="J1729">
        <v>90344240</v>
      </c>
      <c r="K1729">
        <v>65398500</v>
      </c>
      <c r="P1729">
        <v>255</v>
      </c>
      <c r="Q1729" t="s">
        <v>3777</v>
      </c>
    </row>
    <row r="1730" spans="1:17" x14ac:dyDescent="0.3">
      <c r="A1730" t="s">
        <v>17</v>
      </c>
      <c r="B1730" t="str">
        <f>"688007"</f>
        <v>688007</v>
      </c>
      <c r="C1730" t="s">
        <v>3778</v>
      </c>
      <c r="D1730" t="s">
        <v>3526</v>
      </c>
      <c r="F1730">
        <v>403134472</v>
      </c>
      <c r="G1730">
        <v>341660832</v>
      </c>
      <c r="H1730">
        <v>176035155</v>
      </c>
      <c r="I1730">
        <v>119715786</v>
      </c>
      <c r="J1730">
        <v>71334082</v>
      </c>
      <c r="K1730">
        <v>0</v>
      </c>
      <c r="P1730">
        <v>123</v>
      </c>
      <c r="Q1730" t="s">
        <v>3779</v>
      </c>
    </row>
    <row r="1731" spans="1:17" x14ac:dyDescent="0.3">
      <c r="A1731" t="s">
        <v>17</v>
      </c>
      <c r="B1731" t="str">
        <f>"688008"</f>
        <v>688008</v>
      </c>
      <c r="C1731" t="s">
        <v>3780</v>
      </c>
      <c r="D1731" t="s">
        <v>461</v>
      </c>
      <c r="F1731">
        <v>172433037</v>
      </c>
      <c r="G1731">
        <v>87452561</v>
      </c>
      <c r="H1731">
        <v>131864815</v>
      </c>
      <c r="I1731">
        <v>241149221</v>
      </c>
      <c r="J1731">
        <v>119257936</v>
      </c>
      <c r="K1731">
        <v>58796434</v>
      </c>
      <c r="P1731">
        <v>522</v>
      </c>
      <c r="Q1731" t="s">
        <v>3781</v>
      </c>
    </row>
    <row r="1732" spans="1:17" x14ac:dyDescent="0.3">
      <c r="A1732" t="s">
        <v>17</v>
      </c>
      <c r="B1732" t="str">
        <f>"688009"</f>
        <v>688009</v>
      </c>
      <c r="C1732" t="s">
        <v>3782</v>
      </c>
      <c r="D1732" t="s">
        <v>1012</v>
      </c>
      <c r="F1732">
        <v>19853757318</v>
      </c>
      <c r="G1732">
        <v>18290953102</v>
      </c>
      <c r="H1732">
        <v>16757628008</v>
      </c>
      <c r="I1732">
        <v>13598595283</v>
      </c>
      <c r="J1732">
        <v>10941133031</v>
      </c>
      <c r="K1732">
        <v>9421624819</v>
      </c>
      <c r="P1732">
        <v>201</v>
      </c>
      <c r="Q1732" t="s">
        <v>3783</v>
      </c>
    </row>
    <row r="1733" spans="1:17" x14ac:dyDescent="0.3">
      <c r="A1733" t="s">
        <v>17</v>
      </c>
      <c r="B1733" t="str">
        <f>"688010"</f>
        <v>688010</v>
      </c>
      <c r="C1733" t="s">
        <v>3784</v>
      </c>
      <c r="D1733" t="s">
        <v>164</v>
      </c>
      <c r="F1733">
        <v>250126310</v>
      </c>
      <c r="G1733">
        <v>240442976</v>
      </c>
      <c r="H1733">
        <v>232308162</v>
      </c>
      <c r="I1733">
        <v>156796437</v>
      </c>
      <c r="J1733">
        <v>153101931</v>
      </c>
      <c r="K1733">
        <v>115770852</v>
      </c>
      <c r="P1733">
        <v>125</v>
      </c>
      <c r="Q1733" t="s">
        <v>3785</v>
      </c>
    </row>
    <row r="1734" spans="1:17" x14ac:dyDescent="0.3">
      <c r="A1734" t="s">
        <v>17</v>
      </c>
      <c r="B1734" t="str">
        <f>"688011"</f>
        <v>688011</v>
      </c>
      <c r="C1734" t="s">
        <v>3786</v>
      </c>
      <c r="D1734" t="s">
        <v>1136</v>
      </c>
      <c r="F1734">
        <v>160575472</v>
      </c>
      <c r="G1734">
        <v>144275184</v>
      </c>
      <c r="H1734">
        <v>180987854</v>
      </c>
      <c r="I1734">
        <v>132316148</v>
      </c>
      <c r="J1734">
        <v>152253821</v>
      </c>
      <c r="K1734">
        <v>93633652</v>
      </c>
      <c r="P1734">
        <v>88</v>
      </c>
      <c r="Q1734" t="s">
        <v>3787</v>
      </c>
    </row>
    <row r="1735" spans="1:17" x14ac:dyDescent="0.3">
      <c r="A1735" t="s">
        <v>17</v>
      </c>
      <c r="B1735" t="str">
        <f>"688012"</f>
        <v>688012</v>
      </c>
      <c r="C1735" t="s">
        <v>3788</v>
      </c>
      <c r="D1735" t="s">
        <v>3187</v>
      </c>
      <c r="F1735">
        <v>508609563</v>
      </c>
      <c r="G1735">
        <v>278869785</v>
      </c>
      <c r="H1735">
        <v>287227747</v>
      </c>
      <c r="I1735">
        <v>460301034</v>
      </c>
      <c r="J1735">
        <v>460388232</v>
      </c>
      <c r="K1735">
        <v>208972017</v>
      </c>
      <c r="P1735">
        <v>620</v>
      </c>
      <c r="Q1735" t="s">
        <v>3789</v>
      </c>
    </row>
    <row r="1736" spans="1:17" x14ac:dyDescent="0.3">
      <c r="A1736" t="s">
        <v>17</v>
      </c>
      <c r="B1736" t="str">
        <f>"688013"</f>
        <v>688013</v>
      </c>
      <c r="C1736" t="s">
        <v>3790</v>
      </c>
      <c r="D1736" t="s">
        <v>1077</v>
      </c>
      <c r="F1736">
        <v>7566396</v>
      </c>
      <c r="G1736">
        <v>3236093</v>
      </c>
      <c r="H1736">
        <v>1492652</v>
      </c>
      <c r="I1736">
        <v>1773673</v>
      </c>
      <c r="J1736">
        <v>1536607</v>
      </c>
      <c r="P1736">
        <v>64</v>
      </c>
      <c r="Q1736" t="s">
        <v>3791</v>
      </c>
    </row>
    <row r="1737" spans="1:17" x14ac:dyDescent="0.3">
      <c r="A1737" t="s">
        <v>17</v>
      </c>
      <c r="B1737" t="str">
        <f>"688015"</f>
        <v>688015</v>
      </c>
      <c r="C1737" t="s">
        <v>3792</v>
      </c>
      <c r="D1737" t="s">
        <v>1012</v>
      </c>
      <c r="F1737">
        <v>1085095919</v>
      </c>
      <c r="G1737">
        <v>854959222</v>
      </c>
      <c r="H1737">
        <v>930331320</v>
      </c>
      <c r="I1737">
        <v>854601189</v>
      </c>
      <c r="J1737">
        <v>459620087</v>
      </c>
      <c r="K1737">
        <v>398133174</v>
      </c>
      <c r="P1737">
        <v>278</v>
      </c>
      <c r="Q1737" t="s">
        <v>3793</v>
      </c>
    </row>
    <row r="1738" spans="1:17" x14ac:dyDescent="0.3">
      <c r="A1738" t="s">
        <v>17</v>
      </c>
      <c r="B1738" t="str">
        <f>"688016"</f>
        <v>688016</v>
      </c>
      <c r="C1738" t="s">
        <v>3794</v>
      </c>
      <c r="D1738" t="s">
        <v>1077</v>
      </c>
      <c r="F1738">
        <v>73201435</v>
      </c>
      <c r="G1738">
        <v>48793395</v>
      </c>
      <c r="H1738">
        <v>34229536</v>
      </c>
      <c r="I1738">
        <v>23424132</v>
      </c>
      <c r="J1738">
        <v>23558861</v>
      </c>
      <c r="K1738">
        <v>18913049</v>
      </c>
      <c r="P1738">
        <v>551</v>
      </c>
      <c r="Q1738" t="s">
        <v>3795</v>
      </c>
    </row>
    <row r="1739" spans="1:17" x14ac:dyDescent="0.3">
      <c r="A1739" t="s">
        <v>17</v>
      </c>
      <c r="B1739" t="str">
        <f>"688017"</f>
        <v>688017</v>
      </c>
      <c r="C1739" t="s">
        <v>3796</v>
      </c>
      <c r="D1739" t="s">
        <v>2938</v>
      </c>
      <c r="F1739">
        <v>62057741</v>
      </c>
      <c r="G1739">
        <v>39697621</v>
      </c>
      <c r="H1739">
        <v>37007253</v>
      </c>
      <c r="I1739">
        <v>35585231</v>
      </c>
      <c r="J1739">
        <v>36427013</v>
      </c>
      <c r="P1739">
        <v>152</v>
      </c>
      <c r="Q1739" t="s">
        <v>3797</v>
      </c>
    </row>
    <row r="1740" spans="1:17" x14ac:dyDescent="0.3">
      <c r="A1740" t="s">
        <v>17</v>
      </c>
      <c r="B1740" t="str">
        <f>"688018"</f>
        <v>688018</v>
      </c>
      <c r="C1740" t="s">
        <v>3798</v>
      </c>
      <c r="D1740" t="s">
        <v>461</v>
      </c>
      <c r="F1740">
        <v>306823758</v>
      </c>
      <c r="G1740">
        <v>182138716</v>
      </c>
      <c r="H1740">
        <v>110709559</v>
      </c>
      <c r="I1740">
        <v>46026641</v>
      </c>
      <c r="J1740">
        <v>43623900</v>
      </c>
      <c r="K1740">
        <v>16980142</v>
      </c>
      <c r="P1740">
        <v>317</v>
      </c>
      <c r="Q1740" t="s">
        <v>3799</v>
      </c>
    </row>
    <row r="1741" spans="1:17" x14ac:dyDescent="0.3">
      <c r="A1741" t="s">
        <v>17</v>
      </c>
      <c r="B1741" t="str">
        <f>"688019"</f>
        <v>688019</v>
      </c>
      <c r="C1741" t="s">
        <v>3800</v>
      </c>
      <c r="D1741" t="s">
        <v>2408</v>
      </c>
      <c r="F1741">
        <v>176730270</v>
      </c>
      <c r="G1741">
        <v>65654985</v>
      </c>
      <c r="H1741">
        <v>51641132</v>
      </c>
      <c r="I1741">
        <v>53906916</v>
      </c>
      <c r="J1741">
        <v>43737236</v>
      </c>
      <c r="K1741">
        <v>38957227</v>
      </c>
      <c r="P1741">
        <v>286</v>
      </c>
      <c r="Q1741" t="s">
        <v>3801</v>
      </c>
    </row>
    <row r="1742" spans="1:17" x14ac:dyDescent="0.3">
      <c r="A1742" t="s">
        <v>17</v>
      </c>
      <c r="B1742" t="str">
        <f>"688020"</f>
        <v>688020</v>
      </c>
      <c r="C1742" t="s">
        <v>3802</v>
      </c>
      <c r="D1742" t="s">
        <v>425</v>
      </c>
      <c r="F1742">
        <v>118540598</v>
      </c>
      <c r="G1742">
        <v>112637694</v>
      </c>
      <c r="H1742">
        <v>124366525</v>
      </c>
      <c r="I1742">
        <v>111190824</v>
      </c>
      <c r="J1742">
        <v>105359340</v>
      </c>
      <c r="K1742">
        <v>93730800</v>
      </c>
      <c r="P1742">
        <v>253</v>
      </c>
      <c r="Q1742" t="s">
        <v>3803</v>
      </c>
    </row>
    <row r="1743" spans="1:17" x14ac:dyDescent="0.3">
      <c r="A1743" t="s">
        <v>17</v>
      </c>
      <c r="B1743" t="str">
        <f>"688021"</f>
        <v>688021</v>
      </c>
      <c r="C1743" t="s">
        <v>3804</v>
      </c>
      <c r="D1743" t="s">
        <v>985</v>
      </c>
      <c r="F1743">
        <v>178709869</v>
      </c>
      <c r="G1743">
        <v>115784316</v>
      </c>
      <c r="H1743">
        <v>120592046</v>
      </c>
      <c r="I1743">
        <v>97629380</v>
      </c>
      <c r="J1743">
        <v>78357505</v>
      </c>
      <c r="K1743">
        <v>47604262</v>
      </c>
      <c r="P1743">
        <v>79</v>
      </c>
      <c r="Q1743" t="s">
        <v>3805</v>
      </c>
    </row>
    <row r="1744" spans="1:17" x14ac:dyDescent="0.3">
      <c r="A1744" t="s">
        <v>17</v>
      </c>
      <c r="B1744" t="str">
        <f>"688022"</f>
        <v>688022</v>
      </c>
      <c r="C1744" t="s">
        <v>3806</v>
      </c>
      <c r="D1744" t="s">
        <v>741</v>
      </c>
      <c r="F1744">
        <v>398287770</v>
      </c>
      <c r="G1744">
        <v>269245762</v>
      </c>
      <c r="H1744">
        <v>135685525</v>
      </c>
      <c r="I1744">
        <v>101106066</v>
      </c>
      <c r="J1744">
        <v>51337533</v>
      </c>
      <c r="K1744">
        <v>19944179</v>
      </c>
      <c r="P1744">
        <v>164</v>
      </c>
      <c r="Q1744" t="s">
        <v>3807</v>
      </c>
    </row>
    <row r="1745" spans="1:17" x14ac:dyDescent="0.3">
      <c r="A1745" t="s">
        <v>17</v>
      </c>
      <c r="B1745" t="str">
        <f>"688023"</f>
        <v>688023</v>
      </c>
      <c r="C1745" t="s">
        <v>3808</v>
      </c>
      <c r="D1745" t="s">
        <v>1189</v>
      </c>
      <c r="F1745">
        <v>467952888</v>
      </c>
      <c r="G1745">
        <v>279812855</v>
      </c>
      <c r="H1745">
        <v>200920597</v>
      </c>
      <c r="I1745">
        <v>169733083</v>
      </c>
      <c r="J1745">
        <v>111105669</v>
      </c>
      <c r="K1745">
        <v>89045326</v>
      </c>
      <c r="P1745">
        <v>249</v>
      </c>
      <c r="Q1745" t="s">
        <v>3809</v>
      </c>
    </row>
    <row r="1746" spans="1:17" x14ac:dyDescent="0.3">
      <c r="A1746" t="s">
        <v>17</v>
      </c>
      <c r="B1746" t="str">
        <f>"688025"</f>
        <v>688025</v>
      </c>
      <c r="C1746" t="s">
        <v>3810</v>
      </c>
      <c r="D1746" t="s">
        <v>3811</v>
      </c>
      <c r="F1746">
        <v>301048457</v>
      </c>
      <c r="G1746">
        <v>229653076</v>
      </c>
      <c r="H1746">
        <v>239042816</v>
      </c>
      <c r="I1746">
        <v>141225748</v>
      </c>
      <c r="J1746">
        <v>77737727</v>
      </c>
      <c r="K1746">
        <v>65802202</v>
      </c>
      <c r="P1746">
        <v>158</v>
      </c>
      <c r="Q1746" t="s">
        <v>3812</v>
      </c>
    </row>
    <row r="1747" spans="1:17" x14ac:dyDescent="0.3">
      <c r="A1747" t="s">
        <v>17</v>
      </c>
      <c r="B1747" t="str">
        <f>"688026"</f>
        <v>688026</v>
      </c>
      <c r="C1747" t="s">
        <v>3813</v>
      </c>
      <c r="D1747" t="s">
        <v>1192</v>
      </c>
      <c r="F1747">
        <v>141090377</v>
      </c>
      <c r="G1747">
        <v>83235441</v>
      </c>
      <c r="H1747">
        <v>69230779</v>
      </c>
      <c r="I1747">
        <v>66822691</v>
      </c>
      <c r="J1747">
        <v>49880611</v>
      </c>
      <c r="K1747">
        <v>36386315</v>
      </c>
      <c r="P1747">
        <v>211</v>
      </c>
      <c r="Q1747" t="s">
        <v>3814</v>
      </c>
    </row>
    <row r="1748" spans="1:17" x14ac:dyDescent="0.3">
      <c r="A1748" t="s">
        <v>17</v>
      </c>
      <c r="B1748" t="str">
        <f>"688027"</f>
        <v>688027</v>
      </c>
      <c r="C1748" t="s">
        <v>3815</v>
      </c>
      <c r="D1748" t="s">
        <v>786</v>
      </c>
      <c r="F1748">
        <v>250452046</v>
      </c>
      <c r="G1748">
        <v>214168215</v>
      </c>
      <c r="H1748">
        <v>273414740</v>
      </c>
      <c r="I1748">
        <v>298841701</v>
      </c>
      <c r="J1748">
        <v>273887155</v>
      </c>
      <c r="K1748">
        <v>206596873</v>
      </c>
      <c r="P1748">
        <v>98</v>
      </c>
      <c r="Q1748" t="s">
        <v>3816</v>
      </c>
    </row>
    <row r="1749" spans="1:17" x14ac:dyDescent="0.3">
      <c r="A1749" t="s">
        <v>17</v>
      </c>
      <c r="B1749" t="str">
        <f>"688028"</f>
        <v>688028</v>
      </c>
      <c r="C1749" t="s">
        <v>3817</v>
      </c>
      <c r="D1749" t="s">
        <v>404</v>
      </c>
      <c r="F1749">
        <v>60050798</v>
      </c>
      <c r="G1749">
        <v>49657407</v>
      </c>
      <c r="H1749">
        <v>54815599</v>
      </c>
      <c r="I1749">
        <v>51418513</v>
      </c>
      <c r="J1749">
        <v>51014654</v>
      </c>
      <c r="K1749">
        <v>47493933</v>
      </c>
      <c r="P1749">
        <v>76</v>
      </c>
      <c r="Q1749" t="s">
        <v>3818</v>
      </c>
    </row>
    <row r="1750" spans="1:17" x14ac:dyDescent="0.3">
      <c r="A1750" t="s">
        <v>17</v>
      </c>
      <c r="B1750" t="str">
        <f>"688029"</f>
        <v>688029</v>
      </c>
      <c r="C1750" t="s">
        <v>3819</v>
      </c>
      <c r="D1750" t="s">
        <v>1077</v>
      </c>
      <c r="F1750">
        <v>354951574</v>
      </c>
      <c r="G1750">
        <v>205133817</v>
      </c>
      <c r="H1750">
        <v>170153591</v>
      </c>
      <c r="I1750">
        <v>132694821</v>
      </c>
      <c r="J1750">
        <v>94366795</v>
      </c>
      <c r="K1750">
        <v>67038362</v>
      </c>
      <c r="P1750">
        <v>392</v>
      </c>
      <c r="Q1750" t="s">
        <v>3820</v>
      </c>
    </row>
    <row r="1751" spans="1:17" x14ac:dyDescent="0.3">
      <c r="A1751" t="s">
        <v>17</v>
      </c>
      <c r="B1751" t="str">
        <f>"688030"</f>
        <v>688030</v>
      </c>
      <c r="C1751" t="s">
        <v>3821</v>
      </c>
      <c r="D1751" t="s">
        <v>1189</v>
      </c>
      <c r="F1751">
        <v>629689935</v>
      </c>
      <c r="G1751">
        <v>306334548</v>
      </c>
      <c r="H1751">
        <v>322088214</v>
      </c>
      <c r="I1751">
        <v>318326108</v>
      </c>
      <c r="J1751">
        <v>205435414</v>
      </c>
      <c r="K1751">
        <v>113909135</v>
      </c>
      <c r="P1751">
        <v>145</v>
      </c>
      <c r="Q1751" t="s">
        <v>3822</v>
      </c>
    </row>
    <row r="1752" spans="1:17" x14ac:dyDescent="0.3">
      <c r="A1752" t="s">
        <v>17</v>
      </c>
      <c r="B1752" t="str">
        <f>"688032"</f>
        <v>688032</v>
      </c>
      <c r="C1752" t="s">
        <v>3823</v>
      </c>
      <c r="D1752" t="s">
        <v>3824</v>
      </c>
      <c r="F1752">
        <v>207232013</v>
      </c>
      <c r="G1752">
        <v>159692784</v>
      </c>
      <c r="H1752">
        <v>148000424</v>
      </c>
      <c r="I1752">
        <v>108086877</v>
      </c>
      <c r="J1752">
        <v>125024225</v>
      </c>
      <c r="P1752">
        <v>31</v>
      </c>
      <c r="Q1752" t="s">
        <v>3825</v>
      </c>
    </row>
    <row r="1753" spans="1:17" x14ac:dyDescent="0.3">
      <c r="A1753" t="s">
        <v>17</v>
      </c>
      <c r="B1753" t="str">
        <f>"688033"</f>
        <v>688033</v>
      </c>
      <c r="C1753" t="s">
        <v>3826</v>
      </c>
      <c r="D1753" t="s">
        <v>1012</v>
      </c>
      <c r="F1753">
        <v>587662570</v>
      </c>
      <c r="G1753">
        <v>354275570</v>
      </c>
      <c r="H1753">
        <v>403369912</v>
      </c>
      <c r="I1753">
        <v>256712482</v>
      </c>
      <c r="J1753">
        <v>283462496</v>
      </c>
      <c r="K1753">
        <v>207721779</v>
      </c>
      <c r="P1753">
        <v>86</v>
      </c>
      <c r="Q1753" t="s">
        <v>3827</v>
      </c>
    </row>
    <row r="1754" spans="1:17" x14ac:dyDescent="0.3">
      <c r="A1754" t="s">
        <v>17</v>
      </c>
      <c r="B1754" t="str">
        <f>"688036"</f>
        <v>688036</v>
      </c>
      <c r="C1754" t="s">
        <v>3828</v>
      </c>
      <c r="D1754" t="s">
        <v>3526</v>
      </c>
      <c r="F1754">
        <v>1230295046</v>
      </c>
      <c r="G1754">
        <v>1144784126</v>
      </c>
      <c r="H1754">
        <v>783958999</v>
      </c>
      <c r="I1754">
        <v>455046926</v>
      </c>
      <c r="J1754">
        <v>403307699</v>
      </c>
      <c r="K1754">
        <v>433753230</v>
      </c>
      <c r="P1754">
        <v>596</v>
      </c>
      <c r="Q1754" t="s">
        <v>3829</v>
      </c>
    </row>
    <row r="1755" spans="1:17" x14ac:dyDescent="0.3">
      <c r="A1755" t="s">
        <v>17</v>
      </c>
      <c r="B1755" t="str">
        <f>"688037"</f>
        <v>688037</v>
      </c>
      <c r="C1755" t="s">
        <v>3830</v>
      </c>
      <c r="D1755" t="s">
        <v>3187</v>
      </c>
      <c r="F1755">
        <v>229749699</v>
      </c>
      <c r="G1755">
        <v>84307944</v>
      </c>
      <c r="H1755">
        <v>54848914</v>
      </c>
      <c r="I1755">
        <v>53520285</v>
      </c>
      <c r="J1755">
        <v>24331591</v>
      </c>
      <c r="K1755">
        <v>32233439</v>
      </c>
      <c r="P1755">
        <v>168</v>
      </c>
      <c r="Q1755" t="s">
        <v>3831</v>
      </c>
    </row>
    <row r="1756" spans="1:17" x14ac:dyDescent="0.3">
      <c r="A1756" t="s">
        <v>17</v>
      </c>
      <c r="B1756" t="str">
        <f>"688038"</f>
        <v>688038</v>
      </c>
      <c r="C1756" t="s">
        <v>3832</v>
      </c>
      <c r="D1756" t="s">
        <v>945</v>
      </c>
      <c r="F1756">
        <v>344781576</v>
      </c>
      <c r="G1756">
        <v>256355996</v>
      </c>
      <c r="H1756">
        <v>193830685</v>
      </c>
      <c r="I1756">
        <v>135915295</v>
      </c>
      <c r="J1756">
        <v>121654847</v>
      </c>
      <c r="P1756">
        <v>17</v>
      </c>
      <c r="Q1756" t="s">
        <v>3833</v>
      </c>
    </row>
    <row r="1757" spans="1:17" x14ac:dyDescent="0.3">
      <c r="A1757" t="s">
        <v>17</v>
      </c>
      <c r="B1757" t="str">
        <f>"688039"</f>
        <v>688039</v>
      </c>
      <c r="C1757" t="s">
        <v>3834</v>
      </c>
      <c r="D1757" t="s">
        <v>316</v>
      </c>
      <c r="F1757">
        <v>357843605</v>
      </c>
      <c r="G1757">
        <v>250761743</v>
      </c>
      <c r="H1757">
        <v>217999845</v>
      </c>
      <c r="I1757">
        <v>138974777</v>
      </c>
      <c r="J1757">
        <v>71334289</v>
      </c>
      <c r="K1757">
        <v>28780100</v>
      </c>
      <c r="P1757">
        <v>155</v>
      </c>
      <c r="Q1757" t="s">
        <v>3835</v>
      </c>
    </row>
    <row r="1758" spans="1:17" x14ac:dyDescent="0.3">
      <c r="A1758" t="s">
        <v>17</v>
      </c>
      <c r="B1758" t="str">
        <f>"688046"</f>
        <v>688046</v>
      </c>
      <c r="C1758" t="s">
        <v>3836</v>
      </c>
      <c r="F1758">
        <v>118571038</v>
      </c>
      <c r="G1758">
        <v>90678098</v>
      </c>
      <c r="H1758">
        <v>63549941</v>
      </c>
      <c r="I1758">
        <v>29588976</v>
      </c>
      <c r="P1758">
        <v>2</v>
      </c>
      <c r="Q1758" t="s">
        <v>3837</v>
      </c>
    </row>
    <row r="1759" spans="1:17" x14ac:dyDescent="0.3">
      <c r="A1759" t="s">
        <v>17</v>
      </c>
      <c r="B1759" t="str">
        <f>"688048"</f>
        <v>688048</v>
      </c>
      <c r="C1759" t="s">
        <v>3838</v>
      </c>
      <c r="F1759">
        <v>179581653</v>
      </c>
      <c r="G1759">
        <v>135681365</v>
      </c>
      <c r="H1759">
        <v>52874430</v>
      </c>
      <c r="I1759">
        <v>34393813</v>
      </c>
      <c r="P1759">
        <v>12</v>
      </c>
      <c r="Q1759" t="s">
        <v>3839</v>
      </c>
    </row>
    <row r="1760" spans="1:17" x14ac:dyDescent="0.3">
      <c r="A1760" t="s">
        <v>17</v>
      </c>
      <c r="B1760" t="str">
        <f>"688049"</f>
        <v>688049</v>
      </c>
      <c r="C1760" t="s">
        <v>3840</v>
      </c>
      <c r="D1760" t="s">
        <v>461</v>
      </c>
      <c r="F1760">
        <v>61792117</v>
      </c>
      <c r="G1760">
        <v>79568290</v>
      </c>
      <c r="H1760">
        <v>33059937</v>
      </c>
      <c r="I1760">
        <v>23217431</v>
      </c>
      <c r="J1760">
        <v>29225514</v>
      </c>
      <c r="P1760">
        <v>21</v>
      </c>
      <c r="Q1760" t="s">
        <v>3841</v>
      </c>
    </row>
    <row r="1761" spans="1:17" x14ac:dyDescent="0.3">
      <c r="A1761" t="s">
        <v>17</v>
      </c>
      <c r="B1761" t="str">
        <f>"688050"</f>
        <v>688050</v>
      </c>
      <c r="C1761" t="s">
        <v>3842</v>
      </c>
      <c r="D1761" t="s">
        <v>1077</v>
      </c>
      <c r="F1761">
        <v>67800100</v>
      </c>
      <c r="G1761">
        <v>74223188</v>
      </c>
      <c r="H1761">
        <v>58302431</v>
      </c>
      <c r="I1761">
        <v>44596147</v>
      </c>
      <c r="J1761">
        <v>34985644</v>
      </c>
      <c r="K1761">
        <v>19053331</v>
      </c>
      <c r="P1761">
        <v>411</v>
      </c>
      <c r="Q1761" t="s">
        <v>3843</v>
      </c>
    </row>
    <row r="1762" spans="1:17" x14ac:dyDescent="0.3">
      <c r="A1762" t="s">
        <v>17</v>
      </c>
      <c r="B1762" t="str">
        <f>"688051"</f>
        <v>688051</v>
      </c>
      <c r="C1762" t="s">
        <v>3844</v>
      </c>
      <c r="D1762" t="s">
        <v>316</v>
      </c>
      <c r="F1762">
        <v>425758555</v>
      </c>
      <c r="G1762">
        <v>311133929</v>
      </c>
      <c r="H1762">
        <v>292481027</v>
      </c>
      <c r="I1762">
        <v>291463794</v>
      </c>
      <c r="J1762">
        <v>275648400</v>
      </c>
      <c r="K1762">
        <v>154250500</v>
      </c>
      <c r="P1762">
        <v>91</v>
      </c>
      <c r="Q1762" t="s">
        <v>3845</v>
      </c>
    </row>
    <row r="1763" spans="1:17" x14ac:dyDescent="0.3">
      <c r="A1763" t="s">
        <v>17</v>
      </c>
      <c r="B1763" t="str">
        <f>"688052"</f>
        <v>688052</v>
      </c>
      <c r="C1763" t="s">
        <v>3846</v>
      </c>
      <c r="F1763">
        <v>106445021</v>
      </c>
      <c r="G1763">
        <v>41967831</v>
      </c>
      <c r="H1763">
        <v>7557985</v>
      </c>
      <c r="I1763">
        <v>989283</v>
      </c>
      <c r="P1763">
        <v>11</v>
      </c>
      <c r="Q1763" t="s">
        <v>3847</v>
      </c>
    </row>
    <row r="1764" spans="1:17" x14ac:dyDescent="0.3">
      <c r="A1764" t="s">
        <v>17</v>
      </c>
      <c r="B1764" t="str">
        <f>"688055"</f>
        <v>688055</v>
      </c>
      <c r="C1764" t="s">
        <v>3848</v>
      </c>
      <c r="D1764" t="s">
        <v>1117</v>
      </c>
      <c r="F1764">
        <v>940462410</v>
      </c>
      <c r="G1764">
        <v>866460562</v>
      </c>
      <c r="H1764">
        <v>669454166</v>
      </c>
      <c r="I1764">
        <v>496361692</v>
      </c>
      <c r="J1764">
        <v>234040576</v>
      </c>
      <c r="K1764">
        <v>172049076</v>
      </c>
      <c r="P1764">
        <v>76</v>
      </c>
      <c r="Q1764" t="s">
        <v>3849</v>
      </c>
    </row>
    <row r="1765" spans="1:17" x14ac:dyDescent="0.3">
      <c r="A1765" t="s">
        <v>17</v>
      </c>
      <c r="B1765" t="str">
        <f>"688056"</f>
        <v>688056</v>
      </c>
      <c r="C1765" t="s">
        <v>3850</v>
      </c>
      <c r="D1765" t="s">
        <v>2566</v>
      </c>
      <c r="F1765">
        <v>43128881</v>
      </c>
      <c r="G1765">
        <v>40277088</v>
      </c>
      <c r="H1765">
        <v>48943238</v>
      </c>
      <c r="I1765">
        <v>43387584</v>
      </c>
      <c r="J1765">
        <v>24846730</v>
      </c>
      <c r="K1765">
        <v>19853598</v>
      </c>
      <c r="P1765">
        <v>50</v>
      </c>
      <c r="Q1765" t="s">
        <v>3851</v>
      </c>
    </row>
    <row r="1766" spans="1:17" x14ac:dyDescent="0.3">
      <c r="A1766" t="s">
        <v>17</v>
      </c>
      <c r="B1766" t="str">
        <f>"688057"</f>
        <v>688057</v>
      </c>
      <c r="C1766" t="s">
        <v>3852</v>
      </c>
      <c r="D1766" t="s">
        <v>33</v>
      </c>
      <c r="F1766">
        <v>890590830</v>
      </c>
      <c r="G1766">
        <v>632419463</v>
      </c>
      <c r="H1766">
        <v>642094276</v>
      </c>
      <c r="I1766">
        <v>607316171</v>
      </c>
      <c r="J1766">
        <v>490870807</v>
      </c>
      <c r="K1766">
        <v>429496083</v>
      </c>
      <c r="P1766">
        <v>116</v>
      </c>
      <c r="Q1766" t="s">
        <v>3853</v>
      </c>
    </row>
    <row r="1767" spans="1:17" x14ac:dyDescent="0.3">
      <c r="A1767" t="s">
        <v>17</v>
      </c>
      <c r="B1767" t="str">
        <f>"688058"</f>
        <v>688058</v>
      </c>
      <c r="C1767" t="s">
        <v>3854</v>
      </c>
      <c r="D1767" t="s">
        <v>1189</v>
      </c>
      <c r="F1767">
        <v>203977251</v>
      </c>
      <c r="G1767">
        <v>174768417</v>
      </c>
      <c r="H1767">
        <v>134858667</v>
      </c>
      <c r="I1767">
        <v>99227122</v>
      </c>
      <c r="J1767">
        <v>57635863</v>
      </c>
      <c r="K1767">
        <v>54864998</v>
      </c>
      <c r="P1767">
        <v>96</v>
      </c>
      <c r="Q1767" t="s">
        <v>3855</v>
      </c>
    </row>
    <row r="1768" spans="1:17" x14ac:dyDescent="0.3">
      <c r="A1768" t="s">
        <v>17</v>
      </c>
      <c r="B1768" t="str">
        <f>"688059"</f>
        <v>688059</v>
      </c>
      <c r="C1768" t="s">
        <v>3856</v>
      </c>
      <c r="D1768" t="s">
        <v>274</v>
      </c>
      <c r="F1768">
        <v>79150724</v>
      </c>
      <c r="G1768">
        <v>64070328</v>
      </c>
      <c r="H1768">
        <v>48246937</v>
      </c>
      <c r="I1768">
        <v>36548285</v>
      </c>
      <c r="J1768">
        <v>13416327</v>
      </c>
      <c r="P1768">
        <v>105</v>
      </c>
      <c r="Q1768" t="s">
        <v>3857</v>
      </c>
    </row>
    <row r="1769" spans="1:17" x14ac:dyDescent="0.3">
      <c r="A1769" t="s">
        <v>17</v>
      </c>
      <c r="B1769" t="str">
        <f>"688060"</f>
        <v>688060</v>
      </c>
      <c r="C1769" t="s">
        <v>3858</v>
      </c>
      <c r="D1769" t="s">
        <v>236</v>
      </c>
      <c r="F1769">
        <v>251458918</v>
      </c>
      <c r="G1769">
        <v>170821293</v>
      </c>
      <c r="H1769">
        <v>106760999</v>
      </c>
      <c r="I1769">
        <v>91368842</v>
      </c>
      <c r="J1769">
        <v>68410774</v>
      </c>
      <c r="K1769">
        <v>58251921</v>
      </c>
      <c r="P1769">
        <v>75</v>
      </c>
      <c r="Q1769" t="s">
        <v>3859</v>
      </c>
    </row>
    <row r="1770" spans="1:17" x14ac:dyDescent="0.3">
      <c r="A1770" t="s">
        <v>17</v>
      </c>
      <c r="B1770" t="str">
        <f>"688062"</f>
        <v>688062</v>
      </c>
      <c r="C1770" t="s">
        <v>3860</v>
      </c>
      <c r="D1770" t="s">
        <v>143</v>
      </c>
      <c r="F1770">
        <v>140419</v>
      </c>
      <c r="G1770">
        <v>225406</v>
      </c>
      <c r="H1770">
        <v>8255145</v>
      </c>
      <c r="I1770">
        <v>22900641</v>
      </c>
      <c r="J1770">
        <v>73606</v>
      </c>
      <c r="P1770">
        <v>14</v>
      </c>
      <c r="Q1770" t="s">
        <v>3861</v>
      </c>
    </row>
    <row r="1771" spans="1:17" x14ac:dyDescent="0.3">
      <c r="A1771" t="s">
        <v>17</v>
      </c>
      <c r="B1771" t="str">
        <f>"688063"</f>
        <v>688063</v>
      </c>
      <c r="C1771" t="s">
        <v>3862</v>
      </c>
      <c r="D1771" t="s">
        <v>359</v>
      </c>
      <c r="F1771">
        <v>559058315</v>
      </c>
      <c r="G1771">
        <v>252140841</v>
      </c>
      <c r="H1771">
        <v>153476623</v>
      </c>
      <c r="I1771">
        <v>127964434</v>
      </c>
      <c r="J1771">
        <v>56985757</v>
      </c>
      <c r="P1771">
        <v>212</v>
      </c>
      <c r="Q1771" t="s">
        <v>3863</v>
      </c>
    </row>
    <row r="1772" spans="1:17" x14ac:dyDescent="0.3">
      <c r="A1772" t="s">
        <v>17</v>
      </c>
      <c r="B1772" t="str">
        <f>"688065"</f>
        <v>688065</v>
      </c>
      <c r="C1772" t="s">
        <v>3864</v>
      </c>
      <c r="D1772" t="s">
        <v>386</v>
      </c>
      <c r="F1772">
        <v>259346936</v>
      </c>
      <c r="G1772">
        <v>188100895</v>
      </c>
      <c r="H1772">
        <v>153756614</v>
      </c>
      <c r="I1772">
        <v>185987138</v>
      </c>
      <c r="J1772">
        <v>162532062</v>
      </c>
      <c r="K1772">
        <v>113366853</v>
      </c>
      <c r="P1772">
        <v>107</v>
      </c>
      <c r="Q1772" t="s">
        <v>3865</v>
      </c>
    </row>
    <row r="1773" spans="1:17" x14ac:dyDescent="0.3">
      <c r="A1773" t="s">
        <v>17</v>
      </c>
      <c r="B1773" t="str">
        <f>"688066"</f>
        <v>688066</v>
      </c>
      <c r="C1773" t="s">
        <v>3866</v>
      </c>
      <c r="D1773" t="s">
        <v>316</v>
      </c>
      <c r="F1773">
        <v>1202589849</v>
      </c>
      <c r="G1773">
        <v>701571548</v>
      </c>
      <c r="H1773">
        <v>541037900</v>
      </c>
      <c r="I1773">
        <v>419105031</v>
      </c>
      <c r="J1773">
        <v>272814140</v>
      </c>
      <c r="K1773">
        <v>182332905</v>
      </c>
      <c r="P1773">
        <v>159</v>
      </c>
      <c r="Q1773" t="s">
        <v>3867</v>
      </c>
    </row>
    <row r="1774" spans="1:17" x14ac:dyDescent="0.3">
      <c r="A1774" t="s">
        <v>17</v>
      </c>
      <c r="B1774" t="str">
        <f>"688067"</f>
        <v>688067</v>
      </c>
      <c r="C1774" t="s">
        <v>3868</v>
      </c>
      <c r="D1774" t="s">
        <v>1305</v>
      </c>
      <c r="F1774">
        <v>9836886</v>
      </c>
      <c r="G1774">
        <v>10325421</v>
      </c>
      <c r="H1774">
        <v>11566020</v>
      </c>
      <c r="I1774">
        <v>11249138</v>
      </c>
      <c r="J1774">
        <v>12261114</v>
      </c>
      <c r="P1774">
        <v>35</v>
      </c>
      <c r="Q1774" t="s">
        <v>3869</v>
      </c>
    </row>
    <row r="1775" spans="1:17" x14ac:dyDescent="0.3">
      <c r="A1775" t="s">
        <v>17</v>
      </c>
      <c r="B1775" t="str">
        <f>"688068"</f>
        <v>688068</v>
      </c>
      <c r="C1775" t="s">
        <v>3870</v>
      </c>
      <c r="D1775" t="s">
        <v>1305</v>
      </c>
      <c r="F1775">
        <v>37116512</v>
      </c>
      <c r="G1775">
        <v>26699937</v>
      </c>
      <c r="H1775">
        <v>37934194</v>
      </c>
      <c r="I1775">
        <v>26326284</v>
      </c>
      <c r="J1775">
        <v>16545685</v>
      </c>
      <c r="K1775">
        <v>10777091</v>
      </c>
      <c r="P1775">
        <v>254</v>
      </c>
      <c r="Q1775" t="s">
        <v>3871</v>
      </c>
    </row>
    <row r="1776" spans="1:17" x14ac:dyDescent="0.3">
      <c r="A1776" t="s">
        <v>17</v>
      </c>
      <c r="B1776" t="str">
        <f>"688069"</f>
        <v>688069</v>
      </c>
      <c r="C1776" t="s">
        <v>3872</v>
      </c>
      <c r="D1776" t="s">
        <v>33</v>
      </c>
      <c r="F1776">
        <v>682476916</v>
      </c>
      <c r="G1776">
        <v>460813664</v>
      </c>
      <c r="H1776">
        <v>195167638</v>
      </c>
      <c r="I1776">
        <v>125015941</v>
      </c>
      <c r="J1776">
        <v>109516731</v>
      </c>
      <c r="K1776">
        <v>46627845</v>
      </c>
      <c r="P1776">
        <v>79</v>
      </c>
      <c r="Q1776" t="s">
        <v>3873</v>
      </c>
    </row>
    <row r="1777" spans="1:17" x14ac:dyDescent="0.3">
      <c r="A1777" t="s">
        <v>17</v>
      </c>
      <c r="B1777" t="str">
        <f>"688070"</f>
        <v>688070</v>
      </c>
      <c r="C1777" t="s">
        <v>3874</v>
      </c>
      <c r="D1777" t="s">
        <v>98</v>
      </c>
      <c r="F1777">
        <v>105342083</v>
      </c>
      <c r="G1777">
        <v>67106572</v>
      </c>
      <c r="H1777">
        <v>46610101</v>
      </c>
      <c r="I1777">
        <v>19355406</v>
      </c>
      <c r="J1777">
        <v>11237271</v>
      </c>
      <c r="P1777">
        <v>43</v>
      </c>
      <c r="Q1777" t="s">
        <v>3875</v>
      </c>
    </row>
    <row r="1778" spans="1:17" x14ac:dyDescent="0.3">
      <c r="A1778" t="s">
        <v>17</v>
      </c>
      <c r="B1778" t="str">
        <f>"688071"</f>
        <v>688071</v>
      </c>
      <c r="C1778" t="s">
        <v>3876</v>
      </c>
      <c r="D1778" t="s">
        <v>741</v>
      </c>
      <c r="F1778">
        <v>281314230</v>
      </c>
      <c r="G1778">
        <v>180178610</v>
      </c>
      <c r="H1778">
        <v>126477734</v>
      </c>
      <c r="I1778">
        <v>50479675</v>
      </c>
      <c r="J1778">
        <v>29986905</v>
      </c>
      <c r="P1778">
        <v>28</v>
      </c>
      <c r="Q1778" t="s">
        <v>3877</v>
      </c>
    </row>
    <row r="1779" spans="1:17" x14ac:dyDescent="0.3">
      <c r="A1779" t="s">
        <v>17</v>
      </c>
      <c r="B1779" t="str">
        <f>"688072"</f>
        <v>688072</v>
      </c>
      <c r="C1779" t="s">
        <v>3878</v>
      </c>
      <c r="F1779">
        <v>102604594</v>
      </c>
      <c r="G1779">
        <v>71891698</v>
      </c>
      <c r="H1779">
        <v>131388589</v>
      </c>
      <c r="I1779">
        <v>62719949</v>
      </c>
      <c r="P1779">
        <v>5</v>
      </c>
      <c r="Q1779" t="s">
        <v>3879</v>
      </c>
    </row>
    <row r="1780" spans="1:17" x14ac:dyDescent="0.3">
      <c r="A1780" t="s">
        <v>17</v>
      </c>
      <c r="B1780" t="str">
        <f>"688075"</f>
        <v>688075</v>
      </c>
      <c r="C1780" t="s">
        <v>3880</v>
      </c>
      <c r="D1780" t="s">
        <v>1305</v>
      </c>
      <c r="F1780">
        <v>514297261</v>
      </c>
      <c r="G1780">
        <v>250374827</v>
      </c>
      <c r="H1780">
        <v>58645503</v>
      </c>
      <c r="I1780">
        <v>42236598</v>
      </c>
      <c r="J1780">
        <v>19697749</v>
      </c>
      <c r="P1780">
        <v>37</v>
      </c>
      <c r="Q1780" t="s">
        <v>3881</v>
      </c>
    </row>
    <row r="1781" spans="1:17" x14ac:dyDescent="0.3">
      <c r="A1781" t="s">
        <v>17</v>
      </c>
      <c r="B1781" t="str">
        <f>"688076"</f>
        <v>688076</v>
      </c>
      <c r="C1781" t="s">
        <v>3882</v>
      </c>
      <c r="D1781" t="s">
        <v>1461</v>
      </c>
      <c r="F1781">
        <v>139375014</v>
      </c>
      <c r="G1781">
        <v>107422483</v>
      </c>
      <c r="H1781">
        <v>75530184</v>
      </c>
      <c r="I1781">
        <v>38430788</v>
      </c>
      <c r="J1781">
        <v>65156265</v>
      </c>
      <c r="P1781">
        <v>53</v>
      </c>
      <c r="Q1781" t="s">
        <v>3883</v>
      </c>
    </row>
    <row r="1782" spans="1:17" x14ac:dyDescent="0.3">
      <c r="A1782" t="s">
        <v>17</v>
      </c>
      <c r="B1782" t="str">
        <f>"688077"</f>
        <v>688077</v>
      </c>
      <c r="C1782" t="s">
        <v>3884</v>
      </c>
      <c r="D1782" t="s">
        <v>808</v>
      </c>
      <c r="F1782">
        <v>522593454</v>
      </c>
      <c r="G1782">
        <v>204732391</v>
      </c>
      <c r="H1782">
        <v>144522232</v>
      </c>
      <c r="I1782">
        <v>110931354</v>
      </c>
      <c r="J1782">
        <v>85892422</v>
      </c>
      <c r="K1782">
        <v>73947762</v>
      </c>
      <c r="P1782">
        <v>78</v>
      </c>
      <c r="Q1782" t="s">
        <v>3885</v>
      </c>
    </row>
    <row r="1783" spans="1:17" x14ac:dyDescent="0.3">
      <c r="A1783" t="s">
        <v>17</v>
      </c>
      <c r="B1783" t="str">
        <f>"688078"</f>
        <v>688078</v>
      </c>
      <c r="C1783" t="s">
        <v>3886</v>
      </c>
      <c r="D1783" t="s">
        <v>1189</v>
      </c>
      <c r="F1783">
        <v>286554862</v>
      </c>
      <c r="G1783">
        <v>141690980</v>
      </c>
      <c r="H1783">
        <v>144739762</v>
      </c>
      <c r="I1783">
        <v>155877570</v>
      </c>
      <c r="J1783">
        <v>130610663</v>
      </c>
      <c r="K1783">
        <v>107154533</v>
      </c>
      <c r="P1783">
        <v>83</v>
      </c>
      <c r="Q1783" t="s">
        <v>3887</v>
      </c>
    </row>
    <row r="1784" spans="1:17" x14ac:dyDescent="0.3">
      <c r="A1784" t="s">
        <v>17</v>
      </c>
      <c r="B1784" t="str">
        <f>"688079"</f>
        <v>688079</v>
      </c>
      <c r="C1784" t="s">
        <v>3888</v>
      </c>
      <c r="D1784" t="s">
        <v>164</v>
      </c>
      <c r="F1784">
        <v>48428273</v>
      </c>
      <c r="G1784">
        <v>51980861</v>
      </c>
      <c r="H1784">
        <v>63470655</v>
      </c>
      <c r="I1784">
        <v>42578929</v>
      </c>
      <c r="J1784">
        <v>54906801</v>
      </c>
      <c r="P1784">
        <v>36</v>
      </c>
      <c r="Q1784" t="s">
        <v>3889</v>
      </c>
    </row>
    <row r="1785" spans="1:17" x14ac:dyDescent="0.3">
      <c r="A1785" t="s">
        <v>17</v>
      </c>
      <c r="B1785" t="str">
        <f>"688080"</f>
        <v>688080</v>
      </c>
      <c r="C1785" t="s">
        <v>3890</v>
      </c>
      <c r="D1785" t="s">
        <v>595</v>
      </c>
      <c r="F1785">
        <v>130869180</v>
      </c>
      <c r="G1785">
        <v>113104664</v>
      </c>
      <c r="H1785">
        <v>119597383</v>
      </c>
      <c r="I1785">
        <v>108397152</v>
      </c>
      <c r="J1785">
        <v>92429228</v>
      </c>
      <c r="K1785">
        <v>33781548</v>
      </c>
      <c r="P1785">
        <v>87</v>
      </c>
      <c r="Q1785" t="s">
        <v>3891</v>
      </c>
    </row>
    <row r="1786" spans="1:17" x14ac:dyDescent="0.3">
      <c r="A1786" t="s">
        <v>17</v>
      </c>
      <c r="B1786" t="str">
        <f>"688081"</f>
        <v>688081</v>
      </c>
      <c r="C1786" t="s">
        <v>3892</v>
      </c>
      <c r="D1786" t="s">
        <v>1136</v>
      </c>
      <c r="F1786">
        <v>256622108</v>
      </c>
      <c r="G1786">
        <v>283622245</v>
      </c>
      <c r="H1786">
        <v>188608325</v>
      </c>
      <c r="I1786">
        <v>185977820</v>
      </c>
      <c r="J1786">
        <v>114852838</v>
      </c>
      <c r="K1786">
        <v>91072648</v>
      </c>
      <c r="P1786">
        <v>55</v>
      </c>
      <c r="Q1786" t="s">
        <v>3893</v>
      </c>
    </row>
    <row r="1787" spans="1:17" x14ac:dyDescent="0.3">
      <c r="A1787" t="s">
        <v>17</v>
      </c>
      <c r="B1787" t="str">
        <f>"688082"</f>
        <v>688082</v>
      </c>
      <c r="C1787" t="s">
        <v>3894</v>
      </c>
      <c r="D1787" t="s">
        <v>3187</v>
      </c>
      <c r="F1787">
        <v>542192682</v>
      </c>
      <c r="G1787">
        <v>256075758</v>
      </c>
      <c r="H1787">
        <v>209896422</v>
      </c>
      <c r="I1787">
        <v>173605542</v>
      </c>
      <c r="J1787">
        <v>97704923</v>
      </c>
      <c r="P1787">
        <v>35</v>
      </c>
      <c r="Q1787" t="s">
        <v>3895</v>
      </c>
    </row>
    <row r="1788" spans="1:17" x14ac:dyDescent="0.3">
      <c r="A1788" t="s">
        <v>17</v>
      </c>
      <c r="B1788" t="str">
        <f>"688083"</f>
        <v>688083</v>
      </c>
      <c r="C1788" t="s">
        <v>3896</v>
      </c>
      <c r="D1788" t="s">
        <v>945</v>
      </c>
      <c r="F1788">
        <v>101799299</v>
      </c>
      <c r="G1788">
        <v>49304921</v>
      </c>
      <c r="H1788">
        <v>49774720</v>
      </c>
      <c r="I1788">
        <v>29733560</v>
      </c>
      <c r="J1788">
        <v>20407597</v>
      </c>
      <c r="P1788">
        <v>130</v>
      </c>
      <c r="Q1788" t="s">
        <v>3897</v>
      </c>
    </row>
    <row r="1789" spans="1:17" x14ac:dyDescent="0.3">
      <c r="A1789" t="s">
        <v>17</v>
      </c>
      <c r="B1789" t="str">
        <f>"688085"</f>
        <v>688085</v>
      </c>
      <c r="C1789" t="s">
        <v>3898</v>
      </c>
      <c r="D1789" t="s">
        <v>1077</v>
      </c>
      <c r="F1789">
        <v>248862670</v>
      </c>
      <c r="G1789">
        <v>196388390</v>
      </c>
      <c r="H1789">
        <v>167584633</v>
      </c>
      <c r="I1789">
        <v>102455581</v>
      </c>
      <c r="J1789">
        <v>47591407</v>
      </c>
      <c r="K1789">
        <v>8378246</v>
      </c>
      <c r="P1789">
        <v>197</v>
      </c>
      <c r="Q1789" t="s">
        <v>3899</v>
      </c>
    </row>
    <row r="1790" spans="1:17" x14ac:dyDescent="0.3">
      <c r="A1790" t="s">
        <v>17</v>
      </c>
      <c r="B1790" t="str">
        <f>"688086"</f>
        <v>688086</v>
      </c>
      <c r="C1790" t="s">
        <v>3900</v>
      </c>
      <c r="D1790" t="s">
        <v>236</v>
      </c>
      <c r="F1790">
        <v>478146482</v>
      </c>
      <c r="G1790">
        <v>619417074</v>
      </c>
      <c r="H1790">
        <v>618280814</v>
      </c>
      <c r="I1790">
        <v>372954224</v>
      </c>
      <c r="J1790">
        <v>181008561</v>
      </c>
      <c r="K1790">
        <v>107123485</v>
      </c>
      <c r="P1790">
        <v>84</v>
      </c>
      <c r="Q1790" t="s">
        <v>3901</v>
      </c>
    </row>
    <row r="1791" spans="1:17" x14ac:dyDescent="0.3">
      <c r="A1791" t="s">
        <v>17</v>
      </c>
      <c r="B1791" t="str">
        <f>"688087"</f>
        <v>688087</v>
      </c>
      <c r="C1791" t="s">
        <v>3902</v>
      </c>
      <c r="D1791" t="s">
        <v>1192</v>
      </c>
      <c r="F1791">
        <v>205493930</v>
      </c>
      <c r="G1791">
        <v>228173882</v>
      </c>
      <c r="H1791">
        <v>114384503</v>
      </c>
      <c r="I1791">
        <v>113520765</v>
      </c>
      <c r="J1791">
        <v>101764797</v>
      </c>
      <c r="P1791">
        <v>36</v>
      </c>
      <c r="Q1791" t="s">
        <v>3903</v>
      </c>
    </row>
    <row r="1792" spans="1:17" x14ac:dyDescent="0.3">
      <c r="A1792" t="s">
        <v>17</v>
      </c>
      <c r="B1792" t="str">
        <f>"688088"</f>
        <v>688088</v>
      </c>
      <c r="C1792" t="s">
        <v>3904</v>
      </c>
      <c r="D1792" t="s">
        <v>316</v>
      </c>
      <c r="F1792">
        <v>144132768</v>
      </c>
      <c r="G1792">
        <v>208251122</v>
      </c>
      <c r="H1792">
        <v>82901635</v>
      </c>
      <c r="I1792">
        <v>41436356</v>
      </c>
      <c r="J1792">
        <v>76569354</v>
      </c>
      <c r="K1792">
        <v>18781589</v>
      </c>
      <c r="P1792">
        <v>271</v>
      </c>
      <c r="Q1792" t="s">
        <v>3905</v>
      </c>
    </row>
    <row r="1793" spans="1:17" x14ac:dyDescent="0.3">
      <c r="A1793" t="s">
        <v>17</v>
      </c>
      <c r="B1793" t="str">
        <f>"688089"</f>
        <v>688089</v>
      </c>
      <c r="C1793" t="s">
        <v>3906</v>
      </c>
      <c r="D1793" t="s">
        <v>677</v>
      </c>
      <c r="F1793">
        <v>151078052</v>
      </c>
      <c r="G1793">
        <v>128501519</v>
      </c>
      <c r="H1793">
        <v>110157808</v>
      </c>
      <c r="I1793">
        <v>103211068</v>
      </c>
      <c r="J1793">
        <v>66312461</v>
      </c>
      <c r="K1793">
        <v>66672821</v>
      </c>
      <c r="P1793">
        <v>150</v>
      </c>
      <c r="Q1793" t="s">
        <v>3907</v>
      </c>
    </row>
    <row r="1794" spans="1:17" x14ac:dyDescent="0.3">
      <c r="A1794" t="s">
        <v>17</v>
      </c>
      <c r="B1794" t="str">
        <f>"688090"</f>
        <v>688090</v>
      </c>
      <c r="C1794" t="s">
        <v>3908</v>
      </c>
      <c r="D1794" t="s">
        <v>2938</v>
      </c>
      <c r="F1794">
        <v>196115465</v>
      </c>
      <c r="G1794">
        <v>178976086</v>
      </c>
      <c r="H1794">
        <v>189906449</v>
      </c>
      <c r="I1794">
        <v>185750067</v>
      </c>
      <c r="J1794">
        <v>176922104</v>
      </c>
      <c r="K1794">
        <v>190587731</v>
      </c>
      <c r="P1794">
        <v>63</v>
      </c>
      <c r="Q1794" t="s">
        <v>3909</v>
      </c>
    </row>
    <row r="1795" spans="1:17" x14ac:dyDescent="0.3">
      <c r="A1795" t="s">
        <v>17</v>
      </c>
      <c r="B1795" t="str">
        <f>"688091"</f>
        <v>688091</v>
      </c>
      <c r="C1795" t="s">
        <v>3910</v>
      </c>
      <c r="D1795" t="s">
        <v>143</v>
      </c>
      <c r="F1795">
        <v>4104661</v>
      </c>
      <c r="G1795">
        <v>0</v>
      </c>
      <c r="H1795">
        <v>0</v>
      </c>
      <c r="I1795">
        <v>0</v>
      </c>
      <c r="J1795">
        <v>0</v>
      </c>
      <c r="P1795">
        <v>14</v>
      </c>
      <c r="Q1795" t="s">
        <v>3911</v>
      </c>
    </row>
    <row r="1796" spans="1:17" x14ac:dyDescent="0.3">
      <c r="A1796" t="s">
        <v>17</v>
      </c>
      <c r="B1796" t="str">
        <f>"688092"</f>
        <v>688092</v>
      </c>
      <c r="C1796" t="s">
        <v>3912</v>
      </c>
      <c r="D1796" t="s">
        <v>741</v>
      </c>
      <c r="F1796">
        <v>51839020</v>
      </c>
      <c r="G1796">
        <v>43641248</v>
      </c>
      <c r="H1796">
        <v>37664564</v>
      </c>
      <c r="I1796">
        <v>37359722</v>
      </c>
      <c r="J1796">
        <v>31498102</v>
      </c>
      <c r="P1796">
        <v>29</v>
      </c>
      <c r="Q1796" t="s">
        <v>3913</v>
      </c>
    </row>
    <row r="1797" spans="1:17" x14ac:dyDescent="0.3">
      <c r="A1797" t="s">
        <v>17</v>
      </c>
      <c r="B1797" t="str">
        <f>"688093"</f>
        <v>688093</v>
      </c>
      <c r="C1797" t="s">
        <v>3914</v>
      </c>
      <c r="D1797" t="s">
        <v>651</v>
      </c>
      <c r="F1797">
        <v>169769001</v>
      </c>
      <c r="G1797">
        <v>146002760</v>
      </c>
      <c r="H1797">
        <v>84032618</v>
      </c>
      <c r="I1797">
        <v>75278382</v>
      </c>
      <c r="J1797">
        <v>82034393</v>
      </c>
      <c r="P1797">
        <v>59</v>
      </c>
      <c r="Q1797" t="s">
        <v>3915</v>
      </c>
    </row>
    <row r="1798" spans="1:17" x14ac:dyDescent="0.3">
      <c r="A1798" t="s">
        <v>17</v>
      </c>
      <c r="B1798" t="str">
        <f>"688095"</f>
        <v>688095</v>
      </c>
      <c r="C1798" t="s">
        <v>3916</v>
      </c>
      <c r="D1798" t="s">
        <v>1189</v>
      </c>
      <c r="F1798">
        <v>61267394</v>
      </c>
      <c r="G1798">
        <v>59113738</v>
      </c>
      <c r="H1798">
        <v>44092691</v>
      </c>
      <c r="I1798">
        <v>49285072</v>
      </c>
      <c r="J1798">
        <v>45009552</v>
      </c>
      <c r="K1798">
        <v>26890115</v>
      </c>
      <c r="P1798">
        <v>141</v>
      </c>
      <c r="Q1798" t="s">
        <v>3917</v>
      </c>
    </row>
    <row r="1799" spans="1:17" x14ac:dyDescent="0.3">
      <c r="A1799" t="s">
        <v>17</v>
      </c>
      <c r="B1799" t="str">
        <f>"688096"</f>
        <v>688096</v>
      </c>
      <c r="C1799" t="s">
        <v>3918</v>
      </c>
      <c r="D1799" t="s">
        <v>33</v>
      </c>
      <c r="F1799">
        <v>501517656</v>
      </c>
      <c r="G1799">
        <v>388102475</v>
      </c>
      <c r="H1799">
        <v>307313737</v>
      </c>
      <c r="I1799">
        <v>258366368</v>
      </c>
      <c r="J1799">
        <v>173976569</v>
      </c>
      <c r="K1799">
        <v>95735083</v>
      </c>
      <c r="P1799">
        <v>73</v>
      </c>
      <c r="Q1799" t="s">
        <v>3919</v>
      </c>
    </row>
    <row r="1800" spans="1:17" x14ac:dyDescent="0.3">
      <c r="A1800" t="s">
        <v>17</v>
      </c>
      <c r="B1800" t="str">
        <f>"688097"</f>
        <v>688097</v>
      </c>
      <c r="C1800" t="s">
        <v>3920</v>
      </c>
      <c r="D1800" t="s">
        <v>3477</v>
      </c>
      <c r="F1800">
        <v>1662940439</v>
      </c>
      <c r="G1800">
        <v>1360513916</v>
      </c>
      <c r="H1800">
        <v>883709279</v>
      </c>
      <c r="I1800">
        <v>991563299</v>
      </c>
      <c r="J1800">
        <v>1044528833</v>
      </c>
      <c r="K1800">
        <v>461117153</v>
      </c>
      <c r="P1800">
        <v>25</v>
      </c>
      <c r="Q1800" t="s">
        <v>3921</v>
      </c>
    </row>
    <row r="1801" spans="1:17" x14ac:dyDescent="0.3">
      <c r="A1801" t="s">
        <v>17</v>
      </c>
      <c r="B1801" t="str">
        <f>"688098"</f>
        <v>688098</v>
      </c>
      <c r="C1801" t="s">
        <v>3922</v>
      </c>
      <c r="D1801" t="s">
        <v>453</v>
      </c>
      <c r="F1801">
        <v>151014971</v>
      </c>
      <c r="G1801">
        <v>131311032</v>
      </c>
      <c r="H1801">
        <v>99659516</v>
      </c>
      <c r="I1801">
        <v>51662627</v>
      </c>
      <c r="J1801">
        <v>79194050</v>
      </c>
      <c r="K1801">
        <v>42870067</v>
      </c>
      <c r="P1801">
        <v>73</v>
      </c>
      <c r="Q1801" t="s">
        <v>3923</v>
      </c>
    </row>
    <row r="1802" spans="1:17" x14ac:dyDescent="0.3">
      <c r="A1802" t="s">
        <v>17</v>
      </c>
      <c r="B1802" t="str">
        <f>"688099"</f>
        <v>688099</v>
      </c>
      <c r="C1802" t="s">
        <v>3924</v>
      </c>
      <c r="D1802" t="s">
        <v>461</v>
      </c>
      <c r="F1802">
        <v>332488492</v>
      </c>
      <c r="G1802">
        <v>222389231</v>
      </c>
      <c r="H1802">
        <v>241562163</v>
      </c>
      <c r="I1802">
        <v>238920558</v>
      </c>
      <c r="J1802">
        <v>142853530</v>
      </c>
      <c r="K1802">
        <v>63863127</v>
      </c>
      <c r="P1802">
        <v>301</v>
      </c>
      <c r="Q1802" t="s">
        <v>3925</v>
      </c>
    </row>
    <row r="1803" spans="1:17" x14ac:dyDescent="0.3">
      <c r="A1803" t="s">
        <v>17</v>
      </c>
      <c r="B1803" t="str">
        <f>"688100"</f>
        <v>688100</v>
      </c>
      <c r="C1803" t="s">
        <v>3926</v>
      </c>
      <c r="D1803" t="s">
        <v>786</v>
      </c>
      <c r="F1803">
        <v>859436412</v>
      </c>
      <c r="G1803">
        <v>668267584</v>
      </c>
      <c r="H1803">
        <v>668769821</v>
      </c>
      <c r="I1803">
        <v>641008937</v>
      </c>
      <c r="J1803">
        <v>567154037</v>
      </c>
      <c r="K1803">
        <v>611987100</v>
      </c>
      <c r="P1803">
        <v>103</v>
      </c>
      <c r="Q1803" t="s">
        <v>3927</v>
      </c>
    </row>
    <row r="1804" spans="1:17" x14ac:dyDescent="0.3">
      <c r="A1804" t="s">
        <v>17</v>
      </c>
      <c r="B1804" t="str">
        <f>"688101"</f>
        <v>688101</v>
      </c>
      <c r="C1804" t="s">
        <v>3928</v>
      </c>
      <c r="D1804" t="s">
        <v>33</v>
      </c>
      <c r="F1804">
        <v>570034483</v>
      </c>
      <c r="G1804">
        <v>469200770</v>
      </c>
      <c r="H1804">
        <v>381428820</v>
      </c>
      <c r="I1804">
        <v>373483715</v>
      </c>
      <c r="J1804">
        <v>367224959</v>
      </c>
      <c r="K1804">
        <v>299389042</v>
      </c>
      <c r="P1804">
        <v>77</v>
      </c>
      <c r="Q1804" t="s">
        <v>3929</v>
      </c>
    </row>
    <row r="1805" spans="1:17" x14ac:dyDescent="0.3">
      <c r="A1805" t="s">
        <v>17</v>
      </c>
      <c r="B1805" t="str">
        <f>"688102"</f>
        <v>688102</v>
      </c>
      <c r="C1805" t="s">
        <v>3930</v>
      </c>
      <c r="F1805">
        <v>156180680</v>
      </c>
      <c r="G1805">
        <v>140774459</v>
      </c>
      <c r="H1805">
        <v>119142403</v>
      </c>
      <c r="I1805">
        <v>131844315</v>
      </c>
      <c r="J1805">
        <v>107964454</v>
      </c>
      <c r="P1805">
        <v>3</v>
      </c>
      <c r="Q1805" t="s">
        <v>3931</v>
      </c>
    </row>
    <row r="1806" spans="1:17" x14ac:dyDescent="0.3">
      <c r="A1806" t="s">
        <v>17</v>
      </c>
      <c r="B1806" t="str">
        <f>"688103"</f>
        <v>688103</v>
      </c>
      <c r="C1806" t="s">
        <v>3932</v>
      </c>
      <c r="D1806" t="s">
        <v>651</v>
      </c>
      <c r="F1806">
        <v>200574181</v>
      </c>
      <c r="G1806">
        <v>148441472</v>
      </c>
      <c r="H1806">
        <v>103722377</v>
      </c>
      <c r="I1806">
        <v>112029698</v>
      </c>
      <c r="J1806">
        <v>112847878</v>
      </c>
      <c r="P1806">
        <v>13</v>
      </c>
      <c r="Q1806" t="s">
        <v>3933</v>
      </c>
    </row>
    <row r="1807" spans="1:17" x14ac:dyDescent="0.3">
      <c r="A1807" t="s">
        <v>17</v>
      </c>
      <c r="B1807" t="str">
        <f>"688105"</f>
        <v>688105</v>
      </c>
      <c r="C1807" t="s">
        <v>3934</v>
      </c>
      <c r="D1807" t="s">
        <v>1305</v>
      </c>
      <c r="F1807">
        <v>322319587</v>
      </c>
      <c r="G1807">
        <v>226235573</v>
      </c>
      <c r="H1807">
        <v>70916910</v>
      </c>
      <c r="I1807">
        <v>40133915</v>
      </c>
      <c r="J1807">
        <v>25829310</v>
      </c>
      <c r="P1807">
        <v>51</v>
      </c>
      <c r="Q1807" t="s">
        <v>3935</v>
      </c>
    </row>
    <row r="1808" spans="1:17" x14ac:dyDescent="0.3">
      <c r="A1808" t="s">
        <v>17</v>
      </c>
      <c r="B1808" t="str">
        <f>"688106"</f>
        <v>688106</v>
      </c>
      <c r="C1808" t="s">
        <v>3936</v>
      </c>
      <c r="D1808" t="s">
        <v>2408</v>
      </c>
      <c r="F1808">
        <v>280261437</v>
      </c>
      <c r="G1808">
        <v>159426798</v>
      </c>
      <c r="H1808">
        <v>144744577</v>
      </c>
      <c r="I1808">
        <v>156716216</v>
      </c>
      <c r="J1808">
        <v>136435176</v>
      </c>
      <c r="K1808">
        <v>126942620</v>
      </c>
      <c r="P1808">
        <v>136</v>
      </c>
      <c r="Q1808" t="s">
        <v>3937</v>
      </c>
    </row>
    <row r="1809" spans="1:17" x14ac:dyDescent="0.3">
      <c r="A1809" t="s">
        <v>17</v>
      </c>
      <c r="B1809" t="str">
        <f>"688107"</f>
        <v>688107</v>
      </c>
      <c r="C1809" t="s">
        <v>3938</v>
      </c>
      <c r="D1809" t="s">
        <v>461</v>
      </c>
      <c r="F1809">
        <v>91215242</v>
      </c>
      <c r="G1809">
        <v>25280078</v>
      </c>
      <c r="H1809">
        <v>67856522</v>
      </c>
      <c r="I1809">
        <v>27383692</v>
      </c>
      <c r="P1809">
        <v>31</v>
      </c>
      <c r="Q1809" t="s">
        <v>3939</v>
      </c>
    </row>
    <row r="1810" spans="1:17" x14ac:dyDescent="0.3">
      <c r="A1810" t="s">
        <v>17</v>
      </c>
      <c r="B1810" t="str">
        <f>"688108"</f>
        <v>688108</v>
      </c>
      <c r="C1810" t="s">
        <v>3940</v>
      </c>
      <c r="D1810" t="s">
        <v>1077</v>
      </c>
      <c r="F1810">
        <v>11213823</v>
      </c>
      <c r="G1810">
        <v>65023709</v>
      </c>
      <c r="H1810">
        <v>80563339</v>
      </c>
      <c r="I1810">
        <v>81069691</v>
      </c>
      <c r="J1810">
        <v>91735275</v>
      </c>
      <c r="K1810">
        <v>78970234</v>
      </c>
      <c r="P1810">
        <v>104</v>
      </c>
      <c r="Q1810" t="s">
        <v>3941</v>
      </c>
    </row>
    <row r="1811" spans="1:17" x14ac:dyDescent="0.3">
      <c r="A1811" t="s">
        <v>17</v>
      </c>
      <c r="B1811" t="str">
        <f>"688109"</f>
        <v>688109</v>
      </c>
      <c r="C1811" t="s">
        <v>3942</v>
      </c>
      <c r="D1811" t="s">
        <v>945</v>
      </c>
      <c r="F1811">
        <v>139969560</v>
      </c>
      <c r="G1811">
        <v>76496931</v>
      </c>
      <c r="H1811">
        <v>70161730</v>
      </c>
      <c r="I1811">
        <v>30503120</v>
      </c>
      <c r="J1811">
        <v>16605808</v>
      </c>
      <c r="P1811">
        <v>72</v>
      </c>
      <c r="Q1811" t="s">
        <v>3943</v>
      </c>
    </row>
    <row r="1812" spans="1:17" x14ac:dyDescent="0.3">
      <c r="A1812" t="s">
        <v>17</v>
      </c>
      <c r="B1812" t="str">
        <f>"688110"</f>
        <v>688110</v>
      </c>
      <c r="C1812" t="s">
        <v>3944</v>
      </c>
      <c r="D1812" t="s">
        <v>461</v>
      </c>
      <c r="F1812">
        <v>254878893</v>
      </c>
      <c r="G1812">
        <v>89547290</v>
      </c>
      <c r="H1812">
        <v>146972963</v>
      </c>
      <c r="I1812">
        <v>97731466</v>
      </c>
      <c r="J1812">
        <v>42057577</v>
      </c>
      <c r="P1812">
        <v>28</v>
      </c>
      <c r="Q1812" t="s">
        <v>3945</v>
      </c>
    </row>
    <row r="1813" spans="1:17" x14ac:dyDescent="0.3">
      <c r="A1813" t="s">
        <v>17</v>
      </c>
      <c r="B1813" t="str">
        <f>"688111"</f>
        <v>688111</v>
      </c>
      <c r="C1813" t="s">
        <v>3946</v>
      </c>
      <c r="D1813" t="s">
        <v>1189</v>
      </c>
      <c r="F1813">
        <v>411531325</v>
      </c>
      <c r="G1813">
        <v>398108479</v>
      </c>
      <c r="H1813">
        <v>345023363</v>
      </c>
      <c r="I1813">
        <v>226677608</v>
      </c>
      <c r="J1813">
        <v>176008551</v>
      </c>
      <c r="K1813">
        <v>154691775</v>
      </c>
      <c r="L1813">
        <v>136370600</v>
      </c>
      <c r="P1813">
        <v>964</v>
      </c>
      <c r="Q1813" t="s">
        <v>3947</v>
      </c>
    </row>
    <row r="1814" spans="1:17" x14ac:dyDescent="0.3">
      <c r="A1814" t="s">
        <v>17</v>
      </c>
      <c r="B1814" t="str">
        <f>"688112"</f>
        <v>688112</v>
      </c>
      <c r="C1814" t="s">
        <v>3948</v>
      </c>
      <c r="D1814" t="s">
        <v>2566</v>
      </c>
      <c r="F1814">
        <v>47935412</v>
      </c>
      <c r="G1814">
        <v>29101534</v>
      </c>
      <c r="H1814">
        <v>22973730</v>
      </c>
      <c r="I1814">
        <v>15108805</v>
      </c>
      <c r="J1814">
        <v>11528368</v>
      </c>
      <c r="P1814">
        <v>42</v>
      </c>
      <c r="Q1814" t="s">
        <v>3949</v>
      </c>
    </row>
    <row r="1815" spans="1:17" x14ac:dyDescent="0.3">
      <c r="A1815" t="s">
        <v>17</v>
      </c>
      <c r="B1815" t="str">
        <f>"688113"</f>
        <v>688113</v>
      </c>
      <c r="C1815" t="s">
        <v>3950</v>
      </c>
      <c r="D1815" t="s">
        <v>741</v>
      </c>
      <c r="F1815">
        <v>121772760</v>
      </c>
      <c r="G1815">
        <v>153331764</v>
      </c>
      <c r="H1815">
        <v>103043821</v>
      </c>
      <c r="I1815">
        <v>90414889</v>
      </c>
      <c r="J1815">
        <v>68023471</v>
      </c>
      <c r="P1815">
        <v>40</v>
      </c>
      <c r="Q1815" t="s">
        <v>3951</v>
      </c>
    </row>
    <row r="1816" spans="1:17" x14ac:dyDescent="0.3">
      <c r="A1816" t="s">
        <v>17</v>
      </c>
      <c r="B1816" t="str">
        <f>"688115"</f>
        <v>688115</v>
      </c>
      <c r="C1816" t="s">
        <v>3952</v>
      </c>
      <c r="F1816">
        <v>159850293</v>
      </c>
      <c r="G1816">
        <v>110604225</v>
      </c>
      <c r="H1816">
        <v>50833364</v>
      </c>
      <c r="I1816">
        <v>40594596</v>
      </c>
      <c r="P1816">
        <v>7</v>
      </c>
      <c r="Q1816" t="s">
        <v>3953</v>
      </c>
    </row>
    <row r="1817" spans="1:17" x14ac:dyDescent="0.3">
      <c r="A1817" t="s">
        <v>17</v>
      </c>
      <c r="B1817" t="str">
        <f>"688116"</f>
        <v>688116</v>
      </c>
      <c r="C1817" t="s">
        <v>3954</v>
      </c>
      <c r="D1817" t="s">
        <v>1790</v>
      </c>
      <c r="F1817">
        <v>458223775</v>
      </c>
      <c r="G1817">
        <v>137611511</v>
      </c>
      <c r="H1817">
        <v>79830858</v>
      </c>
      <c r="I1817">
        <v>75973714</v>
      </c>
      <c r="J1817">
        <v>48002348</v>
      </c>
      <c r="K1817">
        <v>46246100</v>
      </c>
      <c r="P1817">
        <v>197</v>
      </c>
      <c r="Q1817" t="s">
        <v>3955</v>
      </c>
    </row>
    <row r="1818" spans="1:17" x14ac:dyDescent="0.3">
      <c r="A1818" t="s">
        <v>17</v>
      </c>
      <c r="B1818" t="str">
        <f>"688117"</f>
        <v>688117</v>
      </c>
      <c r="C1818" t="s">
        <v>3956</v>
      </c>
      <c r="D1818" t="s">
        <v>143</v>
      </c>
      <c r="F1818">
        <v>102402638</v>
      </c>
      <c r="G1818">
        <v>96806477</v>
      </c>
      <c r="H1818">
        <v>82269429</v>
      </c>
      <c r="I1818">
        <v>65629013</v>
      </c>
      <c r="J1818">
        <v>53156126</v>
      </c>
      <c r="P1818">
        <v>29</v>
      </c>
      <c r="Q1818" t="s">
        <v>3957</v>
      </c>
    </row>
    <row r="1819" spans="1:17" x14ac:dyDescent="0.3">
      <c r="A1819" t="s">
        <v>17</v>
      </c>
      <c r="B1819" t="str">
        <f>"688118"</f>
        <v>688118</v>
      </c>
      <c r="C1819" t="s">
        <v>3958</v>
      </c>
      <c r="D1819" t="s">
        <v>945</v>
      </c>
      <c r="F1819">
        <v>192057002</v>
      </c>
      <c r="G1819">
        <v>199484067</v>
      </c>
      <c r="H1819">
        <v>208883368</v>
      </c>
      <c r="I1819">
        <v>157085076</v>
      </c>
      <c r="J1819">
        <v>126472257</v>
      </c>
      <c r="K1819">
        <v>110969802</v>
      </c>
      <c r="P1819">
        <v>71</v>
      </c>
      <c r="Q1819" t="s">
        <v>3959</v>
      </c>
    </row>
    <row r="1820" spans="1:17" x14ac:dyDescent="0.3">
      <c r="A1820" t="s">
        <v>17</v>
      </c>
      <c r="B1820" t="str">
        <f>"688121"</f>
        <v>688121</v>
      </c>
      <c r="C1820" t="s">
        <v>3960</v>
      </c>
      <c r="D1820" t="s">
        <v>395</v>
      </c>
      <c r="F1820">
        <v>1559953716</v>
      </c>
      <c r="G1820">
        <v>1258500969</v>
      </c>
      <c r="H1820">
        <v>588213334</v>
      </c>
      <c r="I1820">
        <v>304314786</v>
      </c>
      <c r="J1820">
        <v>244131213</v>
      </c>
      <c r="P1820">
        <v>24</v>
      </c>
      <c r="Q1820" t="s">
        <v>3961</v>
      </c>
    </row>
    <row r="1821" spans="1:17" x14ac:dyDescent="0.3">
      <c r="A1821" t="s">
        <v>17</v>
      </c>
      <c r="B1821" t="str">
        <f>"688122"</f>
        <v>688122</v>
      </c>
      <c r="C1821" t="s">
        <v>3962</v>
      </c>
      <c r="D1821" t="s">
        <v>98</v>
      </c>
      <c r="F1821">
        <v>1170084785</v>
      </c>
      <c r="G1821">
        <v>660155885</v>
      </c>
      <c r="H1821">
        <v>686541407</v>
      </c>
      <c r="I1821">
        <v>616914846</v>
      </c>
      <c r="J1821">
        <v>442329476</v>
      </c>
      <c r="K1821">
        <v>459706578</v>
      </c>
      <c r="P1821">
        <v>309</v>
      </c>
      <c r="Q1821" t="s">
        <v>3963</v>
      </c>
    </row>
    <row r="1822" spans="1:17" x14ac:dyDescent="0.3">
      <c r="A1822" t="s">
        <v>17</v>
      </c>
      <c r="B1822" t="str">
        <f>"688123"</f>
        <v>688123</v>
      </c>
      <c r="C1822" t="s">
        <v>3964</v>
      </c>
      <c r="D1822" t="s">
        <v>461</v>
      </c>
      <c r="F1822">
        <v>82829853</v>
      </c>
      <c r="G1822">
        <v>58842771</v>
      </c>
      <c r="H1822">
        <v>52892565</v>
      </c>
      <c r="I1822">
        <v>42345827</v>
      </c>
      <c r="J1822">
        <v>44421465</v>
      </c>
      <c r="K1822">
        <v>56322009</v>
      </c>
      <c r="P1822">
        <v>163</v>
      </c>
      <c r="Q1822" t="s">
        <v>3965</v>
      </c>
    </row>
    <row r="1823" spans="1:17" x14ac:dyDescent="0.3">
      <c r="A1823" t="s">
        <v>17</v>
      </c>
      <c r="B1823" t="str">
        <f>"688125"</f>
        <v>688125</v>
      </c>
      <c r="C1823" t="s">
        <v>3966</v>
      </c>
      <c r="F1823">
        <v>192005026</v>
      </c>
      <c r="G1823">
        <v>171156033</v>
      </c>
      <c r="H1823">
        <v>125648168</v>
      </c>
      <c r="I1823">
        <v>94873704</v>
      </c>
      <c r="P1823">
        <v>2</v>
      </c>
      <c r="Q1823" t="s">
        <v>3967</v>
      </c>
    </row>
    <row r="1824" spans="1:17" x14ac:dyDescent="0.3">
      <c r="A1824" t="s">
        <v>17</v>
      </c>
      <c r="B1824" t="str">
        <f>"688126"</f>
        <v>688126</v>
      </c>
      <c r="C1824" t="s">
        <v>3968</v>
      </c>
      <c r="D1824" t="s">
        <v>475</v>
      </c>
      <c r="F1824">
        <v>427461972</v>
      </c>
      <c r="G1824">
        <v>346890290</v>
      </c>
      <c r="H1824">
        <v>316552540</v>
      </c>
      <c r="I1824">
        <v>152607743</v>
      </c>
      <c r="J1824">
        <v>116557143</v>
      </c>
      <c r="K1824">
        <v>81318966</v>
      </c>
      <c r="P1824">
        <v>329</v>
      </c>
      <c r="Q1824" t="s">
        <v>3969</v>
      </c>
    </row>
    <row r="1825" spans="1:17" x14ac:dyDescent="0.3">
      <c r="A1825" t="s">
        <v>17</v>
      </c>
      <c r="B1825" t="str">
        <f>"688127"</f>
        <v>688127</v>
      </c>
      <c r="C1825" t="s">
        <v>3970</v>
      </c>
      <c r="D1825" t="s">
        <v>164</v>
      </c>
      <c r="F1825">
        <v>83027058</v>
      </c>
      <c r="G1825">
        <v>96510100</v>
      </c>
      <c r="H1825">
        <v>71102975</v>
      </c>
      <c r="I1825">
        <v>98303480</v>
      </c>
      <c r="J1825">
        <v>122742547</v>
      </c>
      <c r="K1825">
        <v>41403134</v>
      </c>
      <c r="P1825">
        <v>86</v>
      </c>
      <c r="Q1825" t="s">
        <v>3971</v>
      </c>
    </row>
    <row r="1826" spans="1:17" x14ac:dyDescent="0.3">
      <c r="A1826" t="s">
        <v>17</v>
      </c>
      <c r="B1826" t="str">
        <f>"688128"</f>
        <v>688128</v>
      </c>
      <c r="C1826" t="s">
        <v>3972</v>
      </c>
      <c r="D1826" t="s">
        <v>741</v>
      </c>
      <c r="F1826">
        <v>797283476</v>
      </c>
      <c r="G1826">
        <v>572384645</v>
      </c>
      <c r="H1826">
        <v>535149674</v>
      </c>
      <c r="I1826">
        <v>562403691</v>
      </c>
      <c r="J1826">
        <v>425783612</v>
      </c>
      <c r="K1826">
        <v>334769913</v>
      </c>
      <c r="P1826">
        <v>68</v>
      </c>
      <c r="Q1826" t="s">
        <v>3973</v>
      </c>
    </row>
    <row r="1827" spans="1:17" x14ac:dyDescent="0.3">
      <c r="A1827" t="s">
        <v>17</v>
      </c>
      <c r="B1827" t="str">
        <f>"688129"</f>
        <v>688129</v>
      </c>
      <c r="C1827" t="s">
        <v>3974</v>
      </c>
      <c r="D1827" t="s">
        <v>2585</v>
      </c>
      <c r="F1827">
        <v>112256814</v>
      </c>
      <c r="G1827">
        <v>72753448</v>
      </c>
      <c r="H1827">
        <v>86597413</v>
      </c>
      <c r="I1827">
        <v>71210515</v>
      </c>
      <c r="J1827">
        <v>82414462</v>
      </c>
      <c r="P1827">
        <v>38</v>
      </c>
      <c r="Q1827" t="s">
        <v>3975</v>
      </c>
    </row>
    <row r="1828" spans="1:17" x14ac:dyDescent="0.3">
      <c r="A1828" t="s">
        <v>17</v>
      </c>
      <c r="B1828" t="str">
        <f>"688131"</f>
        <v>688131</v>
      </c>
      <c r="C1828" t="s">
        <v>3976</v>
      </c>
      <c r="D1828" t="s">
        <v>496</v>
      </c>
      <c r="F1828">
        <v>144064999</v>
      </c>
      <c r="G1828">
        <v>80298366</v>
      </c>
      <c r="H1828">
        <v>52162697</v>
      </c>
      <c r="I1828">
        <v>38991942</v>
      </c>
      <c r="J1828">
        <v>21261940</v>
      </c>
      <c r="P1828">
        <v>88</v>
      </c>
      <c r="Q1828" t="s">
        <v>3977</v>
      </c>
    </row>
    <row r="1829" spans="1:17" x14ac:dyDescent="0.3">
      <c r="A1829" t="s">
        <v>17</v>
      </c>
      <c r="B1829" t="str">
        <f>"688133"</f>
        <v>688133</v>
      </c>
      <c r="C1829" t="s">
        <v>3978</v>
      </c>
      <c r="D1829" t="s">
        <v>386</v>
      </c>
      <c r="F1829">
        <v>489469262</v>
      </c>
      <c r="G1829">
        <v>378924031</v>
      </c>
      <c r="H1829">
        <v>287571870</v>
      </c>
      <c r="I1829">
        <v>172371409</v>
      </c>
      <c r="J1829">
        <v>129155369</v>
      </c>
      <c r="K1829">
        <v>89436246</v>
      </c>
      <c r="P1829">
        <v>118</v>
      </c>
      <c r="Q1829" t="s">
        <v>3979</v>
      </c>
    </row>
    <row r="1830" spans="1:17" x14ac:dyDescent="0.3">
      <c r="A1830" t="s">
        <v>17</v>
      </c>
      <c r="B1830" t="str">
        <f>"688135"</f>
        <v>688135</v>
      </c>
      <c r="C1830" t="s">
        <v>3980</v>
      </c>
      <c r="D1830" t="s">
        <v>1180</v>
      </c>
      <c r="F1830">
        <v>96167148</v>
      </c>
      <c r="G1830">
        <v>65808503</v>
      </c>
      <c r="H1830">
        <v>46443004</v>
      </c>
      <c r="I1830">
        <v>47375273</v>
      </c>
      <c r="J1830">
        <v>31816646</v>
      </c>
      <c r="K1830">
        <v>26468767</v>
      </c>
      <c r="P1830">
        <v>87</v>
      </c>
      <c r="Q1830" t="s">
        <v>3981</v>
      </c>
    </row>
    <row r="1831" spans="1:17" x14ac:dyDescent="0.3">
      <c r="A1831" t="s">
        <v>17</v>
      </c>
      <c r="B1831" t="str">
        <f>"688136"</f>
        <v>688136</v>
      </c>
      <c r="C1831" t="s">
        <v>3982</v>
      </c>
      <c r="D1831" t="s">
        <v>1379</v>
      </c>
      <c r="F1831">
        <v>336240225</v>
      </c>
      <c r="G1831">
        <v>354580756</v>
      </c>
      <c r="H1831">
        <v>302093580</v>
      </c>
      <c r="I1831">
        <v>242311413</v>
      </c>
      <c r="J1831">
        <v>190194450</v>
      </c>
      <c r="P1831">
        <v>66</v>
      </c>
      <c r="Q1831" t="s">
        <v>3983</v>
      </c>
    </row>
    <row r="1832" spans="1:17" x14ac:dyDescent="0.3">
      <c r="A1832" t="s">
        <v>17</v>
      </c>
      <c r="B1832" t="str">
        <f>"688138"</f>
        <v>688138</v>
      </c>
      <c r="C1832" t="s">
        <v>3984</v>
      </c>
      <c r="D1832" t="s">
        <v>475</v>
      </c>
      <c r="F1832">
        <v>154321737</v>
      </c>
      <c r="G1832">
        <v>101645608</v>
      </c>
      <c r="H1832">
        <v>143310823</v>
      </c>
      <c r="I1832">
        <v>126540788</v>
      </c>
      <c r="J1832">
        <v>92618422</v>
      </c>
      <c r="K1832">
        <v>87077600</v>
      </c>
      <c r="P1832">
        <v>92</v>
      </c>
      <c r="Q1832" t="s">
        <v>3985</v>
      </c>
    </row>
    <row r="1833" spans="1:17" x14ac:dyDescent="0.3">
      <c r="A1833" t="s">
        <v>17</v>
      </c>
      <c r="B1833" t="str">
        <f>"688139"</f>
        <v>688139</v>
      </c>
      <c r="C1833" t="s">
        <v>3986</v>
      </c>
      <c r="D1833" t="s">
        <v>122</v>
      </c>
      <c r="F1833">
        <v>112290965</v>
      </c>
      <c r="G1833">
        <v>134951223</v>
      </c>
      <c r="H1833">
        <v>113687133</v>
      </c>
      <c r="I1833">
        <v>63661756</v>
      </c>
      <c r="J1833">
        <v>43286853</v>
      </c>
      <c r="K1833">
        <v>11014647</v>
      </c>
      <c r="P1833">
        <v>349</v>
      </c>
      <c r="Q1833" t="s">
        <v>3987</v>
      </c>
    </row>
    <row r="1834" spans="1:17" x14ac:dyDescent="0.3">
      <c r="A1834" t="s">
        <v>17</v>
      </c>
      <c r="B1834" t="str">
        <f>"688148"</f>
        <v>688148</v>
      </c>
      <c r="C1834" t="s">
        <v>3988</v>
      </c>
      <c r="D1834" t="s">
        <v>1790</v>
      </c>
      <c r="F1834">
        <v>345105574</v>
      </c>
      <c r="G1834">
        <v>176905775</v>
      </c>
      <c r="H1834">
        <v>200996686</v>
      </c>
      <c r="I1834">
        <v>144609596</v>
      </c>
      <c r="J1834">
        <v>48969793</v>
      </c>
      <c r="P1834">
        <v>29</v>
      </c>
      <c r="Q1834" t="s">
        <v>3989</v>
      </c>
    </row>
    <row r="1835" spans="1:17" x14ac:dyDescent="0.3">
      <c r="A1835" t="s">
        <v>17</v>
      </c>
      <c r="B1835" t="str">
        <f>"688150"</f>
        <v>688150</v>
      </c>
      <c r="C1835" t="s">
        <v>3990</v>
      </c>
      <c r="F1835">
        <v>126210637</v>
      </c>
      <c r="G1835">
        <v>104496281</v>
      </c>
      <c r="H1835">
        <v>74225244</v>
      </c>
      <c r="I1835">
        <v>77727004</v>
      </c>
      <c r="P1835">
        <v>4</v>
      </c>
      <c r="Q1835" t="s">
        <v>3991</v>
      </c>
    </row>
    <row r="1836" spans="1:17" x14ac:dyDescent="0.3">
      <c r="A1836" t="s">
        <v>17</v>
      </c>
      <c r="B1836" t="str">
        <f>"688151"</f>
        <v>688151</v>
      </c>
      <c r="C1836" t="s">
        <v>3992</v>
      </c>
      <c r="D1836" t="s">
        <v>428</v>
      </c>
      <c r="F1836">
        <v>605529344</v>
      </c>
      <c r="G1836">
        <v>564182950</v>
      </c>
      <c r="H1836">
        <v>385931386</v>
      </c>
      <c r="I1836">
        <v>228056127</v>
      </c>
      <c r="J1836">
        <v>245323322</v>
      </c>
      <c r="P1836">
        <v>13</v>
      </c>
      <c r="Q1836" t="s">
        <v>3993</v>
      </c>
    </row>
    <row r="1837" spans="1:17" x14ac:dyDescent="0.3">
      <c r="A1837" t="s">
        <v>17</v>
      </c>
      <c r="B1837" t="str">
        <f>"688153"</f>
        <v>688153</v>
      </c>
      <c r="C1837" t="s">
        <v>3994</v>
      </c>
      <c r="F1837">
        <v>200588251</v>
      </c>
      <c r="G1837">
        <v>135257068</v>
      </c>
      <c r="H1837">
        <v>44661503</v>
      </c>
      <c r="I1837">
        <v>10195948</v>
      </c>
      <c r="P1837">
        <v>8</v>
      </c>
      <c r="Q1837" t="s">
        <v>3995</v>
      </c>
    </row>
    <row r="1838" spans="1:17" x14ac:dyDescent="0.3">
      <c r="A1838" t="s">
        <v>17</v>
      </c>
      <c r="B1838" t="str">
        <f>"688155"</f>
        <v>688155</v>
      </c>
      <c r="C1838" t="s">
        <v>3996</v>
      </c>
      <c r="D1838" t="s">
        <v>3776</v>
      </c>
      <c r="F1838">
        <v>112673774</v>
      </c>
      <c r="G1838">
        <v>92107261</v>
      </c>
      <c r="H1838">
        <v>178099676</v>
      </c>
      <c r="I1838">
        <v>218666552</v>
      </c>
      <c r="J1838">
        <v>132115849</v>
      </c>
      <c r="K1838">
        <v>80367975</v>
      </c>
      <c r="P1838">
        <v>101</v>
      </c>
      <c r="Q1838" t="s">
        <v>3997</v>
      </c>
    </row>
    <row r="1839" spans="1:17" x14ac:dyDescent="0.3">
      <c r="A1839" t="s">
        <v>17</v>
      </c>
      <c r="B1839" t="str">
        <f>"688156"</f>
        <v>688156</v>
      </c>
      <c r="C1839" t="s">
        <v>3998</v>
      </c>
      <c r="D1839" t="s">
        <v>499</v>
      </c>
      <c r="F1839">
        <v>253421208</v>
      </c>
      <c r="G1839">
        <v>175136081</v>
      </c>
      <c r="H1839">
        <v>128665635</v>
      </c>
      <c r="I1839">
        <v>83617512</v>
      </c>
      <c r="J1839">
        <v>116417802</v>
      </c>
      <c r="K1839">
        <v>57259302</v>
      </c>
      <c r="P1839">
        <v>41</v>
      </c>
      <c r="Q1839" t="s">
        <v>3999</v>
      </c>
    </row>
    <row r="1840" spans="1:17" x14ac:dyDescent="0.3">
      <c r="A1840" t="s">
        <v>17</v>
      </c>
      <c r="B1840" t="str">
        <f>"688157"</f>
        <v>688157</v>
      </c>
      <c r="C1840" t="s">
        <v>4000</v>
      </c>
      <c r="D1840" t="s">
        <v>2585</v>
      </c>
      <c r="F1840">
        <v>225447530</v>
      </c>
      <c r="G1840">
        <v>202376864</v>
      </c>
      <c r="H1840">
        <v>184591723</v>
      </c>
      <c r="I1840">
        <v>137014179</v>
      </c>
      <c r="J1840">
        <v>74287511</v>
      </c>
      <c r="K1840">
        <v>60067597</v>
      </c>
      <c r="P1840">
        <v>100</v>
      </c>
      <c r="Q1840" t="s">
        <v>4001</v>
      </c>
    </row>
    <row r="1841" spans="1:17" x14ac:dyDescent="0.3">
      <c r="A1841" t="s">
        <v>17</v>
      </c>
      <c r="B1841" t="str">
        <f>"688158"</f>
        <v>688158</v>
      </c>
      <c r="C1841" t="s">
        <v>4002</v>
      </c>
      <c r="D1841" t="s">
        <v>316</v>
      </c>
      <c r="F1841">
        <v>460431811</v>
      </c>
      <c r="G1841">
        <v>496243411</v>
      </c>
      <c r="H1841">
        <v>259263878</v>
      </c>
      <c r="I1841">
        <v>175681571</v>
      </c>
      <c r="J1841">
        <v>121427579</v>
      </c>
      <c r="K1841">
        <v>57161099</v>
      </c>
      <c r="P1841">
        <v>104</v>
      </c>
      <c r="Q1841" t="s">
        <v>4003</v>
      </c>
    </row>
    <row r="1842" spans="1:17" x14ac:dyDescent="0.3">
      <c r="A1842" t="s">
        <v>17</v>
      </c>
      <c r="B1842" t="str">
        <f>"688159"</f>
        <v>688159</v>
      </c>
      <c r="C1842" t="s">
        <v>4004</v>
      </c>
      <c r="D1842" t="s">
        <v>786</v>
      </c>
      <c r="F1842">
        <v>504697393</v>
      </c>
      <c r="G1842">
        <v>290123756</v>
      </c>
      <c r="H1842">
        <v>372767405</v>
      </c>
      <c r="I1842">
        <v>305552006</v>
      </c>
      <c r="J1842">
        <v>181097734</v>
      </c>
      <c r="K1842">
        <v>103973355</v>
      </c>
      <c r="P1842">
        <v>94</v>
      </c>
      <c r="Q1842" t="s">
        <v>4005</v>
      </c>
    </row>
    <row r="1843" spans="1:17" x14ac:dyDescent="0.3">
      <c r="A1843" t="s">
        <v>17</v>
      </c>
      <c r="B1843" t="str">
        <f>"688160"</f>
        <v>688160</v>
      </c>
      <c r="C1843" t="s">
        <v>4006</v>
      </c>
      <c r="D1843" t="s">
        <v>2432</v>
      </c>
      <c r="F1843">
        <v>77859448</v>
      </c>
      <c r="G1843">
        <v>53783895</v>
      </c>
      <c r="H1843">
        <v>33614559</v>
      </c>
      <c r="I1843">
        <v>26344609</v>
      </c>
      <c r="J1843">
        <v>32192508</v>
      </c>
      <c r="K1843">
        <v>20082514</v>
      </c>
      <c r="P1843">
        <v>44</v>
      </c>
      <c r="Q1843" t="s">
        <v>4007</v>
      </c>
    </row>
    <row r="1844" spans="1:17" x14ac:dyDescent="0.3">
      <c r="A1844" t="s">
        <v>17</v>
      </c>
      <c r="B1844" t="str">
        <f>"688161"</f>
        <v>688161</v>
      </c>
      <c r="C1844" t="s">
        <v>4008</v>
      </c>
      <c r="D1844" t="s">
        <v>1077</v>
      </c>
      <c r="F1844">
        <v>343990128</v>
      </c>
      <c r="G1844">
        <v>324326179</v>
      </c>
      <c r="H1844">
        <v>331840526</v>
      </c>
      <c r="I1844">
        <v>289018039</v>
      </c>
      <c r="J1844">
        <v>250103419</v>
      </c>
      <c r="P1844">
        <v>101</v>
      </c>
      <c r="Q1844" t="s">
        <v>4009</v>
      </c>
    </row>
    <row r="1845" spans="1:17" x14ac:dyDescent="0.3">
      <c r="A1845" t="s">
        <v>17</v>
      </c>
      <c r="B1845" t="str">
        <f>"688162"</f>
        <v>688162</v>
      </c>
      <c r="C1845" t="s">
        <v>4010</v>
      </c>
      <c r="D1845" t="s">
        <v>348</v>
      </c>
      <c r="F1845">
        <v>431054211</v>
      </c>
      <c r="G1845">
        <v>298958877</v>
      </c>
      <c r="H1845">
        <v>229063085</v>
      </c>
      <c r="I1845">
        <v>249537940</v>
      </c>
      <c r="J1845">
        <v>196681016</v>
      </c>
      <c r="P1845">
        <v>31</v>
      </c>
      <c r="Q1845" t="s">
        <v>4011</v>
      </c>
    </row>
    <row r="1846" spans="1:17" x14ac:dyDescent="0.3">
      <c r="A1846" t="s">
        <v>17</v>
      </c>
      <c r="B1846" t="str">
        <f>"688163"</f>
        <v>688163</v>
      </c>
      <c r="C1846" t="s">
        <v>4012</v>
      </c>
      <c r="F1846">
        <v>9588076</v>
      </c>
      <c r="G1846">
        <v>3619878</v>
      </c>
      <c r="H1846">
        <v>13343120</v>
      </c>
      <c r="I1846">
        <v>11884120</v>
      </c>
      <c r="J1846">
        <v>6996950</v>
      </c>
      <c r="P1846">
        <v>12</v>
      </c>
      <c r="Q1846" t="s">
        <v>4013</v>
      </c>
    </row>
    <row r="1847" spans="1:17" x14ac:dyDescent="0.3">
      <c r="A1847" t="s">
        <v>17</v>
      </c>
      <c r="B1847" t="str">
        <f>"688165"</f>
        <v>688165</v>
      </c>
      <c r="C1847" t="s">
        <v>4014</v>
      </c>
      <c r="D1847" t="s">
        <v>2938</v>
      </c>
      <c r="F1847">
        <v>488937936</v>
      </c>
      <c r="G1847">
        <v>526900653</v>
      </c>
      <c r="H1847">
        <v>554229669</v>
      </c>
      <c r="I1847">
        <v>524839180</v>
      </c>
      <c r="J1847">
        <v>500558864</v>
      </c>
      <c r="K1847">
        <v>246272473</v>
      </c>
      <c r="P1847">
        <v>64</v>
      </c>
      <c r="Q1847" t="s">
        <v>4015</v>
      </c>
    </row>
    <row r="1848" spans="1:17" x14ac:dyDescent="0.3">
      <c r="A1848" t="s">
        <v>17</v>
      </c>
      <c r="B1848" t="str">
        <f>"688166"</f>
        <v>688166</v>
      </c>
      <c r="C1848" t="s">
        <v>4016</v>
      </c>
      <c r="D1848" t="s">
        <v>143</v>
      </c>
      <c r="F1848">
        <v>373347788</v>
      </c>
      <c r="G1848">
        <v>177269413</v>
      </c>
      <c r="H1848">
        <v>184685194</v>
      </c>
      <c r="I1848">
        <v>132911600</v>
      </c>
      <c r="J1848">
        <v>75274099</v>
      </c>
      <c r="K1848">
        <v>75902387</v>
      </c>
      <c r="P1848">
        <v>190</v>
      </c>
      <c r="Q1848" t="s">
        <v>4017</v>
      </c>
    </row>
    <row r="1849" spans="1:17" x14ac:dyDescent="0.3">
      <c r="A1849" t="s">
        <v>17</v>
      </c>
      <c r="B1849" t="str">
        <f>"688167"</f>
        <v>688167</v>
      </c>
      <c r="C1849" t="s">
        <v>4018</v>
      </c>
      <c r="D1849" t="s">
        <v>3811</v>
      </c>
      <c r="F1849">
        <v>120125921</v>
      </c>
      <c r="G1849">
        <v>71704407</v>
      </c>
      <c r="H1849">
        <v>70338123</v>
      </c>
      <c r="I1849">
        <v>64659965</v>
      </c>
      <c r="J1849">
        <v>60378640</v>
      </c>
      <c r="P1849">
        <v>32</v>
      </c>
      <c r="Q1849" t="s">
        <v>4019</v>
      </c>
    </row>
    <row r="1850" spans="1:17" x14ac:dyDescent="0.3">
      <c r="A1850" t="s">
        <v>17</v>
      </c>
      <c r="B1850" t="str">
        <f>"688168"</f>
        <v>688168</v>
      </c>
      <c r="C1850" t="s">
        <v>4020</v>
      </c>
      <c r="D1850" t="s">
        <v>1189</v>
      </c>
      <c r="F1850">
        <v>240839551</v>
      </c>
      <c r="G1850">
        <v>214645036</v>
      </c>
      <c r="H1850">
        <v>208008682</v>
      </c>
      <c r="I1850">
        <v>134683888</v>
      </c>
      <c r="J1850">
        <v>96909530</v>
      </c>
      <c r="K1850">
        <v>64717545</v>
      </c>
      <c r="P1850">
        <v>144</v>
      </c>
      <c r="Q1850" t="s">
        <v>4021</v>
      </c>
    </row>
    <row r="1851" spans="1:17" x14ac:dyDescent="0.3">
      <c r="A1851" t="s">
        <v>17</v>
      </c>
      <c r="B1851" t="str">
        <f>"688169"</f>
        <v>688169</v>
      </c>
      <c r="C1851" t="s">
        <v>4022</v>
      </c>
      <c r="D1851" t="s">
        <v>2720</v>
      </c>
      <c r="F1851">
        <v>125340355</v>
      </c>
      <c r="G1851">
        <v>135778868</v>
      </c>
      <c r="H1851">
        <v>198711352</v>
      </c>
      <c r="I1851">
        <v>381714420</v>
      </c>
      <c r="J1851">
        <v>379601689</v>
      </c>
      <c r="K1851">
        <v>123774779</v>
      </c>
      <c r="P1851">
        <v>758</v>
      </c>
      <c r="Q1851" t="s">
        <v>4023</v>
      </c>
    </row>
    <row r="1852" spans="1:17" x14ac:dyDescent="0.3">
      <c r="A1852" t="s">
        <v>17</v>
      </c>
      <c r="B1852" t="str">
        <f>"688170"</f>
        <v>688170</v>
      </c>
      <c r="C1852" t="s">
        <v>4024</v>
      </c>
      <c r="F1852">
        <v>159839525</v>
      </c>
      <c r="G1852">
        <v>147176702</v>
      </c>
      <c r="H1852">
        <v>141401587</v>
      </c>
      <c r="I1852">
        <v>89566441</v>
      </c>
      <c r="P1852">
        <v>2</v>
      </c>
      <c r="Q1852" t="s">
        <v>4025</v>
      </c>
    </row>
    <row r="1853" spans="1:17" x14ac:dyDescent="0.3">
      <c r="A1853" t="s">
        <v>17</v>
      </c>
      <c r="B1853" t="str">
        <f>"688171"</f>
        <v>688171</v>
      </c>
      <c r="C1853" t="s">
        <v>4026</v>
      </c>
      <c r="F1853">
        <v>138289446</v>
      </c>
      <c r="G1853">
        <v>90692493</v>
      </c>
      <c r="H1853">
        <v>53928426</v>
      </c>
      <c r="I1853">
        <v>41074955</v>
      </c>
      <c r="J1853">
        <v>28656623</v>
      </c>
      <c r="P1853">
        <v>12</v>
      </c>
      <c r="Q1853" t="s">
        <v>4027</v>
      </c>
    </row>
    <row r="1854" spans="1:17" x14ac:dyDescent="0.3">
      <c r="A1854" t="s">
        <v>17</v>
      </c>
      <c r="B1854" t="str">
        <f>"688173"</f>
        <v>688173</v>
      </c>
      <c r="C1854" t="s">
        <v>4028</v>
      </c>
      <c r="F1854">
        <v>36024349</v>
      </c>
      <c r="G1854">
        <v>56847841</v>
      </c>
      <c r="H1854">
        <v>42114017</v>
      </c>
      <c r="I1854">
        <v>3288379</v>
      </c>
      <c r="P1854">
        <v>11</v>
      </c>
      <c r="Q1854" t="s">
        <v>4029</v>
      </c>
    </row>
    <row r="1855" spans="1:17" x14ac:dyDescent="0.3">
      <c r="A1855" t="s">
        <v>17</v>
      </c>
      <c r="B1855" t="str">
        <f>"688175"</f>
        <v>688175</v>
      </c>
      <c r="C1855" t="s">
        <v>4030</v>
      </c>
      <c r="F1855">
        <v>98435227</v>
      </c>
      <c r="G1855">
        <v>93211462</v>
      </c>
      <c r="H1855">
        <v>84328952</v>
      </c>
      <c r="I1855">
        <v>75870532</v>
      </c>
      <c r="P1855">
        <v>3</v>
      </c>
      <c r="Q1855" t="s">
        <v>4031</v>
      </c>
    </row>
    <row r="1856" spans="1:17" x14ac:dyDescent="0.3">
      <c r="A1856" t="s">
        <v>17</v>
      </c>
      <c r="B1856" t="str">
        <f>"688176"</f>
        <v>688176</v>
      </c>
      <c r="C1856" t="s">
        <v>4032</v>
      </c>
      <c r="D1856" t="s">
        <v>143</v>
      </c>
      <c r="F1856">
        <v>4346</v>
      </c>
      <c r="G1856">
        <v>0</v>
      </c>
      <c r="H1856">
        <v>0</v>
      </c>
      <c r="I1856">
        <v>0</v>
      </c>
      <c r="P1856">
        <v>9</v>
      </c>
      <c r="Q1856" t="s">
        <v>4033</v>
      </c>
    </row>
    <row r="1857" spans="1:17" x14ac:dyDescent="0.3">
      <c r="A1857" t="s">
        <v>17</v>
      </c>
      <c r="B1857" t="str">
        <f>"688177"</f>
        <v>688177</v>
      </c>
      <c r="C1857" t="s">
        <v>4034</v>
      </c>
      <c r="D1857" t="s">
        <v>1379</v>
      </c>
      <c r="F1857">
        <v>103319571</v>
      </c>
      <c r="G1857">
        <v>55410607</v>
      </c>
      <c r="H1857">
        <v>0</v>
      </c>
      <c r="I1857">
        <v>0</v>
      </c>
      <c r="J1857">
        <v>0</v>
      </c>
      <c r="K1857">
        <v>0</v>
      </c>
      <c r="P1857">
        <v>98</v>
      </c>
      <c r="Q1857" t="s">
        <v>4035</v>
      </c>
    </row>
    <row r="1858" spans="1:17" x14ac:dyDescent="0.3">
      <c r="A1858" t="s">
        <v>17</v>
      </c>
      <c r="B1858" t="str">
        <f>"688178"</f>
        <v>688178</v>
      </c>
      <c r="C1858" t="s">
        <v>4036</v>
      </c>
      <c r="D1858" t="s">
        <v>33</v>
      </c>
      <c r="F1858">
        <v>435881804</v>
      </c>
      <c r="G1858">
        <v>286262625</v>
      </c>
      <c r="H1858">
        <v>308283470</v>
      </c>
      <c r="I1858">
        <v>254582750</v>
      </c>
      <c r="J1858">
        <v>129667709</v>
      </c>
      <c r="K1858">
        <v>43915785</v>
      </c>
      <c r="P1858">
        <v>69</v>
      </c>
      <c r="Q1858" t="s">
        <v>4037</v>
      </c>
    </row>
    <row r="1859" spans="1:17" x14ac:dyDescent="0.3">
      <c r="A1859" t="s">
        <v>17</v>
      </c>
      <c r="B1859" t="str">
        <f>"688179"</f>
        <v>688179</v>
      </c>
      <c r="C1859" t="s">
        <v>4038</v>
      </c>
      <c r="D1859" t="s">
        <v>386</v>
      </c>
      <c r="F1859">
        <v>23751799</v>
      </c>
      <c r="G1859">
        <v>18411804</v>
      </c>
      <c r="H1859">
        <v>18041031</v>
      </c>
      <c r="I1859">
        <v>14917866</v>
      </c>
      <c r="J1859">
        <v>14977999</v>
      </c>
      <c r="K1859">
        <v>10472543</v>
      </c>
      <c r="P1859">
        <v>156</v>
      </c>
      <c r="Q1859" t="s">
        <v>4039</v>
      </c>
    </row>
    <row r="1860" spans="1:17" x14ac:dyDescent="0.3">
      <c r="A1860" t="s">
        <v>17</v>
      </c>
      <c r="B1860" t="str">
        <f>"688180"</f>
        <v>688180</v>
      </c>
      <c r="C1860" t="s">
        <v>4040</v>
      </c>
      <c r="D1860" t="s">
        <v>1379</v>
      </c>
      <c r="F1860">
        <v>1293122136</v>
      </c>
      <c r="G1860">
        <v>590324156</v>
      </c>
      <c r="H1860">
        <v>163210267</v>
      </c>
      <c r="I1860">
        <v>6635820</v>
      </c>
      <c r="J1860">
        <v>973583</v>
      </c>
      <c r="K1860">
        <v>514331</v>
      </c>
      <c r="P1860">
        <v>206</v>
      </c>
      <c r="Q1860" t="s">
        <v>4041</v>
      </c>
    </row>
    <row r="1861" spans="1:17" x14ac:dyDescent="0.3">
      <c r="A1861" t="s">
        <v>17</v>
      </c>
      <c r="B1861" t="str">
        <f>"688181"</f>
        <v>688181</v>
      </c>
      <c r="C1861" t="s">
        <v>4042</v>
      </c>
      <c r="D1861" t="s">
        <v>1117</v>
      </c>
      <c r="F1861">
        <v>198230885</v>
      </c>
      <c r="G1861">
        <v>175959112</v>
      </c>
      <c r="H1861">
        <v>142068879</v>
      </c>
      <c r="I1861">
        <v>100091405</v>
      </c>
      <c r="J1861">
        <v>103595373</v>
      </c>
      <c r="K1861">
        <v>38985794</v>
      </c>
      <c r="P1861">
        <v>108</v>
      </c>
      <c r="Q1861" t="s">
        <v>4043</v>
      </c>
    </row>
    <row r="1862" spans="1:17" x14ac:dyDescent="0.3">
      <c r="A1862" t="s">
        <v>17</v>
      </c>
      <c r="B1862" t="str">
        <f>"688182"</f>
        <v>688182</v>
      </c>
      <c r="C1862" t="s">
        <v>4044</v>
      </c>
      <c r="D1862" t="s">
        <v>1019</v>
      </c>
      <c r="F1862">
        <v>101825920</v>
      </c>
      <c r="G1862">
        <v>84446962</v>
      </c>
      <c r="H1862">
        <v>147170409</v>
      </c>
      <c r="I1862">
        <v>166230756</v>
      </c>
      <c r="J1862">
        <v>64669318</v>
      </c>
      <c r="P1862">
        <v>17</v>
      </c>
      <c r="Q1862" t="s">
        <v>4045</v>
      </c>
    </row>
    <row r="1863" spans="1:17" x14ac:dyDescent="0.3">
      <c r="A1863" t="s">
        <v>17</v>
      </c>
      <c r="B1863" t="str">
        <f>"688183"</f>
        <v>688183</v>
      </c>
      <c r="C1863" t="s">
        <v>4046</v>
      </c>
      <c r="D1863" t="s">
        <v>425</v>
      </c>
      <c r="F1863">
        <v>1026314640</v>
      </c>
      <c r="G1863">
        <v>860978899</v>
      </c>
      <c r="H1863">
        <v>982299863</v>
      </c>
      <c r="I1863">
        <v>579857752</v>
      </c>
      <c r="J1863">
        <v>471808482</v>
      </c>
      <c r="P1863">
        <v>41</v>
      </c>
      <c r="Q1863" t="s">
        <v>4047</v>
      </c>
    </row>
    <row r="1864" spans="1:17" x14ac:dyDescent="0.3">
      <c r="A1864" t="s">
        <v>17</v>
      </c>
      <c r="B1864" t="str">
        <f>"688185"</f>
        <v>688185</v>
      </c>
      <c r="C1864" t="s">
        <v>4048</v>
      </c>
      <c r="D1864" t="s">
        <v>1499</v>
      </c>
      <c r="F1864">
        <v>157926000</v>
      </c>
      <c r="G1864">
        <v>22143420</v>
      </c>
      <c r="H1864">
        <v>0</v>
      </c>
      <c r="I1864">
        <v>276300</v>
      </c>
      <c r="J1864">
        <v>0</v>
      </c>
      <c r="K1864">
        <v>0</v>
      </c>
      <c r="P1864">
        <v>266</v>
      </c>
      <c r="Q1864" t="s">
        <v>4049</v>
      </c>
    </row>
    <row r="1865" spans="1:17" x14ac:dyDescent="0.3">
      <c r="A1865" t="s">
        <v>17</v>
      </c>
      <c r="B1865" t="str">
        <f>"688186"</f>
        <v>688186</v>
      </c>
      <c r="C1865" t="s">
        <v>4050</v>
      </c>
      <c r="D1865" t="s">
        <v>281</v>
      </c>
      <c r="F1865">
        <v>555618085</v>
      </c>
      <c r="G1865">
        <v>390565276</v>
      </c>
      <c r="H1865">
        <v>248079287</v>
      </c>
      <c r="I1865">
        <v>212524842</v>
      </c>
      <c r="J1865">
        <v>327286850</v>
      </c>
      <c r="K1865">
        <v>383176700</v>
      </c>
      <c r="P1865">
        <v>110</v>
      </c>
      <c r="Q1865" t="s">
        <v>4051</v>
      </c>
    </row>
    <row r="1866" spans="1:17" x14ac:dyDescent="0.3">
      <c r="A1866" t="s">
        <v>17</v>
      </c>
      <c r="B1866" t="str">
        <f>"688187"</f>
        <v>688187</v>
      </c>
      <c r="C1866" t="s">
        <v>4052</v>
      </c>
      <c r="D1866" t="s">
        <v>1012</v>
      </c>
      <c r="F1866">
        <v>6549417025</v>
      </c>
      <c r="G1866">
        <v>7936895209</v>
      </c>
      <c r="H1866">
        <v>7413964722</v>
      </c>
      <c r="I1866">
        <v>6485964593</v>
      </c>
      <c r="J1866">
        <v>6248888609</v>
      </c>
      <c r="P1866">
        <v>59</v>
      </c>
      <c r="Q1866" t="s">
        <v>4053</v>
      </c>
    </row>
    <row r="1867" spans="1:17" x14ac:dyDescent="0.3">
      <c r="A1867" t="s">
        <v>17</v>
      </c>
      <c r="B1867" t="str">
        <f>"688188"</f>
        <v>688188</v>
      </c>
      <c r="C1867" t="s">
        <v>4054</v>
      </c>
      <c r="D1867" t="s">
        <v>236</v>
      </c>
      <c r="F1867">
        <v>32751291</v>
      </c>
      <c r="G1867">
        <v>39307214</v>
      </c>
      <c r="H1867">
        <v>22165313</v>
      </c>
      <c r="I1867">
        <v>13889285</v>
      </c>
      <c r="J1867">
        <v>9189782</v>
      </c>
      <c r="K1867">
        <v>4273835</v>
      </c>
      <c r="P1867">
        <v>363</v>
      </c>
      <c r="Q1867" t="s">
        <v>4055</v>
      </c>
    </row>
    <row r="1868" spans="1:17" x14ac:dyDescent="0.3">
      <c r="A1868" t="s">
        <v>17</v>
      </c>
      <c r="B1868" t="str">
        <f>"688189"</f>
        <v>688189</v>
      </c>
      <c r="C1868" t="s">
        <v>4056</v>
      </c>
      <c r="D1868" t="s">
        <v>143</v>
      </c>
      <c r="F1868">
        <v>590812642</v>
      </c>
      <c r="G1868">
        <v>702977211</v>
      </c>
      <c r="H1868">
        <v>246468463</v>
      </c>
      <c r="I1868">
        <v>99060910</v>
      </c>
      <c r="J1868">
        <v>32864207</v>
      </c>
      <c r="K1868">
        <v>40429233</v>
      </c>
      <c r="P1868">
        <v>97</v>
      </c>
      <c r="Q1868" t="s">
        <v>4057</v>
      </c>
    </row>
    <row r="1869" spans="1:17" x14ac:dyDescent="0.3">
      <c r="A1869" t="s">
        <v>17</v>
      </c>
      <c r="B1869" t="str">
        <f>"688190"</f>
        <v>688190</v>
      </c>
      <c r="C1869" t="s">
        <v>4058</v>
      </c>
      <c r="D1869" t="s">
        <v>581</v>
      </c>
      <c r="F1869">
        <v>203764299</v>
      </c>
      <c r="G1869">
        <v>205225716</v>
      </c>
      <c r="H1869">
        <v>169268479</v>
      </c>
      <c r="I1869">
        <v>169688161</v>
      </c>
      <c r="P1869">
        <v>15</v>
      </c>
      <c r="Q1869" t="s">
        <v>4059</v>
      </c>
    </row>
    <row r="1870" spans="1:17" x14ac:dyDescent="0.3">
      <c r="A1870" t="s">
        <v>17</v>
      </c>
      <c r="B1870" t="str">
        <f>"688191"</f>
        <v>688191</v>
      </c>
      <c r="C1870" t="s">
        <v>4060</v>
      </c>
      <c r="D1870" t="s">
        <v>610</v>
      </c>
      <c r="F1870">
        <v>369307369</v>
      </c>
      <c r="G1870">
        <v>202400710</v>
      </c>
      <c r="H1870">
        <v>186048304</v>
      </c>
      <c r="I1870">
        <v>151772664</v>
      </c>
      <c r="J1870">
        <v>92755848</v>
      </c>
      <c r="P1870">
        <v>56</v>
      </c>
      <c r="Q1870" t="s">
        <v>4061</v>
      </c>
    </row>
    <row r="1871" spans="1:17" x14ac:dyDescent="0.3">
      <c r="A1871" t="s">
        <v>17</v>
      </c>
      <c r="B1871" t="str">
        <f>"688192"</f>
        <v>688192</v>
      </c>
      <c r="C1871" t="s">
        <v>4062</v>
      </c>
      <c r="D1871" t="s">
        <v>143</v>
      </c>
      <c r="F1871">
        <v>7550308</v>
      </c>
      <c r="G1871">
        <v>6902916</v>
      </c>
      <c r="H1871">
        <v>9954924</v>
      </c>
      <c r="I1871">
        <v>21756570</v>
      </c>
      <c r="P1871">
        <v>11</v>
      </c>
      <c r="Q1871" t="s">
        <v>4063</v>
      </c>
    </row>
    <row r="1872" spans="1:17" x14ac:dyDescent="0.3">
      <c r="A1872" t="s">
        <v>17</v>
      </c>
      <c r="B1872" t="str">
        <f>"688193"</f>
        <v>688193</v>
      </c>
      <c r="C1872" t="s">
        <v>4064</v>
      </c>
      <c r="F1872">
        <v>55319058</v>
      </c>
      <c r="G1872">
        <v>39154721</v>
      </c>
      <c r="H1872">
        <v>20736620</v>
      </c>
      <c r="I1872">
        <v>13934599</v>
      </c>
      <c r="P1872">
        <v>2</v>
      </c>
      <c r="Q1872" t="s">
        <v>4065</v>
      </c>
    </row>
    <row r="1873" spans="1:17" x14ac:dyDescent="0.3">
      <c r="A1873" t="s">
        <v>17</v>
      </c>
      <c r="B1873" t="str">
        <f>"688195"</f>
        <v>688195</v>
      </c>
      <c r="C1873" t="s">
        <v>4066</v>
      </c>
      <c r="D1873" t="s">
        <v>164</v>
      </c>
      <c r="F1873">
        <v>118293119</v>
      </c>
      <c r="G1873">
        <v>97775130</v>
      </c>
      <c r="H1873">
        <v>64331167</v>
      </c>
      <c r="I1873">
        <v>46977559</v>
      </c>
      <c r="J1873">
        <v>31798757</v>
      </c>
      <c r="P1873">
        <v>41</v>
      </c>
      <c r="Q1873" t="s">
        <v>4067</v>
      </c>
    </row>
    <row r="1874" spans="1:17" x14ac:dyDescent="0.3">
      <c r="A1874" t="s">
        <v>17</v>
      </c>
      <c r="B1874" t="str">
        <f>"688196"</f>
        <v>688196</v>
      </c>
      <c r="C1874" t="s">
        <v>4068</v>
      </c>
      <c r="D1874" t="s">
        <v>386</v>
      </c>
      <c r="F1874">
        <v>257632860</v>
      </c>
      <c r="G1874">
        <v>77933385</v>
      </c>
      <c r="H1874">
        <v>37777459</v>
      </c>
      <c r="I1874">
        <v>64683</v>
      </c>
      <c r="J1874">
        <v>109344597</v>
      </c>
      <c r="K1874">
        <v>27088100</v>
      </c>
      <c r="P1874">
        <v>188</v>
      </c>
      <c r="Q1874" t="s">
        <v>4069</v>
      </c>
    </row>
    <row r="1875" spans="1:17" x14ac:dyDescent="0.3">
      <c r="A1875" t="s">
        <v>17</v>
      </c>
      <c r="B1875" t="str">
        <f>"688197"</f>
        <v>688197</v>
      </c>
      <c r="C1875" t="s">
        <v>4070</v>
      </c>
      <c r="F1875">
        <v>1900000</v>
      </c>
      <c r="G1875">
        <v>0</v>
      </c>
      <c r="H1875">
        <v>5175000</v>
      </c>
      <c r="I1875">
        <v>3959288</v>
      </c>
      <c r="J1875">
        <v>7388148</v>
      </c>
      <c r="P1875">
        <v>3</v>
      </c>
      <c r="Q1875" t="s">
        <v>4071</v>
      </c>
    </row>
    <row r="1876" spans="1:17" x14ac:dyDescent="0.3">
      <c r="A1876" t="s">
        <v>17</v>
      </c>
      <c r="B1876" t="str">
        <f>"688198"</f>
        <v>688198</v>
      </c>
      <c r="C1876" t="s">
        <v>4072</v>
      </c>
      <c r="D1876" t="s">
        <v>1077</v>
      </c>
      <c r="F1876">
        <v>40391419</v>
      </c>
      <c r="G1876">
        <v>27992122</v>
      </c>
      <c r="H1876">
        <v>388308</v>
      </c>
      <c r="I1876">
        <v>563179</v>
      </c>
      <c r="J1876">
        <v>311218</v>
      </c>
      <c r="K1876">
        <v>159933</v>
      </c>
      <c r="P1876">
        <v>190</v>
      </c>
      <c r="Q1876" t="s">
        <v>4073</v>
      </c>
    </row>
    <row r="1877" spans="1:17" x14ac:dyDescent="0.3">
      <c r="A1877" t="s">
        <v>17</v>
      </c>
      <c r="B1877" t="str">
        <f>"688199"</f>
        <v>688199</v>
      </c>
      <c r="C1877" t="s">
        <v>4074</v>
      </c>
      <c r="D1877" t="s">
        <v>386</v>
      </c>
      <c r="F1877">
        <v>277227854</v>
      </c>
      <c r="G1877">
        <v>203973735</v>
      </c>
      <c r="H1877">
        <v>187168925</v>
      </c>
      <c r="I1877">
        <v>157765033</v>
      </c>
      <c r="J1877">
        <v>163396918</v>
      </c>
      <c r="K1877">
        <v>189667700</v>
      </c>
      <c r="P1877">
        <v>94</v>
      </c>
      <c r="Q1877" t="s">
        <v>4075</v>
      </c>
    </row>
    <row r="1878" spans="1:17" x14ac:dyDescent="0.3">
      <c r="A1878" t="s">
        <v>17</v>
      </c>
      <c r="B1878" t="str">
        <f>"688200"</f>
        <v>688200</v>
      </c>
      <c r="C1878" t="s">
        <v>4076</v>
      </c>
      <c r="D1878" t="s">
        <v>3187</v>
      </c>
      <c r="F1878">
        <v>157821537</v>
      </c>
      <c r="G1878">
        <v>91462776</v>
      </c>
      <c r="H1878">
        <v>84698937</v>
      </c>
      <c r="I1878">
        <v>35570534</v>
      </c>
      <c r="J1878">
        <v>43241420</v>
      </c>
      <c r="K1878">
        <v>42019407</v>
      </c>
      <c r="P1878">
        <v>291</v>
      </c>
      <c r="Q1878" t="s">
        <v>4077</v>
      </c>
    </row>
    <row r="1879" spans="1:17" x14ac:dyDescent="0.3">
      <c r="A1879" t="s">
        <v>17</v>
      </c>
      <c r="B1879" t="str">
        <f>"688201"</f>
        <v>688201</v>
      </c>
      <c r="C1879" t="s">
        <v>4078</v>
      </c>
      <c r="D1879" t="s">
        <v>1189</v>
      </c>
      <c r="F1879">
        <v>243742109</v>
      </c>
      <c r="G1879">
        <v>172760400</v>
      </c>
      <c r="H1879">
        <v>174301401</v>
      </c>
      <c r="I1879">
        <v>132144653</v>
      </c>
      <c r="J1879">
        <v>78742339</v>
      </c>
      <c r="P1879">
        <v>62</v>
      </c>
      <c r="Q1879" t="s">
        <v>4079</v>
      </c>
    </row>
    <row r="1880" spans="1:17" x14ac:dyDescent="0.3">
      <c r="A1880" t="s">
        <v>17</v>
      </c>
      <c r="B1880" t="str">
        <f>"688202"</f>
        <v>688202</v>
      </c>
      <c r="C1880" t="s">
        <v>4080</v>
      </c>
      <c r="D1880" t="s">
        <v>1461</v>
      </c>
      <c r="F1880">
        <v>212503512</v>
      </c>
      <c r="G1880">
        <v>150499275</v>
      </c>
      <c r="H1880">
        <v>123039064</v>
      </c>
      <c r="I1880">
        <v>75704915</v>
      </c>
      <c r="J1880">
        <v>65436036</v>
      </c>
      <c r="K1880">
        <v>82873631</v>
      </c>
      <c r="P1880">
        <v>382</v>
      </c>
      <c r="Q1880" t="s">
        <v>4081</v>
      </c>
    </row>
    <row r="1881" spans="1:17" x14ac:dyDescent="0.3">
      <c r="A1881" t="s">
        <v>17</v>
      </c>
      <c r="B1881" t="str">
        <f>"688206"</f>
        <v>688206</v>
      </c>
      <c r="C1881" t="s">
        <v>4082</v>
      </c>
      <c r="D1881" t="s">
        <v>3187</v>
      </c>
      <c r="F1881">
        <v>75990857</v>
      </c>
      <c r="G1881">
        <v>48465235</v>
      </c>
      <c r="H1881">
        <v>31276706</v>
      </c>
      <c r="I1881">
        <v>19569748</v>
      </c>
      <c r="P1881">
        <v>26</v>
      </c>
      <c r="Q1881" t="s">
        <v>4083</v>
      </c>
    </row>
    <row r="1882" spans="1:17" x14ac:dyDescent="0.3">
      <c r="A1882" t="s">
        <v>17</v>
      </c>
      <c r="B1882" t="str">
        <f>"688207"</f>
        <v>688207</v>
      </c>
      <c r="C1882" t="s">
        <v>4084</v>
      </c>
      <c r="F1882">
        <v>225633083</v>
      </c>
      <c r="G1882">
        <v>68299396</v>
      </c>
      <c r="H1882">
        <v>53651153</v>
      </c>
      <c r="I1882">
        <v>58631967</v>
      </c>
      <c r="P1882">
        <v>7</v>
      </c>
      <c r="Q1882" t="s">
        <v>4085</v>
      </c>
    </row>
    <row r="1883" spans="1:17" x14ac:dyDescent="0.3">
      <c r="A1883" t="s">
        <v>17</v>
      </c>
      <c r="B1883" t="str">
        <f>"688208"</f>
        <v>688208</v>
      </c>
      <c r="C1883" t="s">
        <v>4086</v>
      </c>
      <c r="D1883" t="s">
        <v>236</v>
      </c>
      <c r="F1883">
        <v>460906974</v>
      </c>
      <c r="G1883">
        <v>318735696</v>
      </c>
      <c r="H1883">
        <v>252812019</v>
      </c>
      <c r="I1883">
        <v>222814591</v>
      </c>
      <c r="J1883">
        <v>152284934</v>
      </c>
      <c r="K1883">
        <v>103021180</v>
      </c>
      <c r="P1883">
        <v>220</v>
      </c>
      <c r="Q1883" t="s">
        <v>4087</v>
      </c>
    </row>
    <row r="1884" spans="1:17" x14ac:dyDescent="0.3">
      <c r="A1884" t="s">
        <v>17</v>
      </c>
      <c r="B1884" t="str">
        <f>"688209"</f>
        <v>688209</v>
      </c>
      <c r="C1884" t="s">
        <v>4088</v>
      </c>
      <c r="F1884">
        <v>50324416</v>
      </c>
      <c r="G1884">
        <v>72330933</v>
      </c>
      <c r="H1884">
        <v>42087326</v>
      </c>
      <c r="I1884">
        <v>28815586</v>
      </c>
      <c r="P1884">
        <v>5</v>
      </c>
      <c r="Q1884" t="s">
        <v>4089</v>
      </c>
    </row>
    <row r="1885" spans="1:17" x14ac:dyDescent="0.3">
      <c r="A1885" t="s">
        <v>17</v>
      </c>
      <c r="B1885" t="str">
        <f>"688210"</f>
        <v>688210</v>
      </c>
      <c r="C1885" t="s">
        <v>4090</v>
      </c>
      <c r="D1885" t="s">
        <v>313</v>
      </c>
      <c r="F1885">
        <v>116354925</v>
      </c>
      <c r="G1885">
        <v>133388105</v>
      </c>
      <c r="H1885">
        <v>64527961</v>
      </c>
      <c r="I1885">
        <v>50423250</v>
      </c>
      <c r="J1885">
        <v>9002833</v>
      </c>
      <c r="P1885">
        <v>9</v>
      </c>
      <c r="Q1885" t="s">
        <v>4091</v>
      </c>
    </row>
    <row r="1886" spans="1:17" x14ac:dyDescent="0.3">
      <c r="A1886" t="s">
        <v>17</v>
      </c>
      <c r="B1886" t="str">
        <f>"688211"</f>
        <v>688211</v>
      </c>
      <c r="C1886" t="s">
        <v>4092</v>
      </c>
      <c r="D1886" t="s">
        <v>741</v>
      </c>
      <c r="F1886">
        <v>814788342</v>
      </c>
      <c r="G1886">
        <v>348346032</v>
      </c>
      <c r="H1886">
        <v>295399982</v>
      </c>
      <c r="I1886">
        <v>112600424</v>
      </c>
      <c r="J1886">
        <v>120819803</v>
      </c>
      <c r="P1886">
        <v>27</v>
      </c>
      <c r="Q1886" t="s">
        <v>4093</v>
      </c>
    </row>
    <row r="1887" spans="1:17" x14ac:dyDescent="0.3">
      <c r="A1887" t="s">
        <v>17</v>
      </c>
      <c r="B1887" t="str">
        <f>"688212"</f>
        <v>688212</v>
      </c>
      <c r="C1887" t="s">
        <v>4094</v>
      </c>
      <c r="D1887" t="s">
        <v>122</v>
      </c>
      <c r="F1887">
        <v>69069688</v>
      </c>
      <c r="G1887">
        <v>32128321</v>
      </c>
      <c r="H1887">
        <v>77232462</v>
      </c>
      <c r="I1887">
        <v>46686198</v>
      </c>
      <c r="J1887">
        <v>35008165</v>
      </c>
      <c r="P1887">
        <v>31</v>
      </c>
      <c r="Q1887" t="s">
        <v>4095</v>
      </c>
    </row>
    <row r="1888" spans="1:17" x14ac:dyDescent="0.3">
      <c r="A1888" t="s">
        <v>17</v>
      </c>
      <c r="B1888" t="str">
        <f>"688213"</f>
        <v>688213</v>
      </c>
      <c r="C1888" t="s">
        <v>4096</v>
      </c>
      <c r="F1888">
        <v>383976265</v>
      </c>
      <c r="G1888">
        <v>124101994</v>
      </c>
      <c r="H1888">
        <v>34303621</v>
      </c>
      <c r="I1888">
        <v>14799803</v>
      </c>
      <c r="Q1888" t="s">
        <v>4097</v>
      </c>
    </row>
    <row r="1889" spans="1:17" x14ac:dyDescent="0.3">
      <c r="A1889" t="s">
        <v>17</v>
      </c>
      <c r="B1889" t="str">
        <f>"688215"</f>
        <v>688215</v>
      </c>
      <c r="C1889" t="s">
        <v>4098</v>
      </c>
      <c r="D1889" t="s">
        <v>3477</v>
      </c>
      <c r="F1889">
        <v>127654108</v>
      </c>
      <c r="G1889">
        <v>106448981</v>
      </c>
      <c r="H1889">
        <v>105402219</v>
      </c>
      <c r="I1889">
        <v>81039226</v>
      </c>
      <c r="J1889">
        <v>55960069</v>
      </c>
      <c r="K1889">
        <v>34094244</v>
      </c>
      <c r="P1889">
        <v>62</v>
      </c>
      <c r="Q1889" t="s">
        <v>4099</v>
      </c>
    </row>
    <row r="1890" spans="1:17" x14ac:dyDescent="0.3">
      <c r="A1890" t="s">
        <v>17</v>
      </c>
      <c r="B1890" t="str">
        <f>"688216"</f>
        <v>688216</v>
      </c>
      <c r="C1890" t="s">
        <v>4100</v>
      </c>
      <c r="D1890" t="s">
        <v>1180</v>
      </c>
      <c r="F1890">
        <v>109242945</v>
      </c>
      <c r="G1890">
        <v>103874474</v>
      </c>
      <c r="H1890">
        <v>75824071</v>
      </c>
      <c r="I1890">
        <v>70818716</v>
      </c>
      <c r="J1890">
        <v>62974457</v>
      </c>
      <c r="P1890">
        <v>26</v>
      </c>
      <c r="Q1890" t="s">
        <v>4101</v>
      </c>
    </row>
    <row r="1891" spans="1:17" x14ac:dyDescent="0.3">
      <c r="A1891" t="s">
        <v>17</v>
      </c>
      <c r="B1891" t="str">
        <f>"688217"</f>
        <v>688217</v>
      </c>
      <c r="C1891" t="s">
        <v>4102</v>
      </c>
      <c r="D1891" t="s">
        <v>1305</v>
      </c>
      <c r="F1891">
        <v>163711813</v>
      </c>
      <c r="G1891">
        <v>164299728</v>
      </c>
      <c r="H1891">
        <v>162892112</v>
      </c>
      <c r="I1891">
        <v>129235418</v>
      </c>
      <c r="J1891">
        <v>90078380</v>
      </c>
      <c r="P1891">
        <v>31</v>
      </c>
      <c r="Q1891" t="s">
        <v>4103</v>
      </c>
    </row>
    <row r="1892" spans="1:17" x14ac:dyDescent="0.3">
      <c r="A1892" t="s">
        <v>17</v>
      </c>
      <c r="B1892" t="str">
        <f>"688218"</f>
        <v>688218</v>
      </c>
      <c r="C1892" t="s">
        <v>4104</v>
      </c>
      <c r="D1892" t="s">
        <v>2938</v>
      </c>
      <c r="F1892">
        <v>195507285</v>
      </c>
      <c r="G1892">
        <v>221384767</v>
      </c>
      <c r="H1892">
        <v>185290275</v>
      </c>
      <c r="I1892">
        <v>114985909</v>
      </c>
      <c r="J1892">
        <v>56389429</v>
      </c>
      <c r="K1892">
        <v>33446569</v>
      </c>
      <c r="P1892">
        <v>47</v>
      </c>
      <c r="Q1892" t="s">
        <v>4105</v>
      </c>
    </row>
    <row r="1893" spans="1:17" x14ac:dyDescent="0.3">
      <c r="A1893" t="s">
        <v>17</v>
      </c>
      <c r="B1893" t="str">
        <f>"688219"</f>
        <v>688219</v>
      </c>
      <c r="C1893" t="s">
        <v>4106</v>
      </c>
      <c r="D1893" t="s">
        <v>341</v>
      </c>
      <c r="F1893">
        <v>1226974873</v>
      </c>
      <c r="G1893">
        <v>1026771080</v>
      </c>
      <c r="H1893">
        <v>880075306</v>
      </c>
      <c r="I1893">
        <v>927010764</v>
      </c>
      <c r="J1893">
        <v>462362763</v>
      </c>
      <c r="P1893">
        <v>50</v>
      </c>
      <c r="Q1893" t="s">
        <v>4107</v>
      </c>
    </row>
    <row r="1894" spans="1:17" x14ac:dyDescent="0.3">
      <c r="A1894" t="s">
        <v>17</v>
      </c>
      <c r="B1894" t="str">
        <f>"688220"</f>
        <v>688220</v>
      </c>
      <c r="C1894" t="s">
        <v>4108</v>
      </c>
      <c r="D1894" t="s">
        <v>401</v>
      </c>
      <c r="F1894">
        <v>245695101</v>
      </c>
      <c r="G1894">
        <v>163775248</v>
      </c>
      <c r="H1894">
        <v>181678909</v>
      </c>
      <c r="I1894">
        <v>6669929</v>
      </c>
      <c r="J1894">
        <v>10120093</v>
      </c>
      <c r="P1894">
        <v>19</v>
      </c>
      <c r="Q1894" t="s">
        <v>4109</v>
      </c>
    </row>
    <row r="1895" spans="1:17" x14ac:dyDescent="0.3">
      <c r="A1895" t="s">
        <v>17</v>
      </c>
      <c r="B1895" t="str">
        <f>"688221"</f>
        <v>688221</v>
      </c>
      <c r="C1895" t="s">
        <v>4110</v>
      </c>
      <c r="D1895" t="s">
        <v>143</v>
      </c>
      <c r="F1895">
        <v>22344128</v>
      </c>
      <c r="G1895">
        <v>31867142</v>
      </c>
      <c r="H1895">
        <v>12766211</v>
      </c>
      <c r="I1895">
        <v>735255</v>
      </c>
      <c r="J1895">
        <v>0</v>
      </c>
      <c r="K1895">
        <v>0</v>
      </c>
      <c r="P1895">
        <v>51</v>
      </c>
      <c r="Q1895" t="s">
        <v>4111</v>
      </c>
    </row>
    <row r="1896" spans="1:17" x14ac:dyDescent="0.3">
      <c r="A1896" t="s">
        <v>17</v>
      </c>
      <c r="B1896" t="str">
        <f>"688222"</f>
        <v>688222</v>
      </c>
      <c r="C1896" t="s">
        <v>4112</v>
      </c>
      <c r="D1896" t="s">
        <v>1461</v>
      </c>
      <c r="F1896">
        <v>76380096</v>
      </c>
      <c r="G1896">
        <v>61642690</v>
      </c>
      <c r="H1896">
        <v>33108079</v>
      </c>
      <c r="I1896">
        <v>24946192</v>
      </c>
      <c r="J1896">
        <v>3206753</v>
      </c>
      <c r="K1896">
        <v>2701746</v>
      </c>
      <c r="P1896">
        <v>128</v>
      </c>
      <c r="Q1896" t="s">
        <v>4113</v>
      </c>
    </row>
    <row r="1897" spans="1:17" x14ac:dyDescent="0.3">
      <c r="A1897" t="s">
        <v>17</v>
      </c>
      <c r="B1897" t="str">
        <f>"688223"</f>
        <v>688223</v>
      </c>
      <c r="C1897" t="s">
        <v>4114</v>
      </c>
      <c r="D1897" t="s">
        <v>475</v>
      </c>
      <c r="F1897">
        <v>7192871930</v>
      </c>
      <c r="G1897">
        <v>4644049295</v>
      </c>
      <c r="H1897">
        <v>5565495400</v>
      </c>
      <c r="I1897">
        <v>6695147522</v>
      </c>
      <c r="P1897">
        <v>29</v>
      </c>
      <c r="Q1897" t="s">
        <v>4115</v>
      </c>
    </row>
    <row r="1898" spans="1:17" x14ac:dyDescent="0.3">
      <c r="A1898" t="s">
        <v>17</v>
      </c>
      <c r="B1898" t="str">
        <f>"688225"</f>
        <v>688225</v>
      </c>
      <c r="C1898" t="s">
        <v>4116</v>
      </c>
      <c r="F1898">
        <v>279610644</v>
      </c>
      <c r="G1898">
        <v>183840057</v>
      </c>
      <c r="H1898">
        <v>159883652</v>
      </c>
      <c r="I1898">
        <v>120361878</v>
      </c>
      <c r="J1898">
        <v>130195731</v>
      </c>
      <c r="P1898">
        <v>9</v>
      </c>
      <c r="Q1898" t="s">
        <v>4117</v>
      </c>
    </row>
    <row r="1899" spans="1:17" x14ac:dyDescent="0.3">
      <c r="A1899" t="s">
        <v>17</v>
      </c>
      <c r="B1899" t="str">
        <f>"688226"</f>
        <v>688226</v>
      </c>
      <c r="C1899" t="s">
        <v>4118</v>
      </c>
      <c r="D1899" t="s">
        <v>1164</v>
      </c>
      <c r="F1899">
        <v>679498013</v>
      </c>
      <c r="G1899">
        <v>621020769</v>
      </c>
      <c r="H1899">
        <v>541683890</v>
      </c>
      <c r="I1899">
        <v>505882905</v>
      </c>
      <c r="J1899">
        <v>366487748</v>
      </c>
      <c r="P1899">
        <v>19</v>
      </c>
      <c r="Q1899" t="s">
        <v>4119</v>
      </c>
    </row>
    <row r="1900" spans="1:17" x14ac:dyDescent="0.3">
      <c r="A1900" t="s">
        <v>17</v>
      </c>
      <c r="B1900" t="str">
        <f>"688227"</f>
        <v>688227</v>
      </c>
      <c r="C1900" t="s">
        <v>4120</v>
      </c>
      <c r="D1900" t="s">
        <v>316</v>
      </c>
      <c r="F1900">
        <v>315473432</v>
      </c>
      <c r="G1900">
        <v>269023178</v>
      </c>
      <c r="H1900">
        <v>192931517</v>
      </c>
      <c r="I1900">
        <v>134690573</v>
      </c>
      <c r="J1900">
        <v>89423606</v>
      </c>
      <c r="P1900">
        <v>13</v>
      </c>
      <c r="Q1900" t="s">
        <v>4121</v>
      </c>
    </row>
    <row r="1901" spans="1:17" x14ac:dyDescent="0.3">
      <c r="A1901" t="s">
        <v>17</v>
      </c>
      <c r="B1901" t="str">
        <f>"688228"</f>
        <v>688228</v>
      </c>
      <c r="C1901" t="s">
        <v>4122</v>
      </c>
      <c r="D1901" t="s">
        <v>316</v>
      </c>
      <c r="F1901">
        <v>236030802</v>
      </c>
      <c r="G1901">
        <v>54221933</v>
      </c>
      <c r="H1901">
        <v>88781295</v>
      </c>
      <c r="I1901">
        <v>27079685</v>
      </c>
      <c r="J1901">
        <v>22992166</v>
      </c>
      <c r="K1901">
        <v>10291535</v>
      </c>
      <c r="P1901">
        <v>93</v>
      </c>
      <c r="Q1901" t="s">
        <v>4123</v>
      </c>
    </row>
    <row r="1902" spans="1:17" x14ac:dyDescent="0.3">
      <c r="A1902" t="s">
        <v>17</v>
      </c>
      <c r="B1902" t="str">
        <f>"688229"</f>
        <v>688229</v>
      </c>
      <c r="C1902" t="s">
        <v>4124</v>
      </c>
      <c r="D1902" t="s">
        <v>316</v>
      </c>
      <c r="F1902">
        <v>68459564</v>
      </c>
      <c r="G1902">
        <v>62918387</v>
      </c>
      <c r="H1902">
        <v>65657409</v>
      </c>
      <c r="I1902">
        <v>58713676</v>
      </c>
      <c r="J1902">
        <v>40413260</v>
      </c>
      <c r="K1902">
        <v>34127542</v>
      </c>
      <c r="P1902">
        <v>63</v>
      </c>
      <c r="Q1902" t="s">
        <v>4125</v>
      </c>
    </row>
    <row r="1903" spans="1:17" x14ac:dyDescent="0.3">
      <c r="A1903" t="s">
        <v>17</v>
      </c>
      <c r="B1903" t="str">
        <f>"688230"</f>
        <v>688230</v>
      </c>
      <c r="C1903" t="s">
        <v>4126</v>
      </c>
      <c r="D1903" t="s">
        <v>795</v>
      </c>
      <c r="F1903">
        <v>41051926</v>
      </c>
      <c r="G1903">
        <v>39369196</v>
      </c>
      <c r="H1903">
        <v>39385015</v>
      </c>
      <c r="I1903">
        <v>15929833</v>
      </c>
      <c r="P1903">
        <v>24</v>
      </c>
      <c r="Q1903" t="s">
        <v>4127</v>
      </c>
    </row>
    <row r="1904" spans="1:17" x14ac:dyDescent="0.3">
      <c r="A1904" t="s">
        <v>17</v>
      </c>
      <c r="B1904" t="str">
        <f>"688232"</f>
        <v>688232</v>
      </c>
      <c r="C1904" t="s">
        <v>4128</v>
      </c>
      <c r="D1904" t="s">
        <v>945</v>
      </c>
      <c r="F1904">
        <v>1116270596</v>
      </c>
      <c r="G1904">
        <v>861007365</v>
      </c>
      <c r="H1904">
        <v>525034108</v>
      </c>
      <c r="I1904">
        <v>356883443</v>
      </c>
      <c r="J1904">
        <v>304411966</v>
      </c>
      <c r="P1904">
        <v>26</v>
      </c>
      <c r="Q1904" t="s">
        <v>4129</v>
      </c>
    </row>
    <row r="1905" spans="1:17" x14ac:dyDescent="0.3">
      <c r="A1905" t="s">
        <v>17</v>
      </c>
      <c r="B1905" t="str">
        <f>"688233"</f>
        <v>688233</v>
      </c>
      <c r="C1905" t="s">
        <v>4130</v>
      </c>
      <c r="D1905" t="s">
        <v>475</v>
      </c>
      <c r="F1905">
        <v>51174463</v>
      </c>
      <c r="G1905">
        <v>26687787</v>
      </c>
      <c r="H1905">
        <v>12169238</v>
      </c>
      <c r="I1905">
        <v>33187607</v>
      </c>
      <c r="J1905">
        <v>19052231</v>
      </c>
      <c r="K1905">
        <v>8404184</v>
      </c>
      <c r="P1905">
        <v>170</v>
      </c>
      <c r="Q1905" t="s">
        <v>4131</v>
      </c>
    </row>
    <row r="1906" spans="1:17" x14ac:dyDescent="0.3">
      <c r="A1906" t="s">
        <v>17</v>
      </c>
      <c r="B1906" t="str">
        <f>"688234"</f>
        <v>688234</v>
      </c>
      <c r="C1906" t="s">
        <v>4132</v>
      </c>
      <c r="D1906" t="s">
        <v>475</v>
      </c>
      <c r="F1906">
        <v>57787547</v>
      </c>
      <c r="G1906">
        <v>62605893</v>
      </c>
      <c r="H1906">
        <v>14016766</v>
      </c>
      <c r="I1906">
        <v>5584057</v>
      </c>
      <c r="P1906">
        <v>32</v>
      </c>
      <c r="Q1906" t="s">
        <v>4133</v>
      </c>
    </row>
    <row r="1907" spans="1:17" x14ac:dyDescent="0.3">
      <c r="A1907" t="s">
        <v>17</v>
      </c>
      <c r="B1907" t="str">
        <f>"688235"</f>
        <v>688235</v>
      </c>
      <c r="C1907" t="s">
        <v>4134</v>
      </c>
      <c r="D1907" t="s">
        <v>1379</v>
      </c>
      <c r="F1907">
        <v>3079850000</v>
      </c>
      <c r="G1907">
        <v>394123000</v>
      </c>
      <c r="H1907">
        <v>494457000</v>
      </c>
      <c r="I1907">
        <v>284563000</v>
      </c>
      <c r="J1907">
        <v>194472000</v>
      </c>
      <c r="P1907">
        <v>58</v>
      </c>
      <c r="Q1907" t="s">
        <v>4135</v>
      </c>
    </row>
    <row r="1908" spans="1:17" x14ac:dyDescent="0.3">
      <c r="A1908" t="s">
        <v>17</v>
      </c>
      <c r="B1908" t="str">
        <f>"688236"</f>
        <v>688236</v>
      </c>
      <c r="C1908" t="s">
        <v>4136</v>
      </c>
      <c r="D1908" t="s">
        <v>1077</v>
      </c>
      <c r="F1908">
        <v>400193013</v>
      </c>
      <c r="G1908">
        <v>221285895</v>
      </c>
      <c r="H1908">
        <v>161641978</v>
      </c>
      <c r="I1908">
        <v>70091231</v>
      </c>
      <c r="J1908">
        <v>73655995</v>
      </c>
      <c r="P1908">
        <v>20</v>
      </c>
      <c r="Q1908" t="s">
        <v>4137</v>
      </c>
    </row>
    <row r="1909" spans="1:17" x14ac:dyDescent="0.3">
      <c r="A1909" t="s">
        <v>17</v>
      </c>
      <c r="B1909" t="str">
        <f>"688238"</f>
        <v>688238</v>
      </c>
      <c r="C1909" t="s">
        <v>4138</v>
      </c>
      <c r="F1909">
        <v>28831937</v>
      </c>
      <c r="G1909">
        <v>23523882</v>
      </c>
      <c r="H1909">
        <v>9448469</v>
      </c>
      <c r="I1909">
        <v>7904174</v>
      </c>
      <c r="P1909">
        <v>7</v>
      </c>
      <c r="Q1909" t="s">
        <v>4139</v>
      </c>
    </row>
    <row r="1910" spans="1:17" x14ac:dyDescent="0.3">
      <c r="A1910" t="s">
        <v>17</v>
      </c>
      <c r="B1910" t="str">
        <f>"688239"</f>
        <v>688239</v>
      </c>
      <c r="C1910" t="s">
        <v>4140</v>
      </c>
      <c r="D1910" t="s">
        <v>98</v>
      </c>
      <c r="F1910">
        <v>385987818</v>
      </c>
      <c r="G1910">
        <v>328261130</v>
      </c>
      <c r="H1910">
        <v>275652459</v>
      </c>
      <c r="I1910">
        <v>190641182</v>
      </c>
      <c r="J1910">
        <v>142778380</v>
      </c>
      <c r="P1910">
        <v>57</v>
      </c>
      <c r="Q1910" t="s">
        <v>4141</v>
      </c>
    </row>
    <row r="1911" spans="1:17" x14ac:dyDescent="0.3">
      <c r="A1911" t="s">
        <v>17</v>
      </c>
      <c r="B1911" t="str">
        <f>"688246"</f>
        <v>688246</v>
      </c>
      <c r="C1911" t="s">
        <v>4142</v>
      </c>
      <c r="D1911" t="s">
        <v>945</v>
      </c>
      <c r="F1911">
        <v>250596515</v>
      </c>
      <c r="G1911">
        <v>219915809</v>
      </c>
      <c r="H1911">
        <v>222380569</v>
      </c>
      <c r="I1911">
        <v>116472722</v>
      </c>
      <c r="J1911">
        <v>122715172</v>
      </c>
      <c r="P1911">
        <v>12</v>
      </c>
      <c r="Q1911" t="s">
        <v>4143</v>
      </c>
    </row>
    <row r="1912" spans="1:17" x14ac:dyDescent="0.3">
      <c r="A1912" t="s">
        <v>17</v>
      </c>
      <c r="B1912" t="str">
        <f>"688248"</f>
        <v>688248</v>
      </c>
      <c r="C1912" t="s">
        <v>4144</v>
      </c>
      <c r="D1912" t="s">
        <v>610</v>
      </c>
      <c r="F1912">
        <v>257430282</v>
      </c>
      <c r="G1912">
        <v>83210689</v>
      </c>
      <c r="H1912">
        <v>158187072</v>
      </c>
      <c r="I1912">
        <v>155694369</v>
      </c>
      <c r="P1912">
        <v>14</v>
      </c>
      <c r="Q1912" t="s">
        <v>4145</v>
      </c>
    </row>
    <row r="1913" spans="1:17" x14ac:dyDescent="0.3">
      <c r="A1913" t="s">
        <v>17</v>
      </c>
      <c r="B1913" t="str">
        <f>"688255"</f>
        <v>688255</v>
      </c>
      <c r="C1913" t="s">
        <v>4146</v>
      </c>
      <c r="D1913" t="s">
        <v>2938</v>
      </c>
      <c r="F1913">
        <v>44859233</v>
      </c>
      <c r="G1913">
        <v>27316836</v>
      </c>
      <c r="H1913">
        <v>31178883</v>
      </c>
      <c r="I1913">
        <v>27069042</v>
      </c>
      <c r="J1913">
        <v>22881309</v>
      </c>
      <c r="P1913">
        <v>19</v>
      </c>
      <c r="Q1913" t="s">
        <v>4147</v>
      </c>
    </row>
    <row r="1914" spans="1:17" x14ac:dyDescent="0.3">
      <c r="A1914" t="s">
        <v>17</v>
      </c>
      <c r="B1914" t="str">
        <f>"688256"</f>
        <v>688256</v>
      </c>
      <c r="C1914" t="s">
        <v>4148</v>
      </c>
      <c r="D1914" t="s">
        <v>461</v>
      </c>
      <c r="F1914">
        <v>478035102</v>
      </c>
      <c r="G1914">
        <v>207646239</v>
      </c>
      <c r="H1914">
        <v>64608655</v>
      </c>
      <c r="I1914">
        <v>32644377</v>
      </c>
      <c r="J1914">
        <v>4410913</v>
      </c>
      <c r="P1914">
        <v>192</v>
      </c>
      <c r="Q1914" t="s">
        <v>4149</v>
      </c>
    </row>
    <row r="1915" spans="1:17" x14ac:dyDescent="0.3">
      <c r="A1915" t="s">
        <v>17</v>
      </c>
      <c r="B1915" t="str">
        <f>"688257"</f>
        <v>688257</v>
      </c>
      <c r="C1915" t="s">
        <v>4150</v>
      </c>
      <c r="D1915" t="s">
        <v>274</v>
      </c>
      <c r="F1915">
        <v>241786006</v>
      </c>
      <c r="G1915">
        <v>215392911</v>
      </c>
      <c r="H1915">
        <v>201948254</v>
      </c>
      <c r="I1915">
        <v>180292658</v>
      </c>
      <c r="J1915">
        <v>175554753</v>
      </c>
      <c r="P1915">
        <v>17</v>
      </c>
      <c r="Q1915" t="s">
        <v>4151</v>
      </c>
    </row>
    <row r="1916" spans="1:17" x14ac:dyDescent="0.3">
      <c r="A1916" t="s">
        <v>17</v>
      </c>
      <c r="B1916" t="str">
        <f>"688258"</f>
        <v>688258</v>
      </c>
      <c r="C1916" t="s">
        <v>4152</v>
      </c>
      <c r="D1916" t="s">
        <v>316</v>
      </c>
      <c r="F1916">
        <v>151397825</v>
      </c>
      <c r="G1916">
        <v>153696754</v>
      </c>
      <c r="H1916">
        <v>168318490</v>
      </c>
      <c r="I1916">
        <v>125477811</v>
      </c>
      <c r="J1916">
        <v>106166079</v>
      </c>
      <c r="K1916">
        <v>100547762</v>
      </c>
      <c r="P1916">
        <v>2718</v>
      </c>
      <c r="Q1916" t="s">
        <v>4153</v>
      </c>
    </row>
    <row r="1917" spans="1:17" x14ac:dyDescent="0.3">
      <c r="A1917" t="s">
        <v>17</v>
      </c>
      <c r="B1917" t="str">
        <f>"688259"</f>
        <v>688259</v>
      </c>
      <c r="C1917" t="s">
        <v>4154</v>
      </c>
      <c r="D1917" t="s">
        <v>461</v>
      </c>
      <c r="F1917">
        <v>55035142</v>
      </c>
      <c r="G1917">
        <v>40666097</v>
      </c>
      <c r="H1917">
        <v>47998901</v>
      </c>
      <c r="I1917">
        <v>12995275</v>
      </c>
      <c r="J1917">
        <v>7515353</v>
      </c>
      <c r="P1917">
        <v>17</v>
      </c>
      <c r="Q1917" t="s">
        <v>4155</v>
      </c>
    </row>
    <row r="1918" spans="1:17" x14ac:dyDescent="0.3">
      <c r="A1918" t="s">
        <v>17</v>
      </c>
      <c r="B1918" t="str">
        <f>"688260"</f>
        <v>688260</v>
      </c>
      <c r="C1918" t="s">
        <v>4156</v>
      </c>
      <c r="D1918" t="s">
        <v>313</v>
      </c>
      <c r="F1918">
        <v>194404048</v>
      </c>
      <c r="G1918">
        <v>173083879</v>
      </c>
      <c r="H1918">
        <v>191204072</v>
      </c>
      <c r="I1918">
        <v>105022362</v>
      </c>
      <c r="J1918">
        <v>45548349</v>
      </c>
      <c r="P1918">
        <v>24</v>
      </c>
      <c r="Q1918" t="s">
        <v>4157</v>
      </c>
    </row>
    <row r="1919" spans="1:17" x14ac:dyDescent="0.3">
      <c r="A1919" t="s">
        <v>17</v>
      </c>
      <c r="B1919" t="str">
        <f>"688261"</f>
        <v>688261</v>
      </c>
      <c r="C1919" t="s">
        <v>4158</v>
      </c>
      <c r="F1919">
        <v>103697058</v>
      </c>
      <c r="G1919">
        <v>74353774</v>
      </c>
      <c r="H1919">
        <v>27106717</v>
      </c>
      <c r="I1919">
        <v>12753039</v>
      </c>
      <c r="P1919">
        <v>11</v>
      </c>
      <c r="Q1919" t="s">
        <v>4159</v>
      </c>
    </row>
    <row r="1920" spans="1:17" x14ac:dyDescent="0.3">
      <c r="A1920" t="s">
        <v>17</v>
      </c>
      <c r="B1920" t="str">
        <f>"688262"</f>
        <v>688262</v>
      </c>
      <c r="C1920" t="s">
        <v>4160</v>
      </c>
      <c r="D1920" t="s">
        <v>461</v>
      </c>
      <c r="F1920">
        <v>202819042</v>
      </c>
      <c r="G1920">
        <v>172499366</v>
      </c>
      <c r="H1920">
        <v>185068228</v>
      </c>
      <c r="I1920">
        <v>183180498</v>
      </c>
      <c r="J1920">
        <v>110970449</v>
      </c>
      <c r="P1920">
        <v>19</v>
      </c>
      <c r="Q1920" t="s">
        <v>4161</v>
      </c>
    </row>
    <row r="1921" spans="1:17" x14ac:dyDescent="0.3">
      <c r="A1921" t="s">
        <v>17</v>
      </c>
      <c r="B1921" t="str">
        <f>"688265"</f>
        <v>688265</v>
      </c>
      <c r="C1921" t="s">
        <v>4162</v>
      </c>
      <c r="D1921" t="s">
        <v>1461</v>
      </c>
      <c r="F1921">
        <v>55426481</v>
      </c>
      <c r="G1921">
        <v>52555089</v>
      </c>
      <c r="H1921">
        <v>35538168</v>
      </c>
      <c r="I1921">
        <v>29777217</v>
      </c>
      <c r="J1921">
        <v>17534602</v>
      </c>
      <c r="P1921">
        <v>17</v>
      </c>
      <c r="Q1921" t="s">
        <v>4163</v>
      </c>
    </row>
    <row r="1922" spans="1:17" x14ac:dyDescent="0.3">
      <c r="A1922" t="s">
        <v>17</v>
      </c>
      <c r="B1922" t="str">
        <f>"688266"</f>
        <v>688266</v>
      </c>
      <c r="C1922" t="s">
        <v>4164</v>
      </c>
      <c r="D1922" t="s">
        <v>143</v>
      </c>
      <c r="F1922">
        <v>62370698</v>
      </c>
      <c r="G1922">
        <v>0</v>
      </c>
      <c r="H1922">
        <v>0</v>
      </c>
      <c r="I1922">
        <v>0</v>
      </c>
      <c r="J1922">
        <v>0</v>
      </c>
      <c r="K1922">
        <v>0</v>
      </c>
      <c r="P1922">
        <v>102</v>
      </c>
      <c r="Q1922" t="s">
        <v>4165</v>
      </c>
    </row>
    <row r="1923" spans="1:17" x14ac:dyDescent="0.3">
      <c r="A1923" t="s">
        <v>17</v>
      </c>
      <c r="B1923" t="str">
        <f>"688267"</f>
        <v>688267</v>
      </c>
      <c r="C1923" t="s">
        <v>4166</v>
      </c>
      <c r="F1923">
        <v>117712235</v>
      </c>
      <c r="G1923">
        <v>155630441</v>
      </c>
      <c r="H1923">
        <v>107907383</v>
      </c>
      <c r="I1923">
        <v>69833435</v>
      </c>
      <c r="P1923">
        <v>7</v>
      </c>
      <c r="Q1923" t="s">
        <v>4167</v>
      </c>
    </row>
    <row r="1924" spans="1:17" x14ac:dyDescent="0.3">
      <c r="A1924" t="s">
        <v>17</v>
      </c>
      <c r="B1924" t="str">
        <f>"688268"</f>
        <v>688268</v>
      </c>
      <c r="C1924" t="s">
        <v>4168</v>
      </c>
      <c r="D1924" t="s">
        <v>2408</v>
      </c>
      <c r="F1924">
        <v>268161572</v>
      </c>
      <c r="G1924">
        <v>196732411</v>
      </c>
      <c r="H1924">
        <v>192273948</v>
      </c>
      <c r="I1924">
        <v>194148354</v>
      </c>
      <c r="J1924">
        <v>173029956</v>
      </c>
      <c r="K1924">
        <v>191263921</v>
      </c>
      <c r="P1924">
        <v>184</v>
      </c>
      <c r="Q1924" t="s">
        <v>4169</v>
      </c>
    </row>
    <row r="1925" spans="1:17" x14ac:dyDescent="0.3">
      <c r="A1925" t="s">
        <v>17</v>
      </c>
      <c r="B1925" t="str">
        <f>"688269"</f>
        <v>688269</v>
      </c>
      <c r="C1925" t="s">
        <v>4170</v>
      </c>
      <c r="D1925" t="s">
        <v>581</v>
      </c>
      <c r="F1925">
        <v>70777014</v>
      </c>
      <c r="G1925">
        <v>50886234</v>
      </c>
      <c r="H1925">
        <v>26149294</v>
      </c>
      <c r="I1925">
        <v>35788054</v>
      </c>
      <c r="J1925">
        <v>32439923</v>
      </c>
      <c r="P1925">
        <v>58</v>
      </c>
      <c r="Q1925" t="s">
        <v>4171</v>
      </c>
    </row>
    <row r="1926" spans="1:17" x14ac:dyDescent="0.3">
      <c r="A1926" t="s">
        <v>17</v>
      </c>
      <c r="B1926" t="str">
        <f>"688270"</f>
        <v>688270</v>
      </c>
      <c r="C1926" t="s">
        <v>4172</v>
      </c>
      <c r="F1926">
        <v>119853745</v>
      </c>
      <c r="G1926">
        <v>86837457</v>
      </c>
      <c r="H1926">
        <v>32204001</v>
      </c>
      <c r="I1926">
        <v>1769637</v>
      </c>
      <c r="P1926">
        <v>12</v>
      </c>
      <c r="Q1926" t="s">
        <v>4173</v>
      </c>
    </row>
    <row r="1927" spans="1:17" x14ac:dyDescent="0.3">
      <c r="A1927" t="s">
        <v>17</v>
      </c>
      <c r="B1927" t="str">
        <f>"688272"</f>
        <v>688272</v>
      </c>
      <c r="C1927" t="s">
        <v>4174</v>
      </c>
      <c r="D1927" t="s">
        <v>1136</v>
      </c>
      <c r="F1927">
        <v>187135269</v>
      </c>
      <c r="G1927">
        <v>76711949</v>
      </c>
      <c r="H1927">
        <v>66295568</v>
      </c>
      <c r="I1927">
        <v>43630979</v>
      </c>
      <c r="J1927">
        <v>35140459</v>
      </c>
      <c r="P1927">
        <v>11</v>
      </c>
      <c r="Q1927" t="s">
        <v>4175</v>
      </c>
    </row>
    <row r="1928" spans="1:17" x14ac:dyDescent="0.3">
      <c r="A1928" t="s">
        <v>17</v>
      </c>
      <c r="B1928" t="str">
        <f>"688276"</f>
        <v>688276</v>
      </c>
      <c r="C1928" t="s">
        <v>4176</v>
      </c>
      <c r="D1928" t="s">
        <v>1499</v>
      </c>
      <c r="F1928">
        <v>763935459</v>
      </c>
      <c r="G1928">
        <v>733177914</v>
      </c>
      <c r="H1928">
        <v>330734462</v>
      </c>
      <c r="I1928">
        <v>275826788</v>
      </c>
      <c r="J1928">
        <v>242692814</v>
      </c>
      <c r="P1928">
        <v>46</v>
      </c>
      <c r="Q1928" t="s">
        <v>4177</v>
      </c>
    </row>
    <row r="1929" spans="1:17" x14ac:dyDescent="0.3">
      <c r="A1929" t="s">
        <v>17</v>
      </c>
      <c r="B1929" t="str">
        <f>"688277"</f>
        <v>688277</v>
      </c>
      <c r="C1929" t="s">
        <v>4178</v>
      </c>
      <c r="D1929" t="s">
        <v>122</v>
      </c>
      <c r="F1929">
        <v>27254544</v>
      </c>
      <c r="G1929">
        <v>15915482</v>
      </c>
      <c r="H1929">
        <v>45554084</v>
      </c>
      <c r="I1929">
        <v>44294575</v>
      </c>
      <c r="J1929">
        <v>20941429</v>
      </c>
      <c r="K1929">
        <v>7700483</v>
      </c>
      <c r="P1929">
        <v>120</v>
      </c>
      <c r="Q1929" t="s">
        <v>4179</v>
      </c>
    </row>
    <row r="1930" spans="1:17" x14ac:dyDescent="0.3">
      <c r="A1930" t="s">
        <v>17</v>
      </c>
      <c r="B1930" t="str">
        <f>"688278"</f>
        <v>688278</v>
      </c>
      <c r="C1930" t="s">
        <v>4180</v>
      </c>
      <c r="D1930" t="s">
        <v>1379</v>
      </c>
      <c r="F1930">
        <v>186372022</v>
      </c>
      <c r="G1930">
        <v>162913899</v>
      </c>
      <c r="H1930">
        <v>124248384</v>
      </c>
      <c r="I1930">
        <v>111417958</v>
      </c>
      <c r="J1930">
        <v>150022807</v>
      </c>
      <c r="K1930">
        <v>121639166</v>
      </c>
      <c r="P1930">
        <v>154</v>
      </c>
      <c r="Q1930" t="s">
        <v>4181</v>
      </c>
    </row>
    <row r="1931" spans="1:17" x14ac:dyDescent="0.3">
      <c r="A1931" t="s">
        <v>17</v>
      </c>
      <c r="B1931" t="str">
        <f>"688279"</f>
        <v>688279</v>
      </c>
      <c r="C1931" t="s">
        <v>4182</v>
      </c>
      <c r="F1931">
        <v>2763430</v>
      </c>
      <c r="G1931">
        <v>992163</v>
      </c>
      <c r="H1931">
        <v>808556</v>
      </c>
      <c r="I1931">
        <v>227114</v>
      </c>
      <c r="P1931">
        <v>6</v>
      </c>
      <c r="Q1931" t="s">
        <v>4183</v>
      </c>
    </row>
    <row r="1932" spans="1:17" x14ac:dyDescent="0.3">
      <c r="A1932" t="s">
        <v>17</v>
      </c>
      <c r="B1932" t="str">
        <f>"688280"</f>
        <v>688280</v>
      </c>
      <c r="C1932" t="s">
        <v>4184</v>
      </c>
      <c r="D1932" t="s">
        <v>348</v>
      </c>
      <c r="F1932">
        <v>305402535</v>
      </c>
      <c r="G1932">
        <v>270844656</v>
      </c>
      <c r="H1932">
        <v>320688318</v>
      </c>
      <c r="I1932">
        <v>500579484</v>
      </c>
      <c r="J1932">
        <v>508105382</v>
      </c>
      <c r="P1932">
        <v>22</v>
      </c>
      <c r="Q1932" t="s">
        <v>4185</v>
      </c>
    </row>
    <row r="1933" spans="1:17" x14ac:dyDescent="0.3">
      <c r="A1933" t="s">
        <v>17</v>
      </c>
      <c r="B1933" t="str">
        <f>"688281"</f>
        <v>688281</v>
      </c>
      <c r="C1933" t="s">
        <v>4186</v>
      </c>
      <c r="F1933">
        <v>245909989</v>
      </c>
      <c r="G1933">
        <v>180640035</v>
      </c>
      <c r="H1933">
        <v>48002625</v>
      </c>
      <c r="I1933">
        <v>40612523</v>
      </c>
      <c r="P1933">
        <v>13</v>
      </c>
      <c r="Q1933" t="s">
        <v>4187</v>
      </c>
    </row>
    <row r="1934" spans="1:17" x14ac:dyDescent="0.3">
      <c r="A1934" t="s">
        <v>17</v>
      </c>
      <c r="B1934" t="str">
        <f>"688282"</f>
        <v>688282</v>
      </c>
      <c r="C1934" t="s">
        <v>4188</v>
      </c>
      <c r="F1934">
        <v>169613646</v>
      </c>
      <c r="G1934">
        <v>77358500</v>
      </c>
      <c r="H1934">
        <v>26961000</v>
      </c>
      <c r="I1934">
        <v>698529</v>
      </c>
      <c r="J1934">
        <v>276675</v>
      </c>
      <c r="P1934">
        <v>3</v>
      </c>
      <c r="Q1934" t="s">
        <v>4189</v>
      </c>
    </row>
    <row r="1935" spans="1:17" x14ac:dyDescent="0.3">
      <c r="A1935" t="s">
        <v>17</v>
      </c>
      <c r="B1935" t="str">
        <f>"688283"</f>
        <v>688283</v>
      </c>
      <c r="C1935" t="s">
        <v>4190</v>
      </c>
      <c r="F1935">
        <v>100856176</v>
      </c>
      <c r="G1935">
        <v>78401919</v>
      </c>
      <c r="H1935">
        <v>68205075</v>
      </c>
      <c r="I1935">
        <v>45783396</v>
      </c>
      <c r="P1935">
        <v>17</v>
      </c>
      <c r="Q1935" t="s">
        <v>4191</v>
      </c>
    </row>
    <row r="1936" spans="1:17" x14ac:dyDescent="0.3">
      <c r="A1936" t="s">
        <v>17</v>
      </c>
      <c r="B1936" t="str">
        <f>"688285"</f>
        <v>688285</v>
      </c>
      <c r="C1936" t="s">
        <v>4192</v>
      </c>
      <c r="D1936" t="s">
        <v>1012</v>
      </c>
      <c r="F1936">
        <v>881316562</v>
      </c>
      <c r="G1936">
        <v>601934209</v>
      </c>
      <c r="H1936">
        <v>681322368</v>
      </c>
      <c r="I1936">
        <v>821978061</v>
      </c>
      <c r="J1936">
        <v>814617921</v>
      </c>
      <c r="P1936">
        <v>14</v>
      </c>
      <c r="Q1936" t="s">
        <v>4193</v>
      </c>
    </row>
    <row r="1937" spans="1:17" x14ac:dyDescent="0.3">
      <c r="A1937" t="s">
        <v>17</v>
      </c>
      <c r="B1937" t="str">
        <f>"688286"</f>
        <v>688286</v>
      </c>
      <c r="C1937" t="s">
        <v>4194</v>
      </c>
      <c r="D1937" t="s">
        <v>401</v>
      </c>
      <c r="F1937">
        <v>21480428</v>
      </c>
      <c r="G1937">
        <v>17566529</v>
      </c>
      <c r="H1937">
        <v>15100296</v>
      </c>
      <c r="I1937">
        <v>6797621</v>
      </c>
      <c r="J1937">
        <v>3424630</v>
      </c>
      <c r="K1937">
        <v>3175271</v>
      </c>
      <c r="P1937">
        <v>91</v>
      </c>
      <c r="Q1937" t="s">
        <v>4195</v>
      </c>
    </row>
    <row r="1938" spans="1:17" x14ac:dyDescent="0.3">
      <c r="A1938" t="s">
        <v>17</v>
      </c>
      <c r="B1938" t="str">
        <f>"688288"</f>
        <v>688288</v>
      </c>
      <c r="C1938" t="s">
        <v>4196</v>
      </c>
      <c r="D1938" t="s">
        <v>236</v>
      </c>
      <c r="F1938">
        <v>141367482</v>
      </c>
      <c r="G1938">
        <v>165245717</v>
      </c>
      <c r="H1938">
        <v>145801885</v>
      </c>
      <c r="I1938">
        <v>94235155</v>
      </c>
      <c r="J1938">
        <v>121164462</v>
      </c>
      <c r="K1938">
        <v>62706100</v>
      </c>
      <c r="P1938">
        <v>110</v>
      </c>
      <c r="Q1938" t="s">
        <v>4197</v>
      </c>
    </row>
    <row r="1939" spans="1:17" x14ac:dyDescent="0.3">
      <c r="A1939" t="s">
        <v>17</v>
      </c>
      <c r="B1939" t="str">
        <f>"688289"</f>
        <v>688289</v>
      </c>
      <c r="C1939" t="s">
        <v>4198</v>
      </c>
      <c r="D1939" t="s">
        <v>1305</v>
      </c>
      <c r="F1939">
        <v>794673471</v>
      </c>
      <c r="G1939">
        <v>520734928</v>
      </c>
      <c r="H1939">
        <v>188198143</v>
      </c>
      <c r="I1939">
        <v>161159651</v>
      </c>
      <c r="J1939">
        <v>113357268</v>
      </c>
      <c r="P1939">
        <v>209</v>
      </c>
      <c r="Q1939" t="s">
        <v>4199</v>
      </c>
    </row>
    <row r="1940" spans="1:17" x14ac:dyDescent="0.3">
      <c r="A1940" t="s">
        <v>17</v>
      </c>
      <c r="B1940" t="str">
        <f>"688290"</f>
        <v>688290</v>
      </c>
      <c r="C1940" t="s">
        <v>4200</v>
      </c>
      <c r="F1940">
        <v>148741579</v>
      </c>
      <c r="G1940">
        <v>97302472</v>
      </c>
      <c r="H1940">
        <v>47893044</v>
      </c>
      <c r="I1940">
        <v>31259162</v>
      </c>
      <c r="P1940">
        <v>0</v>
      </c>
      <c r="Q1940" t="s">
        <v>4201</v>
      </c>
    </row>
    <row r="1941" spans="1:17" x14ac:dyDescent="0.3">
      <c r="A1941" t="s">
        <v>17</v>
      </c>
      <c r="B1941" t="str">
        <f>"688295"</f>
        <v>688295</v>
      </c>
      <c r="C1941" t="s">
        <v>4202</v>
      </c>
      <c r="F1941">
        <v>689139</v>
      </c>
      <c r="G1941">
        <v>262860</v>
      </c>
      <c r="H1941">
        <v>6654188</v>
      </c>
      <c r="I1941">
        <v>8736540</v>
      </c>
      <c r="P1941">
        <v>15</v>
      </c>
      <c r="Q1941" t="s">
        <v>4203</v>
      </c>
    </row>
    <row r="1942" spans="1:17" x14ac:dyDescent="0.3">
      <c r="A1942" t="s">
        <v>17</v>
      </c>
      <c r="B1942" t="str">
        <f>"688296"</f>
        <v>688296</v>
      </c>
      <c r="C1942" t="s">
        <v>4204</v>
      </c>
      <c r="D1942" t="s">
        <v>945</v>
      </c>
      <c r="F1942">
        <v>249728296</v>
      </c>
      <c r="G1942">
        <v>145809709</v>
      </c>
      <c r="H1942">
        <v>98227985</v>
      </c>
      <c r="I1942">
        <v>61555746</v>
      </c>
      <c r="J1942">
        <v>40329451</v>
      </c>
      <c r="P1942">
        <v>24</v>
      </c>
      <c r="Q1942" t="s">
        <v>4205</v>
      </c>
    </row>
    <row r="1943" spans="1:17" x14ac:dyDescent="0.3">
      <c r="A1943" t="s">
        <v>17</v>
      </c>
      <c r="B1943" t="str">
        <f>"688298"</f>
        <v>688298</v>
      </c>
      <c r="C1943" t="s">
        <v>4206</v>
      </c>
      <c r="D1943" t="s">
        <v>1305</v>
      </c>
      <c r="F1943">
        <v>1184430196</v>
      </c>
      <c r="G1943">
        <v>625819511</v>
      </c>
      <c r="H1943">
        <v>83022304</v>
      </c>
      <c r="I1943">
        <v>58238582</v>
      </c>
      <c r="J1943">
        <v>47113140</v>
      </c>
      <c r="K1943">
        <v>38880391</v>
      </c>
      <c r="P1943">
        <v>477</v>
      </c>
      <c r="Q1943" t="s">
        <v>4207</v>
      </c>
    </row>
    <row r="1944" spans="1:17" x14ac:dyDescent="0.3">
      <c r="A1944" t="s">
        <v>17</v>
      </c>
      <c r="B1944" t="str">
        <f>"688299"</f>
        <v>688299</v>
      </c>
      <c r="C1944" t="s">
        <v>4208</v>
      </c>
      <c r="D1944" t="s">
        <v>1117</v>
      </c>
      <c r="F1944">
        <v>383037424</v>
      </c>
      <c r="G1944">
        <v>321268813</v>
      </c>
      <c r="H1944">
        <v>305282299</v>
      </c>
      <c r="I1944">
        <v>270637857</v>
      </c>
      <c r="J1944">
        <v>225659770</v>
      </c>
      <c r="K1944">
        <v>174405650</v>
      </c>
      <c r="P1944">
        <v>239</v>
      </c>
      <c r="Q1944" t="s">
        <v>4209</v>
      </c>
    </row>
    <row r="1945" spans="1:17" x14ac:dyDescent="0.3">
      <c r="A1945" t="s">
        <v>17</v>
      </c>
      <c r="B1945" t="str">
        <f>"688300"</f>
        <v>688300</v>
      </c>
      <c r="C1945" t="s">
        <v>4210</v>
      </c>
      <c r="D1945" t="s">
        <v>2762</v>
      </c>
      <c r="F1945">
        <v>170694777</v>
      </c>
      <c r="G1945">
        <v>123475138</v>
      </c>
      <c r="H1945">
        <v>92990170</v>
      </c>
      <c r="I1945">
        <v>72360700</v>
      </c>
      <c r="J1945">
        <v>59917256</v>
      </c>
      <c r="K1945">
        <v>55991700</v>
      </c>
      <c r="P1945">
        <v>196</v>
      </c>
      <c r="Q1945" t="s">
        <v>4211</v>
      </c>
    </row>
    <row r="1946" spans="1:17" x14ac:dyDescent="0.3">
      <c r="A1946" t="s">
        <v>17</v>
      </c>
      <c r="B1946" t="str">
        <f>"688301"</f>
        <v>688301</v>
      </c>
      <c r="C1946" t="s">
        <v>4212</v>
      </c>
      <c r="D1946" t="s">
        <v>122</v>
      </c>
      <c r="F1946">
        <v>281487940</v>
      </c>
      <c r="G1946">
        <v>123706359</v>
      </c>
      <c r="H1946">
        <v>199948387</v>
      </c>
      <c r="I1946">
        <v>136909163</v>
      </c>
      <c r="J1946">
        <v>73999379</v>
      </c>
      <c r="P1946">
        <v>178</v>
      </c>
      <c r="Q1946" t="s">
        <v>4213</v>
      </c>
    </row>
    <row r="1947" spans="1:17" x14ac:dyDescent="0.3">
      <c r="A1947" t="s">
        <v>17</v>
      </c>
      <c r="B1947" t="str">
        <f>"688302"</f>
        <v>688302</v>
      </c>
      <c r="C1947" t="s">
        <v>4214</v>
      </c>
      <c r="F1947">
        <v>0</v>
      </c>
      <c r="G1947">
        <v>0</v>
      </c>
      <c r="H1947">
        <v>0</v>
      </c>
      <c r="I1947">
        <v>0</v>
      </c>
      <c r="P1947">
        <v>2</v>
      </c>
      <c r="Q1947" t="s">
        <v>4215</v>
      </c>
    </row>
    <row r="1948" spans="1:17" x14ac:dyDescent="0.3">
      <c r="A1948" t="s">
        <v>17</v>
      </c>
      <c r="B1948" t="str">
        <f>"688303"</f>
        <v>688303</v>
      </c>
      <c r="C1948" t="s">
        <v>4216</v>
      </c>
      <c r="D1948" t="s">
        <v>929</v>
      </c>
      <c r="F1948">
        <v>0</v>
      </c>
      <c r="G1948">
        <v>0</v>
      </c>
      <c r="H1948">
        <v>92514</v>
      </c>
      <c r="I1948">
        <v>8120772</v>
      </c>
      <c r="J1948">
        <v>4557663</v>
      </c>
      <c r="P1948">
        <v>108</v>
      </c>
      <c r="Q1948" t="s">
        <v>4217</v>
      </c>
    </row>
    <row r="1949" spans="1:17" x14ac:dyDescent="0.3">
      <c r="A1949" t="s">
        <v>17</v>
      </c>
      <c r="B1949" t="str">
        <f>"688305"</f>
        <v>688305</v>
      </c>
      <c r="C1949" t="s">
        <v>4218</v>
      </c>
      <c r="D1949" t="s">
        <v>2321</v>
      </c>
      <c r="F1949">
        <v>92789721</v>
      </c>
      <c r="G1949">
        <v>62593231</v>
      </c>
      <c r="H1949">
        <v>69346020</v>
      </c>
      <c r="I1949">
        <v>24532272</v>
      </c>
      <c r="J1949">
        <v>21575222</v>
      </c>
      <c r="P1949">
        <v>79</v>
      </c>
      <c r="Q1949" t="s">
        <v>4219</v>
      </c>
    </row>
    <row r="1950" spans="1:17" x14ac:dyDescent="0.3">
      <c r="A1950" t="s">
        <v>17</v>
      </c>
      <c r="B1950" t="str">
        <f>"688306"</f>
        <v>688306</v>
      </c>
      <c r="C1950" t="s">
        <v>4220</v>
      </c>
      <c r="F1950">
        <v>200737578</v>
      </c>
      <c r="G1950">
        <v>118867246</v>
      </c>
      <c r="H1950">
        <v>155368532</v>
      </c>
      <c r="I1950">
        <v>161359364</v>
      </c>
      <c r="J1950">
        <v>135085145</v>
      </c>
      <c r="P1950">
        <v>3</v>
      </c>
      <c r="Q1950" t="s">
        <v>4221</v>
      </c>
    </row>
    <row r="1951" spans="1:17" x14ac:dyDescent="0.3">
      <c r="A1951" t="s">
        <v>17</v>
      </c>
      <c r="B1951" t="str">
        <f>"688308"</f>
        <v>688308</v>
      </c>
      <c r="C1951" t="s">
        <v>4222</v>
      </c>
      <c r="D1951" t="s">
        <v>274</v>
      </c>
      <c r="F1951">
        <v>132733172</v>
      </c>
      <c r="G1951">
        <v>122208223</v>
      </c>
      <c r="H1951">
        <v>94849139</v>
      </c>
      <c r="I1951">
        <v>97517065</v>
      </c>
      <c r="J1951">
        <v>70687613</v>
      </c>
      <c r="P1951">
        <v>91</v>
      </c>
      <c r="Q1951" t="s">
        <v>4223</v>
      </c>
    </row>
    <row r="1952" spans="1:17" x14ac:dyDescent="0.3">
      <c r="A1952" t="s">
        <v>17</v>
      </c>
      <c r="B1952" t="str">
        <f>"688309"</f>
        <v>688309</v>
      </c>
      <c r="C1952" t="s">
        <v>4224</v>
      </c>
      <c r="D1952" t="s">
        <v>1070</v>
      </c>
      <c r="F1952">
        <v>114554383</v>
      </c>
      <c r="G1952">
        <v>138464892</v>
      </c>
      <c r="H1952">
        <v>47093400</v>
      </c>
      <c r="I1952">
        <v>48914761</v>
      </c>
      <c r="J1952">
        <v>26729595</v>
      </c>
      <c r="K1952">
        <v>35112000</v>
      </c>
      <c r="P1952">
        <v>30</v>
      </c>
      <c r="Q1952" t="s">
        <v>4225</v>
      </c>
    </row>
    <row r="1953" spans="1:17" x14ac:dyDescent="0.3">
      <c r="A1953" t="s">
        <v>17</v>
      </c>
      <c r="B1953" t="str">
        <f>"688310"</f>
        <v>688310</v>
      </c>
      <c r="C1953" t="s">
        <v>4226</v>
      </c>
      <c r="D1953" t="s">
        <v>3477</v>
      </c>
      <c r="F1953">
        <v>115080615</v>
      </c>
      <c r="G1953">
        <v>97772162</v>
      </c>
      <c r="H1953">
        <v>100713733</v>
      </c>
      <c r="I1953">
        <v>72385967</v>
      </c>
      <c r="J1953">
        <v>60806263</v>
      </c>
      <c r="K1953">
        <v>80413800</v>
      </c>
      <c r="P1953">
        <v>92</v>
      </c>
      <c r="Q1953" t="s">
        <v>4227</v>
      </c>
    </row>
    <row r="1954" spans="1:17" x14ac:dyDescent="0.3">
      <c r="A1954" t="s">
        <v>17</v>
      </c>
      <c r="B1954" t="str">
        <f>"688311"</f>
        <v>688311</v>
      </c>
      <c r="C1954" t="s">
        <v>4228</v>
      </c>
      <c r="D1954" t="s">
        <v>1136</v>
      </c>
      <c r="F1954">
        <v>531822039</v>
      </c>
      <c r="G1954">
        <v>409873913</v>
      </c>
      <c r="H1954">
        <v>242299953</v>
      </c>
      <c r="I1954">
        <v>158845512</v>
      </c>
      <c r="J1954">
        <v>94920126</v>
      </c>
      <c r="K1954">
        <v>132353020</v>
      </c>
      <c r="P1954">
        <v>74</v>
      </c>
      <c r="Q1954" t="s">
        <v>4229</v>
      </c>
    </row>
    <row r="1955" spans="1:17" x14ac:dyDescent="0.3">
      <c r="A1955" t="s">
        <v>17</v>
      </c>
      <c r="B1955" t="str">
        <f>"688312"</f>
        <v>688312</v>
      </c>
      <c r="C1955" t="s">
        <v>4230</v>
      </c>
      <c r="D1955" t="s">
        <v>741</v>
      </c>
      <c r="F1955">
        <v>149047273</v>
      </c>
      <c r="G1955">
        <v>166797525</v>
      </c>
      <c r="H1955">
        <v>93531616</v>
      </c>
      <c r="I1955">
        <v>123774479</v>
      </c>
      <c r="J1955">
        <v>132655437</v>
      </c>
      <c r="K1955">
        <v>54145658</v>
      </c>
      <c r="P1955">
        <v>64</v>
      </c>
      <c r="Q1955" t="s">
        <v>4231</v>
      </c>
    </row>
    <row r="1956" spans="1:17" x14ac:dyDescent="0.3">
      <c r="A1956" t="s">
        <v>17</v>
      </c>
      <c r="B1956" t="str">
        <f>"688313"</f>
        <v>688313</v>
      </c>
      <c r="C1956" t="s">
        <v>4232</v>
      </c>
      <c r="D1956" t="s">
        <v>1019</v>
      </c>
      <c r="F1956">
        <v>247269313</v>
      </c>
      <c r="G1956">
        <v>183228986</v>
      </c>
      <c r="H1956">
        <v>168436523</v>
      </c>
      <c r="I1956">
        <v>179299243</v>
      </c>
      <c r="J1956">
        <v>170967429</v>
      </c>
      <c r="P1956">
        <v>50</v>
      </c>
      <c r="Q1956" t="s">
        <v>4233</v>
      </c>
    </row>
    <row r="1957" spans="1:17" x14ac:dyDescent="0.3">
      <c r="A1957" t="s">
        <v>17</v>
      </c>
      <c r="B1957" t="str">
        <f>"688314"</f>
        <v>688314</v>
      </c>
      <c r="C1957" t="s">
        <v>4234</v>
      </c>
      <c r="D1957" t="s">
        <v>1077</v>
      </c>
      <c r="F1957">
        <v>5820162</v>
      </c>
      <c r="G1957">
        <v>4062731</v>
      </c>
      <c r="H1957">
        <v>4029170</v>
      </c>
      <c r="I1957">
        <v>4951075</v>
      </c>
      <c r="J1957">
        <v>3855659</v>
      </c>
      <c r="P1957">
        <v>53</v>
      </c>
      <c r="Q1957" t="s">
        <v>4235</v>
      </c>
    </row>
    <row r="1958" spans="1:17" x14ac:dyDescent="0.3">
      <c r="A1958" t="s">
        <v>17</v>
      </c>
      <c r="B1958" t="str">
        <f>"688315"</f>
        <v>688315</v>
      </c>
      <c r="C1958" t="s">
        <v>4236</v>
      </c>
      <c r="D1958" t="s">
        <v>4237</v>
      </c>
      <c r="F1958">
        <v>527586751</v>
      </c>
      <c r="G1958">
        <v>321999155</v>
      </c>
      <c r="H1958">
        <v>368102790</v>
      </c>
      <c r="I1958">
        <v>178486997</v>
      </c>
      <c r="J1958">
        <v>96215235</v>
      </c>
      <c r="K1958">
        <v>45386850</v>
      </c>
      <c r="P1958">
        <v>46</v>
      </c>
      <c r="Q1958" t="s">
        <v>4238</v>
      </c>
    </row>
    <row r="1959" spans="1:17" x14ac:dyDescent="0.3">
      <c r="A1959" t="s">
        <v>17</v>
      </c>
      <c r="B1959" t="str">
        <f>"688316"</f>
        <v>688316</v>
      </c>
      <c r="C1959" t="s">
        <v>4239</v>
      </c>
      <c r="D1959" t="s">
        <v>316</v>
      </c>
      <c r="F1959">
        <v>112330027</v>
      </c>
      <c r="G1959">
        <v>112559375</v>
      </c>
      <c r="H1959">
        <v>103920404</v>
      </c>
      <c r="I1959">
        <v>105976254</v>
      </c>
      <c r="J1959">
        <v>93675653</v>
      </c>
      <c r="P1959">
        <v>31</v>
      </c>
      <c r="Q1959" t="s">
        <v>4240</v>
      </c>
    </row>
    <row r="1960" spans="1:17" x14ac:dyDescent="0.3">
      <c r="A1960" t="s">
        <v>17</v>
      </c>
      <c r="B1960" t="str">
        <f>"688317"</f>
        <v>688317</v>
      </c>
      <c r="C1960" t="s">
        <v>4241</v>
      </c>
      <c r="D1960" t="s">
        <v>1305</v>
      </c>
      <c r="F1960">
        <v>215493981</v>
      </c>
      <c r="G1960">
        <v>229987543</v>
      </c>
      <c r="H1960">
        <v>112057770</v>
      </c>
      <c r="I1960">
        <v>104726104</v>
      </c>
      <c r="J1960">
        <v>91694210</v>
      </c>
      <c r="P1960">
        <v>120</v>
      </c>
      <c r="Q1960" t="s">
        <v>4242</v>
      </c>
    </row>
    <row r="1961" spans="1:17" x14ac:dyDescent="0.3">
      <c r="A1961" t="s">
        <v>17</v>
      </c>
      <c r="B1961" t="str">
        <f>"688318"</f>
        <v>688318</v>
      </c>
      <c r="C1961" t="s">
        <v>4243</v>
      </c>
      <c r="D1961" t="s">
        <v>945</v>
      </c>
      <c r="F1961">
        <v>16368239</v>
      </c>
      <c r="G1961">
        <v>17790038</v>
      </c>
      <c r="H1961">
        <v>7613414</v>
      </c>
      <c r="I1961">
        <v>1170218</v>
      </c>
      <c r="J1961">
        <v>3605156</v>
      </c>
      <c r="K1961">
        <v>2970164</v>
      </c>
      <c r="P1961">
        <v>155</v>
      </c>
      <c r="Q1961" t="s">
        <v>4244</v>
      </c>
    </row>
    <row r="1962" spans="1:17" x14ac:dyDescent="0.3">
      <c r="A1962" t="s">
        <v>17</v>
      </c>
      <c r="B1962" t="str">
        <f>"688319"</f>
        <v>688319</v>
      </c>
      <c r="C1962" t="s">
        <v>4245</v>
      </c>
      <c r="D1962" t="s">
        <v>1499</v>
      </c>
      <c r="F1962">
        <v>337024392</v>
      </c>
      <c r="G1962">
        <v>190671422</v>
      </c>
      <c r="H1962">
        <v>111295062</v>
      </c>
      <c r="I1962">
        <v>37646829</v>
      </c>
      <c r="J1962">
        <v>7124538</v>
      </c>
      <c r="P1962">
        <v>46</v>
      </c>
      <c r="Q1962" t="s">
        <v>4246</v>
      </c>
    </row>
    <row r="1963" spans="1:17" x14ac:dyDescent="0.3">
      <c r="A1963" t="s">
        <v>17</v>
      </c>
      <c r="B1963" t="str">
        <f>"688320"</f>
        <v>688320</v>
      </c>
      <c r="C1963" t="s">
        <v>4247</v>
      </c>
      <c r="F1963">
        <v>249321872</v>
      </c>
      <c r="G1963">
        <v>159708774</v>
      </c>
      <c r="H1963">
        <v>140803454</v>
      </c>
      <c r="I1963">
        <v>91259830</v>
      </c>
      <c r="P1963">
        <v>1</v>
      </c>
      <c r="Q1963" t="s">
        <v>4248</v>
      </c>
    </row>
    <row r="1964" spans="1:17" x14ac:dyDescent="0.3">
      <c r="A1964" t="s">
        <v>17</v>
      </c>
      <c r="B1964" t="str">
        <f>"688321"</f>
        <v>688321</v>
      </c>
      <c r="C1964" t="s">
        <v>4249</v>
      </c>
      <c r="D1964" t="s">
        <v>143</v>
      </c>
      <c r="F1964">
        <v>111444365</v>
      </c>
      <c r="G1964">
        <v>41452166</v>
      </c>
      <c r="H1964">
        <v>38118756</v>
      </c>
      <c r="I1964">
        <v>45580076</v>
      </c>
      <c r="J1964">
        <v>27400434</v>
      </c>
      <c r="K1964">
        <v>6030197</v>
      </c>
      <c r="P1964">
        <v>157</v>
      </c>
      <c r="Q1964" t="s">
        <v>4250</v>
      </c>
    </row>
    <row r="1965" spans="1:17" x14ac:dyDescent="0.3">
      <c r="A1965" t="s">
        <v>17</v>
      </c>
      <c r="B1965" t="str">
        <f>"688323"</f>
        <v>688323</v>
      </c>
      <c r="C1965" t="s">
        <v>4251</v>
      </c>
      <c r="D1965" t="s">
        <v>324</v>
      </c>
      <c r="F1965">
        <v>73185298</v>
      </c>
      <c r="G1965">
        <v>69591003</v>
      </c>
      <c r="H1965">
        <v>65134326</v>
      </c>
      <c r="I1965">
        <v>43194174</v>
      </c>
      <c r="J1965">
        <v>32054116</v>
      </c>
      <c r="P1965">
        <v>26</v>
      </c>
      <c r="Q1965" t="s">
        <v>4252</v>
      </c>
    </row>
    <row r="1966" spans="1:17" x14ac:dyDescent="0.3">
      <c r="A1966" t="s">
        <v>17</v>
      </c>
      <c r="B1966" t="str">
        <f>"688325"</f>
        <v>688325</v>
      </c>
      <c r="C1966" t="s">
        <v>4253</v>
      </c>
      <c r="F1966">
        <v>18456968</v>
      </c>
      <c r="G1966">
        <v>20047020</v>
      </c>
      <c r="H1966">
        <v>14982313</v>
      </c>
      <c r="I1966">
        <v>5276265</v>
      </c>
      <c r="P1966">
        <v>3</v>
      </c>
      <c r="Q1966" t="s">
        <v>4254</v>
      </c>
    </row>
    <row r="1967" spans="1:17" x14ac:dyDescent="0.3">
      <c r="A1967" t="s">
        <v>17</v>
      </c>
      <c r="B1967" t="str">
        <f>"688326"</f>
        <v>688326</v>
      </c>
      <c r="C1967" t="s">
        <v>4255</v>
      </c>
      <c r="F1967">
        <v>623610021</v>
      </c>
      <c r="G1967">
        <v>760865450</v>
      </c>
      <c r="H1967">
        <v>535329497</v>
      </c>
      <c r="I1967">
        <v>432072585</v>
      </c>
      <c r="P1967">
        <v>3</v>
      </c>
      <c r="Q1967" t="s">
        <v>4256</v>
      </c>
    </row>
    <row r="1968" spans="1:17" x14ac:dyDescent="0.3">
      <c r="A1968" t="s">
        <v>17</v>
      </c>
      <c r="B1968" t="str">
        <f>"688327"</f>
        <v>688327</v>
      </c>
      <c r="C1968" t="s">
        <v>4257</v>
      </c>
      <c r="F1968">
        <v>353037191</v>
      </c>
      <c r="G1968">
        <v>484216456</v>
      </c>
      <c r="H1968">
        <v>291464935</v>
      </c>
      <c r="I1968">
        <v>221736916</v>
      </c>
      <c r="J1968">
        <v>47382502</v>
      </c>
      <c r="Q1968" t="s">
        <v>4258</v>
      </c>
    </row>
    <row r="1969" spans="1:17" x14ac:dyDescent="0.3">
      <c r="A1969" t="s">
        <v>17</v>
      </c>
      <c r="B1969" t="str">
        <f>"688328"</f>
        <v>688328</v>
      </c>
      <c r="C1969" t="s">
        <v>4259</v>
      </c>
      <c r="D1969" t="s">
        <v>741</v>
      </c>
      <c r="F1969">
        <v>515094704</v>
      </c>
      <c r="G1969">
        <v>394226864</v>
      </c>
      <c r="H1969">
        <v>274258951</v>
      </c>
      <c r="I1969">
        <v>206075230</v>
      </c>
      <c r="J1969">
        <v>152797647</v>
      </c>
      <c r="P1969">
        <v>39</v>
      </c>
      <c r="Q1969" t="s">
        <v>4260</v>
      </c>
    </row>
    <row r="1970" spans="1:17" x14ac:dyDescent="0.3">
      <c r="A1970" t="s">
        <v>17</v>
      </c>
      <c r="B1970" t="str">
        <f>"688329"</f>
        <v>688329</v>
      </c>
      <c r="C1970" t="s">
        <v>4261</v>
      </c>
      <c r="D1970" t="s">
        <v>3477</v>
      </c>
      <c r="F1970">
        <v>217962610</v>
      </c>
      <c r="G1970">
        <v>162536075</v>
      </c>
      <c r="H1970">
        <v>171190262</v>
      </c>
      <c r="I1970">
        <v>135748250</v>
      </c>
      <c r="J1970">
        <v>93224959</v>
      </c>
      <c r="P1970">
        <v>43</v>
      </c>
      <c r="Q1970" t="s">
        <v>4262</v>
      </c>
    </row>
    <row r="1971" spans="1:17" x14ac:dyDescent="0.3">
      <c r="A1971" t="s">
        <v>17</v>
      </c>
      <c r="B1971" t="str">
        <f>"688330"</f>
        <v>688330</v>
      </c>
      <c r="C1971" t="s">
        <v>4263</v>
      </c>
      <c r="D1971" t="s">
        <v>610</v>
      </c>
      <c r="F1971">
        <v>562908515</v>
      </c>
      <c r="G1971">
        <v>267248246</v>
      </c>
      <c r="H1971">
        <v>112964724</v>
      </c>
      <c r="I1971">
        <v>141280635</v>
      </c>
      <c r="J1971">
        <v>165024662</v>
      </c>
      <c r="K1971">
        <v>191801281</v>
      </c>
      <c r="P1971">
        <v>90</v>
      </c>
      <c r="Q1971" t="s">
        <v>4264</v>
      </c>
    </row>
    <row r="1972" spans="1:17" x14ac:dyDescent="0.3">
      <c r="A1972" t="s">
        <v>17</v>
      </c>
      <c r="B1972" t="str">
        <f>"688331"</f>
        <v>688331</v>
      </c>
      <c r="C1972" t="s">
        <v>4265</v>
      </c>
      <c r="F1972">
        <v>2311601</v>
      </c>
      <c r="G1972">
        <v>0</v>
      </c>
      <c r="H1972">
        <v>0</v>
      </c>
      <c r="I1972">
        <v>1659150</v>
      </c>
      <c r="P1972">
        <v>5</v>
      </c>
      <c r="Q1972" t="s">
        <v>4266</v>
      </c>
    </row>
    <row r="1973" spans="1:17" x14ac:dyDescent="0.3">
      <c r="A1973" t="s">
        <v>17</v>
      </c>
      <c r="B1973" t="str">
        <f>"688333"</f>
        <v>688333</v>
      </c>
      <c r="C1973" t="s">
        <v>4267</v>
      </c>
      <c r="D1973" t="s">
        <v>2321</v>
      </c>
      <c r="F1973">
        <v>281904345</v>
      </c>
      <c r="G1973">
        <v>281495289</v>
      </c>
      <c r="H1973">
        <v>241490861</v>
      </c>
      <c r="I1973">
        <v>168183482</v>
      </c>
      <c r="J1973">
        <v>113373857</v>
      </c>
      <c r="K1973">
        <v>90016009</v>
      </c>
      <c r="P1973">
        <v>117</v>
      </c>
      <c r="Q1973" t="s">
        <v>4268</v>
      </c>
    </row>
    <row r="1974" spans="1:17" x14ac:dyDescent="0.3">
      <c r="A1974" t="s">
        <v>17</v>
      </c>
      <c r="B1974" t="str">
        <f>"688335"</f>
        <v>688335</v>
      </c>
      <c r="C1974" t="s">
        <v>4269</v>
      </c>
      <c r="D1974" t="s">
        <v>33</v>
      </c>
      <c r="F1974">
        <v>158024792</v>
      </c>
      <c r="G1974">
        <v>93334224</v>
      </c>
      <c r="H1974">
        <v>87066631</v>
      </c>
      <c r="I1974">
        <v>26294003</v>
      </c>
      <c r="J1974">
        <v>44788018</v>
      </c>
      <c r="K1974">
        <v>13106118</v>
      </c>
      <c r="P1974">
        <v>61</v>
      </c>
      <c r="Q1974" t="s">
        <v>4270</v>
      </c>
    </row>
    <row r="1975" spans="1:17" x14ac:dyDescent="0.3">
      <c r="A1975" t="s">
        <v>17</v>
      </c>
      <c r="B1975" t="str">
        <f>"688336"</f>
        <v>688336</v>
      </c>
      <c r="C1975" t="s">
        <v>4271</v>
      </c>
      <c r="D1975" t="s">
        <v>1379</v>
      </c>
      <c r="F1975">
        <v>253220956</v>
      </c>
      <c r="G1975">
        <v>91977466</v>
      </c>
      <c r="H1975">
        <v>287979031</v>
      </c>
      <c r="I1975">
        <v>534210495</v>
      </c>
      <c r="J1975">
        <v>459007969</v>
      </c>
      <c r="K1975">
        <v>191414177</v>
      </c>
      <c r="P1975">
        <v>52</v>
      </c>
      <c r="Q1975" t="s">
        <v>4272</v>
      </c>
    </row>
    <row r="1976" spans="1:17" x14ac:dyDescent="0.3">
      <c r="A1976" t="s">
        <v>17</v>
      </c>
      <c r="B1976" t="str">
        <f>"688337"</f>
        <v>688337</v>
      </c>
      <c r="C1976" t="s">
        <v>4273</v>
      </c>
      <c r="F1976">
        <v>62050775</v>
      </c>
      <c r="G1976">
        <v>52654291</v>
      </c>
      <c r="H1976">
        <v>39440880</v>
      </c>
      <c r="I1976">
        <v>33901887</v>
      </c>
      <c r="P1976">
        <v>3</v>
      </c>
      <c r="Q1976" t="s">
        <v>4274</v>
      </c>
    </row>
    <row r="1977" spans="1:17" x14ac:dyDescent="0.3">
      <c r="A1977" t="s">
        <v>17</v>
      </c>
      <c r="B1977" t="str">
        <f>"688338"</f>
        <v>688338</v>
      </c>
      <c r="C1977" t="s">
        <v>4275</v>
      </c>
      <c r="D1977" t="s">
        <v>1305</v>
      </c>
      <c r="F1977">
        <v>24472934</v>
      </c>
      <c r="G1977">
        <v>18554817</v>
      </c>
      <c r="H1977">
        <v>20173723</v>
      </c>
      <c r="I1977">
        <v>15188985</v>
      </c>
      <c r="J1977">
        <v>12512593</v>
      </c>
      <c r="K1977">
        <v>4593378</v>
      </c>
      <c r="P1977">
        <v>56</v>
      </c>
      <c r="Q1977" t="s">
        <v>4276</v>
      </c>
    </row>
    <row r="1978" spans="1:17" x14ac:dyDescent="0.3">
      <c r="A1978" t="s">
        <v>17</v>
      </c>
      <c r="B1978" t="str">
        <f>"688339"</f>
        <v>688339</v>
      </c>
      <c r="C1978" t="s">
        <v>4277</v>
      </c>
      <c r="D1978" t="s">
        <v>4278</v>
      </c>
      <c r="F1978">
        <v>719778554</v>
      </c>
      <c r="G1978">
        <v>843091108</v>
      </c>
      <c r="H1978">
        <v>635731322</v>
      </c>
      <c r="I1978">
        <v>418555795</v>
      </c>
      <c r="J1978">
        <v>287601613</v>
      </c>
      <c r="K1978">
        <v>101635369</v>
      </c>
      <c r="P1978">
        <v>153</v>
      </c>
      <c r="Q1978" t="s">
        <v>4279</v>
      </c>
    </row>
    <row r="1979" spans="1:17" x14ac:dyDescent="0.3">
      <c r="A1979" t="s">
        <v>17</v>
      </c>
      <c r="B1979" t="str">
        <f>"688345"</f>
        <v>688345</v>
      </c>
      <c r="C1979" t="s">
        <v>4280</v>
      </c>
      <c r="D1979" t="s">
        <v>359</v>
      </c>
      <c r="F1979">
        <v>532610083</v>
      </c>
      <c r="G1979">
        <v>319055157</v>
      </c>
      <c r="H1979">
        <v>239372876</v>
      </c>
      <c r="I1979">
        <v>180498444</v>
      </c>
      <c r="J1979">
        <v>152848978</v>
      </c>
      <c r="P1979">
        <v>39</v>
      </c>
      <c r="Q1979" t="s">
        <v>4281</v>
      </c>
    </row>
    <row r="1980" spans="1:17" x14ac:dyDescent="0.3">
      <c r="A1980" t="s">
        <v>17</v>
      </c>
      <c r="B1980" t="str">
        <f>"688350"</f>
        <v>688350</v>
      </c>
      <c r="C1980" t="s">
        <v>4282</v>
      </c>
      <c r="D1980" t="s">
        <v>386</v>
      </c>
      <c r="F1980">
        <v>278514289</v>
      </c>
      <c r="G1980">
        <v>246435766</v>
      </c>
      <c r="H1980">
        <v>229210261</v>
      </c>
      <c r="I1980">
        <v>273673087</v>
      </c>
      <c r="J1980">
        <v>228960657</v>
      </c>
      <c r="P1980">
        <v>34</v>
      </c>
      <c r="Q1980" t="s">
        <v>4283</v>
      </c>
    </row>
    <row r="1981" spans="1:17" x14ac:dyDescent="0.3">
      <c r="A1981" t="s">
        <v>17</v>
      </c>
      <c r="B1981" t="str">
        <f>"688355"</f>
        <v>688355</v>
      </c>
      <c r="C1981" t="s">
        <v>4284</v>
      </c>
      <c r="D1981" t="s">
        <v>274</v>
      </c>
      <c r="F1981">
        <v>177241869</v>
      </c>
      <c r="G1981">
        <v>116942834</v>
      </c>
      <c r="H1981">
        <v>127345944</v>
      </c>
      <c r="I1981">
        <v>95899607</v>
      </c>
      <c r="J1981">
        <v>75535030</v>
      </c>
      <c r="P1981">
        <v>21</v>
      </c>
      <c r="Q1981" t="s">
        <v>4285</v>
      </c>
    </row>
    <row r="1982" spans="1:17" x14ac:dyDescent="0.3">
      <c r="A1982" t="s">
        <v>17</v>
      </c>
      <c r="B1982" t="str">
        <f>"688356"</f>
        <v>688356</v>
      </c>
      <c r="C1982" t="s">
        <v>4286</v>
      </c>
      <c r="D1982" t="s">
        <v>496</v>
      </c>
      <c r="F1982">
        <v>101400666</v>
      </c>
      <c r="G1982">
        <v>46109603</v>
      </c>
      <c r="H1982">
        <v>38479205</v>
      </c>
      <c r="I1982">
        <v>33580639</v>
      </c>
      <c r="J1982">
        <v>11593533</v>
      </c>
      <c r="K1982">
        <v>12401115</v>
      </c>
      <c r="P1982">
        <v>152</v>
      </c>
      <c r="Q1982" t="s">
        <v>4287</v>
      </c>
    </row>
    <row r="1983" spans="1:17" x14ac:dyDescent="0.3">
      <c r="A1983" t="s">
        <v>17</v>
      </c>
      <c r="B1983" t="str">
        <f>"688357"</f>
        <v>688357</v>
      </c>
      <c r="C1983" t="s">
        <v>4288</v>
      </c>
      <c r="D1983" t="s">
        <v>2762</v>
      </c>
      <c r="F1983">
        <v>39781058</v>
      </c>
      <c r="G1983">
        <v>45872035</v>
      </c>
      <c r="H1983">
        <v>36498961</v>
      </c>
      <c r="I1983">
        <v>25055391</v>
      </c>
      <c r="J1983">
        <v>37512579</v>
      </c>
      <c r="K1983">
        <v>24657330</v>
      </c>
      <c r="P1983">
        <v>157</v>
      </c>
      <c r="Q1983" t="s">
        <v>4289</v>
      </c>
    </row>
    <row r="1984" spans="1:17" x14ac:dyDescent="0.3">
      <c r="A1984" t="s">
        <v>17</v>
      </c>
      <c r="B1984" t="str">
        <f>"688358"</f>
        <v>688358</v>
      </c>
      <c r="C1984" t="s">
        <v>4290</v>
      </c>
      <c r="D1984" t="s">
        <v>122</v>
      </c>
      <c r="F1984">
        <v>135805954</v>
      </c>
      <c r="G1984">
        <v>126088800</v>
      </c>
      <c r="H1984">
        <v>106886403</v>
      </c>
      <c r="I1984">
        <v>52035053</v>
      </c>
      <c r="J1984">
        <v>42253017</v>
      </c>
      <c r="K1984">
        <v>25018197</v>
      </c>
      <c r="P1984">
        <v>122</v>
      </c>
      <c r="Q1984" t="s">
        <v>4291</v>
      </c>
    </row>
    <row r="1985" spans="1:17" x14ac:dyDescent="0.3">
      <c r="A1985" t="s">
        <v>17</v>
      </c>
      <c r="B1985" t="str">
        <f>"688359"</f>
        <v>688359</v>
      </c>
      <c r="C1985" t="s">
        <v>4292</v>
      </c>
      <c r="D1985" t="s">
        <v>2408</v>
      </c>
      <c r="F1985">
        <v>177203706</v>
      </c>
      <c r="G1985">
        <v>139138456</v>
      </c>
      <c r="H1985">
        <v>118895459</v>
      </c>
      <c r="I1985">
        <v>96466237</v>
      </c>
      <c r="J1985">
        <v>78350520</v>
      </c>
      <c r="P1985">
        <v>23</v>
      </c>
      <c r="Q1985" t="s">
        <v>4293</v>
      </c>
    </row>
    <row r="1986" spans="1:17" x14ac:dyDescent="0.3">
      <c r="A1986" t="s">
        <v>17</v>
      </c>
      <c r="B1986" t="str">
        <f>"688360"</f>
        <v>688360</v>
      </c>
      <c r="C1986" t="s">
        <v>4294</v>
      </c>
      <c r="D1986" t="s">
        <v>560</v>
      </c>
      <c r="F1986">
        <v>214185052</v>
      </c>
      <c r="G1986">
        <v>156331070</v>
      </c>
      <c r="H1986">
        <v>248444672</v>
      </c>
      <c r="I1986">
        <v>228109209</v>
      </c>
      <c r="J1986">
        <v>200257729</v>
      </c>
      <c r="K1986">
        <v>138872402</v>
      </c>
      <c r="P1986">
        <v>84</v>
      </c>
      <c r="Q1986" t="s">
        <v>4295</v>
      </c>
    </row>
    <row r="1987" spans="1:17" x14ac:dyDescent="0.3">
      <c r="A1987" t="s">
        <v>17</v>
      </c>
      <c r="B1987" t="str">
        <f>"688363"</f>
        <v>688363</v>
      </c>
      <c r="C1987" t="s">
        <v>4296</v>
      </c>
      <c r="D1987" t="s">
        <v>4297</v>
      </c>
      <c r="F1987">
        <v>396636055</v>
      </c>
      <c r="G1987">
        <v>372365350</v>
      </c>
      <c r="H1987">
        <v>371622733</v>
      </c>
      <c r="I1987">
        <v>202277441</v>
      </c>
      <c r="J1987">
        <v>152521272</v>
      </c>
      <c r="K1987">
        <v>179483300</v>
      </c>
      <c r="P1987">
        <v>1156</v>
      </c>
      <c r="Q1987" t="s">
        <v>4298</v>
      </c>
    </row>
    <row r="1988" spans="1:17" x14ac:dyDescent="0.3">
      <c r="A1988" t="s">
        <v>17</v>
      </c>
      <c r="B1988" t="str">
        <f>"688365"</f>
        <v>688365</v>
      </c>
      <c r="C1988" t="s">
        <v>4299</v>
      </c>
      <c r="D1988" t="s">
        <v>316</v>
      </c>
      <c r="F1988">
        <v>50274656</v>
      </c>
      <c r="G1988">
        <v>44571244</v>
      </c>
      <c r="H1988">
        <v>29431069</v>
      </c>
      <c r="I1988">
        <v>29796290</v>
      </c>
      <c r="J1988">
        <v>20376608</v>
      </c>
      <c r="K1988">
        <v>17433933</v>
      </c>
      <c r="P1988">
        <v>72</v>
      </c>
      <c r="Q1988" t="s">
        <v>4300</v>
      </c>
    </row>
    <row r="1989" spans="1:17" x14ac:dyDescent="0.3">
      <c r="A1989" t="s">
        <v>17</v>
      </c>
      <c r="B1989" t="str">
        <f>"688366"</f>
        <v>688366</v>
      </c>
      <c r="C1989" t="s">
        <v>4301</v>
      </c>
      <c r="D1989" t="s">
        <v>1077</v>
      </c>
      <c r="F1989">
        <v>370503254</v>
      </c>
      <c r="G1989">
        <v>333527491</v>
      </c>
      <c r="H1989">
        <v>381990939</v>
      </c>
      <c r="I1989">
        <v>384517772</v>
      </c>
      <c r="J1989">
        <v>329777102</v>
      </c>
      <c r="K1989">
        <v>235152505</v>
      </c>
      <c r="P1989">
        <v>265</v>
      </c>
      <c r="Q1989" t="s">
        <v>4302</v>
      </c>
    </row>
    <row r="1990" spans="1:17" x14ac:dyDescent="0.3">
      <c r="A1990" t="s">
        <v>17</v>
      </c>
      <c r="B1990" t="str">
        <f>"688367"</f>
        <v>688367</v>
      </c>
      <c r="C1990" t="s">
        <v>4303</v>
      </c>
      <c r="D1990" t="s">
        <v>1012</v>
      </c>
      <c r="F1990">
        <v>193349695</v>
      </c>
      <c r="G1990">
        <v>121078989</v>
      </c>
      <c r="H1990">
        <v>83391333</v>
      </c>
      <c r="I1990">
        <v>69873279</v>
      </c>
      <c r="J1990">
        <v>68186668</v>
      </c>
      <c r="P1990">
        <v>30</v>
      </c>
      <c r="Q1990" t="s">
        <v>4304</v>
      </c>
    </row>
    <row r="1991" spans="1:17" x14ac:dyDescent="0.3">
      <c r="A1991" t="s">
        <v>17</v>
      </c>
      <c r="B1991" t="str">
        <f>"688368"</f>
        <v>688368</v>
      </c>
      <c r="C1991" t="s">
        <v>4305</v>
      </c>
      <c r="D1991" t="s">
        <v>401</v>
      </c>
      <c r="F1991">
        <v>283126432</v>
      </c>
      <c r="G1991">
        <v>289148071</v>
      </c>
      <c r="H1991">
        <v>195217137</v>
      </c>
      <c r="I1991">
        <v>131813105</v>
      </c>
      <c r="J1991">
        <v>109762822</v>
      </c>
      <c r="K1991">
        <v>81557831</v>
      </c>
      <c r="P1991">
        <v>213</v>
      </c>
      <c r="Q1991" t="s">
        <v>4306</v>
      </c>
    </row>
    <row r="1992" spans="1:17" x14ac:dyDescent="0.3">
      <c r="A1992" t="s">
        <v>17</v>
      </c>
      <c r="B1992" t="str">
        <f>"688369"</f>
        <v>688369</v>
      </c>
      <c r="C1992" t="s">
        <v>4307</v>
      </c>
      <c r="D1992" t="s">
        <v>1189</v>
      </c>
      <c r="F1992">
        <v>181724751</v>
      </c>
      <c r="G1992">
        <v>121003139</v>
      </c>
      <c r="H1992">
        <v>96343157</v>
      </c>
      <c r="I1992">
        <v>81167575</v>
      </c>
      <c r="J1992">
        <v>72736271</v>
      </c>
      <c r="K1992">
        <v>61533167</v>
      </c>
      <c r="P1992">
        <v>168</v>
      </c>
      <c r="Q1992" t="s">
        <v>4308</v>
      </c>
    </row>
    <row r="1993" spans="1:17" x14ac:dyDescent="0.3">
      <c r="A1993" t="s">
        <v>17</v>
      </c>
      <c r="B1993" t="str">
        <f>"688377"</f>
        <v>688377</v>
      </c>
      <c r="C1993" t="s">
        <v>4309</v>
      </c>
      <c r="D1993" t="s">
        <v>395</v>
      </c>
      <c r="F1993">
        <v>166675845</v>
      </c>
      <c r="G1993">
        <v>196969763</v>
      </c>
      <c r="H1993">
        <v>210178641</v>
      </c>
      <c r="I1993">
        <v>162677487</v>
      </c>
      <c r="J1993">
        <v>124146431</v>
      </c>
      <c r="K1993">
        <v>89136598</v>
      </c>
      <c r="P1993">
        <v>52</v>
      </c>
      <c r="Q1993" t="s">
        <v>4310</v>
      </c>
    </row>
    <row r="1994" spans="1:17" x14ac:dyDescent="0.3">
      <c r="A1994" t="s">
        <v>17</v>
      </c>
      <c r="B1994" t="str">
        <f>"688378"</f>
        <v>688378</v>
      </c>
      <c r="C1994" t="s">
        <v>4311</v>
      </c>
      <c r="D1994" t="s">
        <v>741</v>
      </c>
      <c r="F1994">
        <v>98002787</v>
      </c>
      <c r="G1994">
        <v>62437150</v>
      </c>
      <c r="H1994">
        <v>47674566</v>
      </c>
      <c r="I1994">
        <v>41306985</v>
      </c>
      <c r="J1994">
        <v>13242635</v>
      </c>
      <c r="P1994">
        <v>50</v>
      </c>
      <c r="Q1994" t="s">
        <v>4312</v>
      </c>
    </row>
    <row r="1995" spans="1:17" x14ac:dyDescent="0.3">
      <c r="A1995" t="s">
        <v>17</v>
      </c>
      <c r="B1995" t="str">
        <f>"688379"</f>
        <v>688379</v>
      </c>
      <c r="C1995" t="s">
        <v>4313</v>
      </c>
      <c r="D1995" t="s">
        <v>274</v>
      </c>
      <c r="F1995">
        <v>294575569</v>
      </c>
      <c r="G1995">
        <v>248295670</v>
      </c>
      <c r="H1995">
        <v>155623514</v>
      </c>
      <c r="I1995">
        <v>140699064</v>
      </c>
      <c r="J1995">
        <v>109916359</v>
      </c>
      <c r="K1995">
        <v>99905060</v>
      </c>
      <c r="P1995">
        <v>36</v>
      </c>
      <c r="Q1995" t="s">
        <v>4314</v>
      </c>
    </row>
    <row r="1996" spans="1:17" x14ac:dyDescent="0.3">
      <c r="A1996" t="s">
        <v>17</v>
      </c>
      <c r="B1996" t="str">
        <f>"688383"</f>
        <v>688383</v>
      </c>
      <c r="C1996" t="s">
        <v>4315</v>
      </c>
      <c r="D1996" t="s">
        <v>741</v>
      </c>
      <c r="F1996">
        <v>567410231</v>
      </c>
      <c r="G1996">
        <v>373564876</v>
      </c>
      <c r="H1996">
        <v>256882413</v>
      </c>
      <c r="I1996">
        <v>192162658</v>
      </c>
      <c r="J1996">
        <v>140575839</v>
      </c>
      <c r="P1996">
        <v>49</v>
      </c>
      <c r="Q1996" t="s">
        <v>4316</v>
      </c>
    </row>
    <row r="1997" spans="1:17" x14ac:dyDescent="0.3">
      <c r="A1997" t="s">
        <v>17</v>
      </c>
      <c r="B1997" t="str">
        <f>"688385"</f>
        <v>688385</v>
      </c>
      <c r="C1997" t="s">
        <v>4317</v>
      </c>
      <c r="D1997" t="s">
        <v>461</v>
      </c>
      <c r="F1997">
        <v>451703131</v>
      </c>
      <c r="G1997">
        <v>439477415</v>
      </c>
      <c r="H1997">
        <v>394412959</v>
      </c>
      <c r="I1997">
        <v>417543446</v>
      </c>
      <c r="J1997">
        <v>423575581</v>
      </c>
      <c r="P1997">
        <v>47</v>
      </c>
      <c r="Q1997" t="s">
        <v>4318</v>
      </c>
    </row>
    <row r="1998" spans="1:17" x14ac:dyDescent="0.3">
      <c r="A1998" t="s">
        <v>17</v>
      </c>
      <c r="B1998" t="str">
        <f>"688386"</f>
        <v>688386</v>
      </c>
      <c r="C1998" t="s">
        <v>4319</v>
      </c>
      <c r="D1998" t="s">
        <v>324</v>
      </c>
      <c r="F1998">
        <v>111809653</v>
      </c>
      <c r="G1998">
        <v>107796486</v>
      </c>
      <c r="H1998">
        <v>81718381</v>
      </c>
      <c r="I1998">
        <v>64095182</v>
      </c>
      <c r="J1998">
        <v>55014955</v>
      </c>
      <c r="P1998">
        <v>43</v>
      </c>
      <c r="Q1998" t="s">
        <v>4320</v>
      </c>
    </row>
    <row r="1999" spans="1:17" x14ac:dyDescent="0.3">
      <c r="A1999" t="s">
        <v>17</v>
      </c>
      <c r="B1999" t="str">
        <f>"688388"</f>
        <v>688388</v>
      </c>
      <c r="C1999" t="s">
        <v>4321</v>
      </c>
      <c r="D1999" t="s">
        <v>263</v>
      </c>
      <c r="F1999">
        <v>390656029</v>
      </c>
      <c r="G1999">
        <v>166966933</v>
      </c>
      <c r="H1999">
        <v>85534399</v>
      </c>
      <c r="I1999">
        <v>130471840</v>
      </c>
      <c r="J1999">
        <v>59092725</v>
      </c>
      <c r="K1999">
        <v>18044506</v>
      </c>
      <c r="P1999">
        <v>286</v>
      </c>
      <c r="Q1999" t="s">
        <v>4322</v>
      </c>
    </row>
    <row r="2000" spans="1:17" x14ac:dyDescent="0.3">
      <c r="A2000" t="s">
        <v>17</v>
      </c>
      <c r="B2000" t="str">
        <f>"688389"</f>
        <v>688389</v>
      </c>
      <c r="C2000" t="s">
        <v>4323</v>
      </c>
      <c r="D2000" t="s">
        <v>1305</v>
      </c>
      <c r="F2000">
        <v>51100619</v>
      </c>
      <c r="G2000">
        <v>14766602</v>
      </c>
      <c r="H2000">
        <v>6924467</v>
      </c>
      <c r="I2000">
        <v>14752741</v>
      </c>
      <c r="J2000">
        <v>5608003</v>
      </c>
      <c r="K2000">
        <v>594133</v>
      </c>
      <c r="P2000">
        <v>161</v>
      </c>
      <c r="Q2000" t="s">
        <v>4324</v>
      </c>
    </row>
    <row r="2001" spans="1:17" x14ac:dyDescent="0.3">
      <c r="A2001" t="s">
        <v>17</v>
      </c>
      <c r="B2001" t="str">
        <f>"688390"</f>
        <v>688390</v>
      </c>
      <c r="C2001" t="s">
        <v>4325</v>
      </c>
      <c r="D2001" t="s">
        <v>3824</v>
      </c>
      <c r="F2001">
        <v>310263092</v>
      </c>
      <c r="G2001">
        <v>148188445</v>
      </c>
      <c r="H2001">
        <v>114277085</v>
      </c>
      <c r="I2001">
        <v>106951636</v>
      </c>
      <c r="J2001">
        <v>117240285</v>
      </c>
      <c r="K2001">
        <v>49134064</v>
      </c>
      <c r="P2001">
        <v>283</v>
      </c>
      <c r="Q2001" t="s">
        <v>4326</v>
      </c>
    </row>
    <row r="2002" spans="1:17" x14ac:dyDescent="0.3">
      <c r="A2002" t="s">
        <v>17</v>
      </c>
      <c r="B2002" t="str">
        <f>"688393"</f>
        <v>688393</v>
      </c>
      <c r="C2002" t="s">
        <v>4327</v>
      </c>
      <c r="D2002" t="s">
        <v>1305</v>
      </c>
      <c r="F2002">
        <v>208859319</v>
      </c>
      <c r="G2002">
        <v>184749415</v>
      </c>
      <c r="H2002">
        <v>169425056</v>
      </c>
      <c r="I2002">
        <v>164439300</v>
      </c>
      <c r="J2002">
        <v>147781248</v>
      </c>
      <c r="K2002">
        <v>137512127</v>
      </c>
      <c r="P2002">
        <v>76</v>
      </c>
      <c r="Q2002" t="s">
        <v>4328</v>
      </c>
    </row>
    <row r="2003" spans="1:17" x14ac:dyDescent="0.3">
      <c r="A2003" t="s">
        <v>17</v>
      </c>
      <c r="B2003" t="str">
        <f>"688395"</f>
        <v>688395</v>
      </c>
      <c r="C2003" t="s">
        <v>4329</v>
      </c>
      <c r="D2003" t="s">
        <v>2432</v>
      </c>
      <c r="F2003">
        <v>97913005</v>
      </c>
      <c r="G2003">
        <v>83526149</v>
      </c>
      <c r="H2003">
        <v>59529670</v>
      </c>
      <c r="I2003">
        <v>48523781</v>
      </c>
      <c r="J2003">
        <v>42064835</v>
      </c>
      <c r="P2003">
        <v>36</v>
      </c>
      <c r="Q2003" t="s">
        <v>4330</v>
      </c>
    </row>
    <row r="2004" spans="1:17" x14ac:dyDescent="0.3">
      <c r="A2004" t="s">
        <v>17</v>
      </c>
      <c r="B2004" t="str">
        <f>"688396"</f>
        <v>688396</v>
      </c>
      <c r="C2004" t="s">
        <v>4331</v>
      </c>
      <c r="D2004" t="s">
        <v>4332</v>
      </c>
      <c r="F2004">
        <v>956434721</v>
      </c>
      <c r="G2004">
        <v>966048018</v>
      </c>
      <c r="H2004">
        <v>815007870</v>
      </c>
      <c r="I2004">
        <v>601612250</v>
      </c>
      <c r="J2004">
        <v>692777750</v>
      </c>
      <c r="K2004">
        <v>630797789</v>
      </c>
      <c r="P2004">
        <v>495</v>
      </c>
      <c r="Q2004" t="s">
        <v>4333</v>
      </c>
    </row>
    <row r="2005" spans="1:17" x14ac:dyDescent="0.3">
      <c r="A2005" t="s">
        <v>17</v>
      </c>
      <c r="B2005" t="str">
        <f>"688398"</f>
        <v>688398</v>
      </c>
      <c r="C2005" t="s">
        <v>4334</v>
      </c>
      <c r="D2005" t="s">
        <v>386</v>
      </c>
      <c r="F2005">
        <v>146592272</v>
      </c>
      <c r="G2005">
        <v>144285662</v>
      </c>
      <c r="H2005">
        <v>107333084</v>
      </c>
      <c r="I2005">
        <v>85065798</v>
      </c>
      <c r="J2005">
        <v>60409445</v>
      </c>
      <c r="K2005">
        <v>36359253</v>
      </c>
      <c r="P2005">
        <v>81</v>
      </c>
      <c r="Q2005" t="s">
        <v>4335</v>
      </c>
    </row>
    <row r="2006" spans="1:17" x14ac:dyDescent="0.3">
      <c r="A2006" t="s">
        <v>17</v>
      </c>
      <c r="B2006" t="str">
        <f>"688399"</f>
        <v>688399</v>
      </c>
      <c r="C2006" t="s">
        <v>4336</v>
      </c>
      <c r="D2006" t="s">
        <v>1305</v>
      </c>
      <c r="F2006">
        <v>342578381</v>
      </c>
      <c r="G2006">
        <v>157459310</v>
      </c>
      <c r="H2006">
        <v>35961402</v>
      </c>
      <c r="I2006">
        <v>18054504</v>
      </c>
      <c r="J2006">
        <v>10282600</v>
      </c>
      <c r="K2006">
        <v>8132088</v>
      </c>
      <c r="P2006">
        <v>373</v>
      </c>
      <c r="Q2006" t="s">
        <v>4337</v>
      </c>
    </row>
    <row r="2007" spans="1:17" x14ac:dyDescent="0.3">
      <c r="A2007" t="s">
        <v>17</v>
      </c>
      <c r="B2007" t="str">
        <f>"688408"</f>
        <v>688408</v>
      </c>
      <c r="C2007" t="s">
        <v>4338</v>
      </c>
      <c r="D2007" t="s">
        <v>478</v>
      </c>
      <c r="F2007">
        <v>255233678</v>
      </c>
      <c r="G2007">
        <v>241900052</v>
      </c>
      <c r="H2007">
        <v>812852670</v>
      </c>
      <c r="I2007">
        <v>844211326</v>
      </c>
      <c r="J2007">
        <v>356442345</v>
      </c>
      <c r="P2007">
        <v>114</v>
      </c>
      <c r="Q2007" t="s">
        <v>4339</v>
      </c>
    </row>
    <row r="2008" spans="1:17" x14ac:dyDescent="0.3">
      <c r="A2008" t="s">
        <v>17</v>
      </c>
      <c r="B2008" t="str">
        <f>"688418"</f>
        <v>688418</v>
      </c>
      <c r="C2008" t="s">
        <v>4340</v>
      </c>
      <c r="D2008" t="s">
        <v>595</v>
      </c>
      <c r="F2008">
        <v>584133439</v>
      </c>
      <c r="G2008">
        <v>531805542</v>
      </c>
      <c r="H2008">
        <v>401835998</v>
      </c>
      <c r="I2008">
        <v>301218814</v>
      </c>
      <c r="J2008">
        <v>125955628</v>
      </c>
      <c r="K2008">
        <v>111107153</v>
      </c>
      <c r="P2008">
        <v>40</v>
      </c>
      <c r="Q2008" t="s">
        <v>4341</v>
      </c>
    </row>
    <row r="2009" spans="1:17" x14ac:dyDescent="0.3">
      <c r="A2009" t="s">
        <v>17</v>
      </c>
      <c r="B2009" t="str">
        <f>"688425"</f>
        <v>688425</v>
      </c>
      <c r="C2009" t="s">
        <v>4342</v>
      </c>
      <c r="D2009" t="s">
        <v>83</v>
      </c>
      <c r="F2009">
        <v>7429632832</v>
      </c>
      <c r="G2009">
        <v>6067987044</v>
      </c>
      <c r="H2009">
        <v>4567197390</v>
      </c>
      <c r="I2009">
        <v>4139253372</v>
      </c>
      <c r="J2009">
        <v>4109604668</v>
      </c>
      <c r="P2009">
        <v>40</v>
      </c>
      <c r="Q2009" t="s">
        <v>4343</v>
      </c>
    </row>
    <row r="2010" spans="1:17" x14ac:dyDescent="0.3">
      <c r="A2010" t="s">
        <v>17</v>
      </c>
      <c r="B2010" t="str">
        <f>"688456"</f>
        <v>688456</v>
      </c>
      <c r="C2010" t="s">
        <v>4344</v>
      </c>
      <c r="D2010" t="s">
        <v>263</v>
      </c>
      <c r="F2010">
        <v>187780220</v>
      </c>
      <c r="G2010">
        <v>128515386</v>
      </c>
      <c r="H2010">
        <v>123687735</v>
      </c>
      <c r="I2010">
        <v>140446070</v>
      </c>
      <c r="J2010">
        <v>144641754</v>
      </c>
      <c r="P2010">
        <v>28</v>
      </c>
      <c r="Q2010" t="s">
        <v>4345</v>
      </c>
    </row>
    <row r="2011" spans="1:17" x14ac:dyDescent="0.3">
      <c r="A2011" t="s">
        <v>17</v>
      </c>
      <c r="B2011" t="str">
        <f>"688466"</f>
        <v>688466</v>
      </c>
      <c r="C2011" t="s">
        <v>4346</v>
      </c>
      <c r="D2011" t="s">
        <v>33</v>
      </c>
      <c r="F2011">
        <v>237901086</v>
      </c>
      <c r="G2011">
        <v>286340916</v>
      </c>
      <c r="H2011">
        <v>156335313</v>
      </c>
      <c r="I2011">
        <v>129225158</v>
      </c>
      <c r="J2011">
        <v>73168984</v>
      </c>
      <c r="K2011">
        <v>59830889</v>
      </c>
      <c r="P2011">
        <v>60</v>
      </c>
      <c r="Q2011" t="s">
        <v>4347</v>
      </c>
    </row>
    <row r="2012" spans="1:17" x14ac:dyDescent="0.3">
      <c r="A2012" t="s">
        <v>17</v>
      </c>
      <c r="B2012" t="str">
        <f>"688468"</f>
        <v>688468</v>
      </c>
      <c r="C2012" t="s">
        <v>4348</v>
      </c>
      <c r="D2012" t="s">
        <v>1305</v>
      </c>
      <c r="F2012">
        <v>35127293</v>
      </c>
      <c r="G2012">
        <v>31278198</v>
      </c>
      <c r="H2012">
        <v>26995543</v>
      </c>
      <c r="I2012">
        <v>20016320</v>
      </c>
      <c r="J2012">
        <v>20050872</v>
      </c>
      <c r="P2012">
        <v>39</v>
      </c>
      <c r="Q2012" t="s">
        <v>4349</v>
      </c>
    </row>
    <row r="2013" spans="1:17" x14ac:dyDescent="0.3">
      <c r="A2013" t="s">
        <v>17</v>
      </c>
      <c r="B2013" t="str">
        <f>"688488"</f>
        <v>688488</v>
      </c>
      <c r="C2013" t="s">
        <v>4350</v>
      </c>
      <c r="D2013" t="s">
        <v>1379</v>
      </c>
      <c r="F2013">
        <v>58259193</v>
      </c>
      <c r="G2013">
        <v>121694119</v>
      </c>
      <c r="H2013">
        <v>151497046</v>
      </c>
      <c r="I2013">
        <v>142364192</v>
      </c>
      <c r="J2013">
        <v>44511912</v>
      </c>
      <c r="K2013">
        <v>64574463</v>
      </c>
      <c r="P2013">
        <v>44</v>
      </c>
      <c r="Q2013" t="s">
        <v>4351</v>
      </c>
    </row>
    <row r="2014" spans="1:17" x14ac:dyDescent="0.3">
      <c r="A2014" t="s">
        <v>17</v>
      </c>
      <c r="B2014" t="str">
        <f>"688499"</f>
        <v>688499</v>
      </c>
      <c r="C2014" t="s">
        <v>4352</v>
      </c>
      <c r="D2014" t="s">
        <v>3776</v>
      </c>
      <c r="F2014">
        <v>656821995</v>
      </c>
      <c r="G2014">
        <v>335394595</v>
      </c>
      <c r="H2014">
        <v>170196236</v>
      </c>
      <c r="I2014">
        <v>104633894</v>
      </c>
      <c r="J2014">
        <v>55978358</v>
      </c>
      <c r="K2014">
        <v>25562177</v>
      </c>
      <c r="P2014">
        <v>65</v>
      </c>
      <c r="Q2014" t="s">
        <v>4353</v>
      </c>
    </row>
    <row r="2015" spans="1:17" x14ac:dyDescent="0.3">
      <c r="A2015" t="s">
        <v>17</v>
      </c>
      <c r="B2015" t="str">
        <f>"688500"</f>
        <v>688500</v>
      </c>
      <c r="C2015" t="s">
        <v>4354</v>
      </c>
      <c r="D2015" t="s">
        <v>316</v>
      </c>
      <c r="F2015">
        <v>275120769</v>
      </c>
      <c r="G2015">
        <v>265575684</v>
      </c>
      <c r="H2015">
        <v>201714355</v>
      </c>
      <c r="I2015">
        <v>169838099</v>
      </c>
      <c r="J2015">
        <v>119424860</v>
      </c>
      <c r="K2015">
        <v>91330919</v>
      </c>
      <c r="P2015">
        <v>26</v>
      </c>
      <c r="Q2015" t="s">
        <v>4355</v>
      </c>
    </row>
    <row r="2016" spans="1:17" x14ac:dyDescent="0.3">
      <c r="A2016" t="s">
        <v>17</v>
      </c>
      <c r="B2016" t="str">
        <f>"688501"</f>
        <v>688501</v>
      </c>
      <c r="C2016" t="s">
        <v>4356</v>
      </c>
      <c r="D2016" t="s">
        <v>1070</v>
      </c>
      <c r="F2016">
        <v>448003817</v>
      </c>
      <c r="G2016">
        <v>364032825</v>
      </c>
      <c r="H2016">
        <v>422709198</v>
      </c>
      <c r="I2016">
        <v>440697493</v>
      </c>
      <c r="J2016">
        <v>408172548</v>
      </c>
      <c r="P2016">
        <v>24</v>
      </c>
      <c r="Q2016" t="s">
        <v>4357</v>
      </c>
    </row>
    <row r="2017" spans="1:17" x14ac:dyDescent="0.3">
      <c r="A2017" t="s">
        <v>17</v>
      </c>
      <c r="B2017" t="str">
        <f>"688505"</f>
        <v>688505</v>
      </c>
      <c r="C2017" t="s">
        <v>4358</v>
      </c>
      <c r="D2017" t="s">
        <v>143</v>
      </c>
      <c r="F2017">
        <v>554358745</v>
      </c>
      <c r="G2017">
        <v>458920891</v>
      </c>
      <c r="H2017">
        <v>377006911</v>
      </c>
      <c r="I2017">
        <v>278757626</v>
      </c>
      <c r="J2017">
        <v>118953571</v>
      </c>
      <c r="K2017">
        <v>80882310</v>
      </c>
      <c r="P2017">
        <v>69</v>
      </c>
      <c r="Q2017" t="s">
        <v>4359</v>
      </c>
    </row>
    <row r="2018" spans="1:17" x14ac:dyDescent="0.3">
      <c r="A2018" t="s">
        <v>17</v>
      </c>
      <c r="B2018" t="str">
        <f>"688508"</f>
        <v>688508</v>
      </c>
      <c r="C2018" t="s">
        <v>4360</v>
      </c>
      <c r="D2018" t="s">
        <v>401</v>
      </c>
      <c r="F2018">
        <v>110889759</v>
      </c>
      <c r="G2018">
        <v>109536904</v>
      </c>
      <c r="H2018">
        <v>78577343</v>
      </c>
      <c r="I2018">
        <v>79276692</v>
      </c>
      <c r="J2018">
        <v>68224639</v>
      </c>
      <c r="K2018">
        <v>59644356</v>
      </c>
      <c r="P2018">
        <v>165</v>
      </c>
      <c r="Q2018" t="s">
        <v>4361</v>
      </c>
    </row>
    <row r="2019" spans="1:17" x14ac:dyDescent="0.3">
      <c r="A2019" t="s">
        <v>17</v>
      </c>
      <c r="B2019" t="str">
        <f>"688509"</f>
        <v>688509</v>
      </c>
      <c r="C2019" t="s">
        <v>4362</v>
      </c>
      <c r="D2019" t="s">
        <v>316</v>
      </c>
      <c r="F2019">
        <v>922155656</v>
      </c>
      <c r="G2019">
        <v>717962856</v>
      </c>
      <c r="H2019">
        <v>1899409323</v>
      </c>
      <c r="I2019">
        <v>1450477654</v>
      </c>
      <c r="J2019">
        <v>1363622700</v>
      </c>
      <c r="P2019">
        <v>17</v>
      </c>
      <c r="Q2019" t="s">
        <v>4363</v>
      </c>
    </row>
    <row r="2020" spans="1:17" x14ac:dyDescent="0.3">
      <c r="A2020" t="s">
        <v>17</v>
      </c>
      <c r="B2020" t="str">
        <f>"688510"</f>
        <v>688510</v>
      </c>
      <c r="C2020" t="s">
        <v>4364</v>
      </c>
      <c r="D2020" t="s">
        <v>98</v>
      </c>
      <c r="F2020">
        <v>189979015</v>
      </c>
      <c r="G2020">
        <v>115073644</v>
      </c>
      <c r="H2020">
        <v>59005715</v>
      </c>
      <c r="I2020">
        <v>47302086</v>
      </c>
      <c r="J2020">
        <v>21873684</v>
      </c>
      <c r="K2020">
        <v>18097146</v>
      </c>
      <c r="P2020">
        <v>66</v>
      </c>
      <c r="Q2020" t="s">
        <v>4365</v>
      </c>
    </row>
    <row r="2021" spans="1:17" x14ac:dyDescent="0.3">
      <c r="A2021" t="s">
        <v>17</v>
      </c>
      <c r="B2021" t="str">
        <f>"688511"</f>
        <v>688511</v>
      </c>
      <c r="C2021" t="s">
        <v>4366</v>
      </c>
      <c r="D2021" t="s">
        <v>1136</v>
      </c>
      <c r="F2021">
        <v>103009109</v>
      </c>
      <c r="G2021">
        <v>82098147</v>
      </c>
      <c r="H2021">
        <v>32277202</v>
      </c>
      <c r="I2021">
        <v>21501354</v>
      </c>
      <c r="J2021">
        <v>18194760</v>
      </c>
      <c r="P2021">
        <v>23</v>
      </c>
      <c r="Q2021" t="s">
        <v>4367</v>
      </c>
    </row>
    <row r="2022" spans="1:17" x14ac:dyDescent="0.3">
      <c r="A2022" t="s">
        <v>17</v>
      </c>
      <c r="B2022" t="str">
        <f>"688513"</f>
        <v>688513</v>
      </c>
      <c r="C2022" t="s">
        <v>4368</v>
      </c>
      <c r="D2022" t="s">
        <v>143</v>
      </c>
      <c r="F2022">
        <v>112427879</v>
      </c>
      <c r="G2022">
        <v>121298288</v>
      </c>
      <c r="H2022">
        <v>119047813</v>
      </c>
      <c r="I2022">
        <v>90538369</v>
      </c>
      <c r="J2022">
        <v>51839980</v>
      </c>
      <c r="K2022">
        <v>46567534</v>
      </c>
      <c r="P2022">
        <v>58</v>
      </c>
      <c r="Q2022" t="s">
        <v>4369</v>
      </c>
    </row>
    <row r="2023" spans="1:17" x14ac:dyDescent="0.3">
      <c r="A2023" t="s">
        <v>17</v>
      </c>
      <c r="B2023" t="str">
        <f>"688516"</f>
        <v>688516</v>
      </c>
      <c r="C2023" t="s">
        <v>4370</v>
      </c>
      <c r="D2023" t="s">
        <v>2671</v>
      </c>
      <c r="F2023">
        <v>369828203</v>
      </c>
      <c r="G2023">
        <v>374305920</v>
      </c>
      <c r="H2023">
        <v>329069058</v>
      </c>
      <c r="I2023">
        <v>276120183</v>
      </c>
      <c r="J2023">
        <v>202187527</v>
      </c>
      <c r="K2023">
        <v>89553049</v>
      </c>
      <c r="P2023">
        <v>152</v>
      </c>
      <c r="Q2023" t="s">
        <v>4371</v>
      </c>
    </row>
    <row r="2024" spans="1:17" x14ac:dyDescent="0.3">
      <c r="A2024" t="s">
        <v>17</v>
      </c>
      <c r="B2024" t="str">
        <f>"688517"</f>
        <v>688517</v>
      </c>
      <c r="C2024" t="s">
        <v>4372</v>
      </c>
      <c r="D2024" t="s">
        <v>657</v>
      </c>
      <c r="F2024">
        <v>408625648</v>
      </c>
      <c r="G2024">
        <v>380044191</v>
      </c>
      <c r="H2024">
        <v>353333837</v>
      </c>
      <c r="I2024">
        <v>342979553</v>
      </c>
      <c r="J2024">
        <v>244990948</v>
      </c>
      <c r="P2024">
        <v>19</v>
      </c>
      <c r="Q2024" t="s">
        <v>4373</v>
      </c>
    </row>
    <row r="2025" spans="1:17" x14ac:dyDescent="0.3">
      <c r="A2025" t="s">
        <v>17</v>
      </c>
      <c r="B2025" t="str">
        <f>"688518"</f>
        <v>688518</v>
      </c>
      <c r="C2025" t="s">
        <v>4374</v>
      </c>
      <c r="D2025" t="s">
        <v>3811</v>
      </c>
      <c r="F2025">
        <v>542368386</v>
      </c>
      <c r="G2025">
        <v>354842932</v>
      </c>
      <c r="H2025">
        <v>399420138</v>
      </c>
      <c r="I2025">
        <v>303631823</v>
      </c>
      <c r="J2025">
        <v>239456059</v>
      </c>
      <c r="K2025">
        <v>131351135</v>
      </c>
      <c r="P2025">
        <v>65</v>
      </c>
      <c r="Q2025" t="s">
        <v>4375</v>
      </c>
    </row>
    <row r="2026" spans="1:17" x14ac:dyDescent="0.3">
      <c r="A2026" t="s">
        <v>17</v>
      </c>
      <c r="B2026" t="str">
        <f>"688519"</f>
        <v>688519</v>
      </c>
      <c r="C2026" t="s">
        <v>4376</v>
      </c>
      <c r="D2026" t="s">
        <v>425</v>
      </c>
      <c r="F2026">
        <v>1644841341</v>
      </c>
      <c r="G2026">
        <v>918300259</v>
      </c>
      <c r="H2026">
        <v>692067726</v>
      </c>
      <c r="I2026">
        <v>665552847</v>
      </c>
      <c r="J2026">
        <v>566182187</v>
      </c>
      <c r="P2026">
        <v>80</v>
      </c>
      <c r="Q2026" t="s">
        <v>4377</v>
      </c>
    </row>
    <row r="2027" spans="1:17" x14ac:dyDescent="0.3">
      <c r="A2027" t="s">
        <v>17</v>
      </c>
      <c r="B2027" t="str">
        <f>"688520"</f>
        <v>688520</v>
      </c>
      <c r="C2027" t="s">
        <v>4378</v>
      </c>
      <c r="D2027" t="s">
        <v>1379</v>
      </c>
      <c r="F2027">
        <v>81594268</v>
      </c>
      <c r="G2027">
        <v>0</v>
      </c>
      <c r="H2027">
        <v>0</v>
      </c>
      <c r="I2027">
        <v>0</v>
      </c>
      <c r="J2027">
        <v>6172881</v>
      </c>
      <c r="K2027">
        <v>34323947</v>
      </c>
      <c r="P2027">
        <v>90</v>
      </c>
      <c r="Q2027" t="s">
        <v>4379</v>
      </c>
    </row>
    <row r="2028" spans="1:17" x14ac:dyDescent="0.3">
      <c r="A2028" t="s">
        <v>17</v>
      </c>
      <c r="B2028" t="str">
        <f>"688521"</f>
        <v>688521</v>
      </c>
      <c r="C2028" t="s">
        <v>4380</v>
      </c>
      <c r="D2028" t="s">
        <v>461</v>
      </c>
      <c r="F2028">
        <v>745477343</v>
      </c>
      <c r="G2028">
        <v>502193617</v>
      </c>
      <c r="H2028">
        <v>249194158</v>
      </c>
      <c r="I2028">
        <v>248981394</v>
      </c>
      <c r="J2028">
        <v>185943271</v>
      </c>
      <c r="K2028">
        <v>138495139</v>
      </c>
      <c r="P2028">
        <v>140</v>
      </c>
      <c r="Q2028" t="s">
        <v>4381</v>
      </c>
    </row>
    <row r="2029" spans="1:17" x14ac:dyDescent="0.3">
      <c r="A2029" t="s">
        <v>17</v>
      </c>
      <c r="B2029" t="str">
        <f>"688526"</f>
        <v>688526</v>
      </c>
      <c r="C2029" t="s">
        <v>4382</v>
      </c>
      <c r="D2029" t="s">
        <v>453</v>
      </c>
      <c r="F2029">
        <v>267812569</v>
      </c>
      <c r="G2029">
        <v>152885425</v>
      </c>
      <c r="H2029">
        <v>88655882</v>
      </c>
      <c r="I2029">
        <v>86916467</v>
      </c>
      <c r="J2029">
        <v>61814413</v>
      </c>
      <c r="K2029">
        <v>32109173</v>
      </c>
      <c r="P2029">
        <v>147</v>
      </c>
      <c r="Q2029" t="s">
        <v>4383</v>
      </c>
    </row>
    <row r="2030" spans="1:17" x14ac:dyDescent="0.3">
      <c r="A2030" t="s">
        <v>17</v>
      </c>
      <c r="B2030" t="str">
        <f>"688528"</f>
        <v>688528</v>
      </c>
      <c r="C2030" t="s">
        <v>4384</v>
      </c>
      <c r="D2030" t="s">
        <v>2566</v>
      </c>
      <c r="F2030">
        <v>235225862</v>
      </c>
      <c r="G2030">
        <v>235482716</v>
      </c>
      <c r="H2030">
        <v>181445640</v>
      </c>
      <c r="I2030">
        <v>143908337</v>
      </c>
      <c r="J2030">
        <v>103119353</v>
      </c>
      <c r="K2030">
        <v>93813600</v>
      </c>
      <c r="P2030">
        <v>42</v>
      </c>
      <c r="Q2030" t="s">
        <v>4385</v>
      </c>
    </row>
    <row r="2031" spans="1:17" x14ac:dyDescent="0.3">
      <c r="A2031" t="s">
        <v>17</v>
      </c>
      <c r="B2031" t="str">
        <f>"688529"</f>
        <v>688529</v>
      </c>
      <c r="C2031" t="s">
        <v>4386</v>
      </c>
      <c r="D2031" t="s">
        <v>741</v>
      </c>
      <c r="F2031">
        <v>328591296</v>
      </c>
      <c r="G2031">
        <v>135627425</v>
      </c>
      <c r="H2031">
        <v>222924717</v>
      </c>
      <c r="I2031">
        <v>168365545</v>
      </c>
      <c r="J2031">
        <v>119660181</v>
      </c>
      <c r="P2031">
        <v>33</v>
      </c>
      <c r="Q2031" t="s">
        <v>4387</v>
      </c>
    </row>
    <row r="2032" spans="1:17" x14ac:dyDescent="0.3">
      <c r="A2032" t="s">
        <v>17</v>
      </c>
      <c r="B2032" t="str">
        <f>"688533"</f>
        <v>688533</v>
      </c>
      <c r="C2032" t="s">
        <v>4388</v>
      </c>
      <c r="D2032" t="s">
        <v>1415</v>
      </c>
      <c r="F2032">
        <v>342372177</v>
      </c>
      <c r="G2032">
        <v>277875102</v>
      </c>
      <c r="H2032">
        <v>267677176</v>
      </c>
      <c r="I2032">
        <v>267932553</v>
      </c>
      <c r="J2032">
        <v>274618023</v>
      </c>
      <c r="P2032">
        <v>39</v>
      </c>
      <c r="Q2032" t="s">
        <v>4389</v>
      </c>
    </row>
    <row r="2033" spans="1:17" x14ac:dyDescent="0.3">
      <c r="A2033" t="s">
        <v>17</v>
      </c>
      <c r="B2033" t="str">
        <f>"688536"</f>
        <v>688536</v>
      </c>
      <c r="C2033" t="s">
        <v>4390</v>
      </c>
      <c r="D2033" t="s">
        <v>401</v>
      </c>
      <c r="F2033">
        <v>263401677</v>
      </c>
      <c r="G2033">
        <v>75724322</v>
      </c>
      <c r="H2033">
        <v>99795929</v>
      </c>
      <c r="I2033">
        <v>14707557</v>
      </c>
      <c r="J2033">
        <v>12474597</v>
      </c>
      <c r="P2033">
        <v>199</v>
      </c>
      <c r="Q2033" t="s">
        <v>4391</v>
      </c>
    </row>
    <row r="2034" spans="1:17" x14ac:dyDescent="0.3">
      <c r="A2034" t="s">
        <v>17</v>
      </c>
      <c r="B2034" t="str">
        <f>"688538"</f>
        <v>688538</v>
      </c>
      <c r="C2034" t="s">
        <v>4392</v>
      </c>
      <c r="D2034" t="s">
        <v>1117</v>
      </c>
      <c r="F2034">
        <v>615691926</v>
      </c>
      <c r="G2034">
        <v>179610278</v>
      </c>
      <c r="H2034">
        <v>136478193</v>
      </c>
      <c r="I2034">
        <v>24500211</v>
      </c>
      <c r="J2034">
        <v>22319309</v>
      </c>
      <c r="P2034">
        <v>37</v>
      </c>
      <c r="Q2034" t="s">
        <v>4393</v>
      </c>
    </row>
    <row r="2035" spans="1:17" x14ac:dyDescent="0.3">
      <c r="A2035" t="s">
        <v>17</v>
      </c>
      <c r="B2035" t="str">
        <f>"688550"</f>
        <v>688550</v>
      </c>
      <c r="C2035" t="s">
        <v>4394</v>
      </c>
      <c r="D2035" t="s">
        <v>2408</v>
      </c>
      <c r="F2035">
        <v>306951170</v>
      </c>
      <c r="G2035">
        <v>235614211</v>
      </c>
      <c r="H2035">
        <v>154661946</v>
      </c>
      <c r="I2035">
        <v>128638547</v>
      </c>
      <c r="J2035">
        <v>100000751</v>
      </c>
      <c r="P2035">
        <v>54</v>
      </c>
      <c r="Q2035" t="s">
        <v>4395</v>
      </c>
    </row>
    <row r="2036" spans="1:17" x14ac:dyDescent="0.3">
      <c r="A2036" t="s">
        <v>17</v>
      </c>
      <c r="B2036" t="str">
        <f>"688551"</f>
        <v>688551</v>
      </c>
      <c r="C2036" t="s">
        <v>4396</v>
      </c>
      <c r="D2036" t="s">
        <v>880</v>
      </c>
      <c r="F2036">
        <v>105740381</v>
      </c>
      <c r="G2036">
        <v>76027450</v>
      </c>
      <c r="H2036">
        <v>86682201</v>
      </c>
      <c r="I2036">
        <v>70712529</v>
      </c>
      <c r="J2036">
        <v>38644222</v>
      </c>
      <c r="P2036">
        <v>39</v>
      </c>
      <c r="Q2036" t="s">
        <v>4397</v>
      </c>
    </row>
    <row r="2037" spans="1:17" x14ac:dyDescent="0.3">
      <c r="A2037" t="s">
        <v>17</v>
      </c>
      <c r="B2037" t="str">
        <f>"688553"</f>
        <v>688553</v>
      </c>
      <c r="C2037" t="s">
        <v>4398</v>
      </c>
      <c r="D2037" t="s">
        <v>143</v>
      </c>
      <c r="F2037">
        <v>11868607</v>
      </c>
      <c r="G2037">
        <v>13175630</v>
      </c>
      <c r="H2037">
        <v>23218385</v>
      </c>
      <c r="I2037">
        <v>3653341</v>
      </c>
      <c r="J2037">
        <v>586058</v>
      </c>
      <c r="P2037">
        <v>30</v>
      </c>
      <c r="Q2037" t="s">
        <v>4399</v>
      </c>
    </row>
    <row r="2038" spans="1:17" x14ac:dyDescent="0.3">
      <c r="A2038" t="s">
        <v>17</v>
      </c>
      <c r="B2038" t="str">
        <f>"688555"</f>
        <v>688555</v>
      </c>
      <c r="C2038" t="s">
        <v>4400</v>
      </c>
      <c r="D2038" t="s">
        <v>945</v>
      </c>
      <c r="F2038">
        <v>173460955</v>
      </c>
      <c r="G2038">
        <v>63966882</v>
      </c>
      <c r="H2038">
        <v>44528943</v>
      </c>
      <c r="I2038">
        <v>49704685</v>
      </c>
      <c r="J2038">
        <v>28723495</v>
      </c>
      <c r="K2038">
        <v>11104052</v>
      </c>
      <c r="P2038">
        <v>55</v>
      </c>
      <c r="Q2038" t="s">
        <v>4401</v>
      </c>
    </row>
    <row r="2039" spans="1:17" x14ac:dyDescent="0.3">
      <c r="A2039" t="s">
        <v>17</v>
      </c>
      <c r="B2039" t="str">
        <f>"688556"</f>
        <v>688556</v>
      </c>
      <c r="C2039" t="s">
        <v>4402</v>
      </c>
      <c r="D2039" t="s">
        <v>2671</v>
      </c>
      <c r="F2039">
        <v>693833025</v>
      </c>
      <c r="G2039">
        <v>349667656</v>
      </c>
      <c r="H2039">
        <v>319653286</v>
      </c>
      <c r="I2039">
        <v>251678816</v>
      </c>
      <c r="J2039">
        <v>152397105</v>
      </c>
      <c r="K2039">
        <v>83861797</v>
      </c>
      <c r="P2039">
        <v>69</v>
      </c>
      <c r="Q2039" t="s">
        <v>4403</v>
      </c>
    </row>
    <row r="2040" spans="1:17" x14ac:dyDescent="0.3">
      <c r="A2040" t="s">
        <v>17</v>
      </c>
      <c r="B2040" t="str">
        <f>"688557"</f>
        <v>688557</v>
      </c>
      <c r="C2040" t="s">
        <v>4404</v>
      </c>
      <c r="D2040" t="s">
        <v>560</v>
      </c>
      <c r="F2040">
        <v>243793215</v>
      </c>
      <c r="G2040">
        <v>133794605</v>
      </c>
      <c r="H2040">
        <v>154622907</v>
      </c>
      <c r="I2040">
        <v>97181617</v>
      </c>
      <c r="J2040">
        <v>63358161</v>
      </c>
      <c r="P2040">
        <v>47</v>
      </c>
      <c r="Q2040" t="s">
        <v>4405</v>
      </c>
    </row>
    <row r="2041" spans="1:17" x14ac:dyDescent="0.3">
      <c r="A2041" t="s">
        <v>17</v>
      </c>
      <c r="B2041" t="str">
        <f>"688558"</f>
        <v>688558</v>
      </c>
      <c r="C2041" t="s">
        <v>4406</v>
      </c>
      <c r="D2041" t="s">
        <v>2321</v>
      </c>
      <c r="F2041">
        <v>60655276</v>
      </c>
      <c r="G2041">
        <v>52263780</v>
      </c>
      <c r="H2041">
        <v>63574755</v>
      </c>
      <c r="I2041">
        <v>65808671</v>
      </c>
      <c r="J2041">
        <v>48872854</v>
      </c>
      <c r="K2041">
        <v>36549266</v>
      </c>
      <c r="P2041">
        <v>95</v>
      </c>
      <c r="Q2041" t="s">
        <v>4407</v>
      </c>
    </row>
    <row r="2042" spans="1:17" x14ac:dyDescent="0.3">
      <c r="A2042" t="s">
        <v>17</v>
      </c>
      <c r="B2042" t="str">
        <f>"688559"</f>
        <v>688559</v>
      </c>
      <c r="C2042" t="s">
        <v>4408</v>
      </c>
      <c r="D2042" t="s">
        <v>3811</v>
      </c>
      <c r="F2042">
        <v>666828485</v>
      </c>
      <c r="G2042">
        <v>494344447</v>
      </c>
      <c r="H2042">
        <v>416512719</v>
      </c>
      <c r="I2042">
        <v>437538209</v>
      </c>
      <c r="J2042">
        <v>269360672</v>
      </c>
      <c r="K2042">
        <v>107050688</v>
      </c>
      <c r="P2042">
        <v>68</v>
      </c>
      <c r="Q2042" t="s">
        <v>4409</v>
      </c>
    </row>
    <row r="2043" spans="1:17" x14ac:dyDescent="0.3">
      <c r="A2043" t="s">
        <v>17</v>
      </c>
      <c r="B2043" t="str">
        <f>"688560"</f>
        <v>688560</v>
      </c>
      <c r="C2043" t="s">
        <v>4410</v>
      </c>
      <c r="D2043" t="s">
        <v>478</v>
      </c>
      <c r="F2043">
        <v>422375686</v>
      </c>
      <c r="G2043">
        <v>408711464</v>
      </c>
      <c r="H2043">
        <v>354801773</v>
      </c>
      <c r="I2043">
        <v>350226581</v>
      </c>
      <c r="J2043">
        <v>246457767</v>
      </c>
      <c r="K2043">
        <v>223156266</v>
      </c>
      <c r="P2043">
        <v>38</v>
      </c>
      <c r="Q2043" t="s">
        <v>4411</v>
      </c>
    </row>
    <row r="2044" spans="1:17" x14ac:dyDescent="0.3">
      <c r="A2044" t="s">
        <v>17</v>
      </c>
      <c r="B2044" t="str">
        <f>"688561"</f>
        <v>688561</v>
      </c>
      <c r="C2044" t="s">
        <v>4412</v>
      </c>
      <c r="D2044" t="s">
        <v>1189</v>
      </c>
      <c r="F2044">
        <v>3480163801</v>
      </c>
      <c r="G2044">
        <v>1859343397</v>
      </c>
      <c r="H2044">
        <v>1297298464</v>
      </c>
      <c r="I2044">
        <v>542857670</v>
      </c>
      <c r="J2044">
        <v>225040249</v>
      </c>
      <c r="P2044">
        <v>192</v>
      </c>
      <c r="Q2044" t="s">
        <v>4413</v>
      </c>
    </row>
    <row r="2045" spans="1:17" x14ac:dyDescent="0.3">
      <c r="A2045" t="s">
        <v>17</v>
      </c>
      <c r="B2045" t="str">
        <f>"688565"</f>
        <v>688565</v>
      </c>
      <c r="C2045" t="s">
        <v>4414</v>
      </c>
      <c r="D2045" t="s">
        <v>33</v>
      </c>
      <c r="F2045">
        <v>332236102</v>
      </c>
      <c r="G2045">
        <v>304395527</v>
      </c>
      <c r="H2045">
        <v>302290087</v>
      </c>
      <c r="I2045">
        <v>259329992</v>
      </c>
      <c r="J2045">
        <v>265023852</v>
      </c>
      <c r="P2045">
        <v>38</v>
      </c>
      <c r="Q2045" t="s">
        <v>4415</v>
      </c>
    </row>
    <row r="2046" spans="1:17" x14ac:dyDescent="0.3">
      <c r="A2046" t="s">
        <v>17</v>
      </c>
      <c r="B2046" t="str">
        <f>"688566"</f>
        <v>688566</v>
      </c>
      <c r="C2046" t="s">
        <v>4416</v>
      </c>
      <c r="D2046" t="s">
        <v>143</v>
      </c>
      <c r="F2046">
        <v>82565994</v>
      </c>
      <c r="G2046">
        <v>120250517</v>
      </c>
      <c r="H2046">
        <v>68915681</v>
      </c>
      <c r="I2046">
        <v>57455902</v>
      </c>
      <c r="J2046">
        <v>59329737</v>
      </c>
      <c r="K2046">
        <v>50290662</v>
      </c>
      <c r="P2046">
        <v>69</v>
      </c>
      <c r="Q2046" t="s">
        <v>4417</v>
      </c>
    </row>
    <row r="2047" spans="1:17" x14ac:dyDescent="0.3">
      <c r="A2047" t="s">
        <v>17</v>
      </c>
      <c r="B2047" t="str">
        <f>"688567"</f>
        <v>688567</v>
      </c>
      <c r="C2047" t="s">
        <v>4418</v>
      </c>
      <c r="D2047" t="s">
        <v>359</v>
      </c>
      <c r="F2047">
        <v>1471598673</v>
      </c>
      <c r="G2047">
        <v>721704236</v>
      </c>
      <c r="H2047">
        <v>1286375124</v>
      </c>
      <c r="I2047">
        <v>615442861</v>
      </c>
      <c r="J2047">
        <v>369174073</v>
      </c>
      <c r="K2047">
        <v>237967271</v>
      </c>
      <c r="P2047">
        <v>107</v>
      </c>
      <c r="Q2047" t="s">
        <v>4419</v>
      </c>
    </row>
    <row r="2048" spans="1:17" x14ac:dyDescent="0.3">
      <c r="A2048" t="s">
        <v>17</v>
      </c>
      <c r="B2048" t="str">
        <f>"688568"</f>
        <v>688568</v>
      </c>
      <c r="C2048" t="s">
        <v>4420</v>
      </c>
      <c r="D2048" t="s">
        <v>316</v>
      </c>
      <c r="F2048">
        <v>593664935</v>
      </c>
      <c r="G2048">
        <v>340355813</v>
      </c>
      <c r="H2048">
        <v>363350799</v>
      </c>
      <c r="I2048">
        <v>235428704</v>
      </c>
      <c r="J2048">
        <v>103005162</v>
      </c>
      <c r="K2048">
        <v>26668855</v>
      </c>
      <c r="P2048">
        <v>98</v>
      </c>
      <c r="Q2048" t="s">
        <v>4421</v>
      </c>
    </row>
    <row r="2049" spans="1:17" x14ac:dyDescent="0.3">
      <c r="A2049" t="s">
        <v>17</v>
      </c>
      <c r="B2049" t="str">
        <f>"688569"</f>
        <v>688569</v>
      </c>
      <c r="C2049" t="s">
        <v>4422</v>
      </c>
      <c r="D2049" t="s">
        <v>1012</v>
      </c>
      <c r="F2049">
        <v>660504810</v>
      </c>
      <c r="G2049">
        <v>624786035</v>
      </c>
      <c r="H2049">
        <v>624166011</v>
      </c>
      <c r="I2049">
        <v>470791959</v>
      </c>
      <c r="J2049">
        <v>475372541</v>
      </c>
      <c r="K2049">
        <v>423171563</v>
      </c>
      <c r="P2049">
        <v>31</v>
      </c>
      <c r="Q2049" t="s">
        <v>4423</v>
      </c>
    </row>
    <row r="2050" spans="1:17" x14ac:dyDescent="0.3">
      <c r="A2050" t="s">
        <v>17</v>
      </c>
      <c r="B2050" t="str">
        <f>"688571"</f>
        <v>688571</v>
      </c>
      <c r="C2050" t="s">
        <v>4424</v>
      </c>
      <c r="D2050" t="s">
        <v>2585</v>
      </c>
      <c r="F2050">
        <v>278485323</v>
      </c>
      <c r="G2050">
        <v>275740563</v>
      </c>
      <c r="H2050">
        <v>260168747</v>
      </c>
      <c r="I2050">
        <v>255370173</v>
      </c>
      <c r="J2050">
        <v>247622240</v>
      </c>
      <c r="P2050">
        <v>29</v>
      </c>
      <c r="Q2050" t="s">
        <v>4425</v>
      </c>
    </row>
    <row r="2051" spans="1:17" x14ac:dyDescent="0.3">
      <c r="A2051" t="s">
        <v>17</v>
      </c>
      <c r="B2051" t="str">
        <f>"688575"</f>
        <v>688575</v>
      </c>
      <c r="C2051" t="s">
        <v>4426</v>
      </c>
      <c r="D2051" t="s">
        <v>1305</v>
      </c>
      <c r="F2051">
        <v>244971965</v>
      </c>
      <c r="G2051">
        <v>210016300</v>
      </c>
      <c r="H2051">
        <v>181465587</v>
      </c>
      <c r="I2051">
        <v>154400019</v>
      </c>
      <c r="J2051">
        <v>125539106</v>
      </c>
      <c r="P2051">
        <v>46</v>
      </c>
      <c r="Q2051" t="s">
        <v>4427</v>
      </c>
    </row>
    <row r="2052" spans="1:17" x14ac:dyDescent="0.3">
      <c r="A2052" t="s">
        <v>17</v>
      </c>
      <c r="B2052" t="str">
        <f>"688577"</f>
        <v>688577</v>
      </c>
      <c r="C2052" t="s">
        <v>4428</v>
      </c>
      <c r="D2052" t="s">
        <v>2321</v>
      </c>
      <c r="F2052">
        <v>82104167</v>
      </c>
      <c r="G2052">
        <v>60311616</v>
      </c>
      <c r="H2052">
        <v>62858777</v>
      </c>
      <c r="I2052">
        <v>60190222</v>
      </c>
      <c r="J2052">
        <v>48109006</v>
      </c>
      <c r="K2052">
        <v>42461314</v>
      </c>
      <c r="P2052">
        <v>56</v>
      </c>
      <c r="Q2052" t="s">
        <v>4429</v>
      </c>
    </row>
    <row r="2053" spans="1:17" x14ac:dyDescent="0.3">
      <c r="A2053" t="s">
        <v>17</v>
      </c>
      <c r="B2053" t="str">
        <f>"688578"</f>
        <v>688578</v>
      </c>
      <c r="C2053" t="s">
        <v>4430</v>
      </c>
      <c r="D2053" t="s">
        <v>143</v>
      </c>
      <c r="F2053">
        <v>14831918</v>
      </c>
      <c r="G2053">
        <v>287490</v>
      </c>
      <c r="H2053">
        <v>634132</v>
      </c>
      <c r="I2053">
        <v>654480</v>
      </c>
      <c r="J2053">
        <v>279266</v>
      </c>
      <c r="P2053">
        <v>47</v>
      </c>
      <c r="Q2053" t="s">
        <v>4431</v>
      </c>
    </row>
    <row r="2054" spans="1:17" x14ac:dyDescent="0.3">
      <c r="A2054" t="s">
        <v>17</v>
      </c>
      <c r="B2054" t="str">
        <f>"688579"</f>
        <v>688579</v>
      </c>
      <c r="C2054" t="s">
        <v>4432</v>
      </c>
      <c r="D2054" t="s">
        <v>945</v>
      </c>
      <c r="F2054">
        <v>160497482</v>
      </c>
      <c r="G2054">
        <v>183412483</v>
      </c>
      <c r="H2054">
        <v>210019964</v>
      </c>
      <c r="I2054">
        <v>164885570</v>
      </c>
      <c r="J2054">
        <v>114041782</v>
      </c>
      <c r="K2054">
        <v>63902204</v>
      </c>
      <c r="P2054">
        <v>34</v>
      </c>
      <c r="Q2054" t="s">
        <v>4433</v>
      </c>
    </row>
    <row r="2055" spans="1:17" x14ac:dyDescent="0.3">
      <c r="A2055" t="s">
        <v>17</v>
      </c>
      <c r="B2055" t="str">
        <f>"688580"</f>
        <v>688580</v>
      </c>
      <c r="C2055" t="s">
        <v>4434</v>
      </c>
      <c r="D2055" t="s">
        <v>122</v>
      </c>
      <c r="F2055">
        <v>24307756</v>
      </c>
      <c r="G2055">
        <v>12898081</v>
      </c>
      <c r="H2055">
        <v>932232</v>
      </c>
      <c r="I2055">
        <v>417612</v>
      </c>
      <c r="J2055">
        <v>386352</v>
      </c>
      <c r="K2055">
        <v>726534</v>
      </c>
      <c r="P2055">
        <v>246</v>
      </c>
      <c r="Q2055" t="s">
        <v>4435</v>
      </c>
    </row>
    <row r="2056" spans="1:17" x14ac:dyDescent="0.3">
      <c r="A2056" t="s">
        <v>17</v>
      </c>
      <c r="B2056" t="str">
        <f>"688585"</f>
        <v>688585</v>
      </c>
      <c r="C2056" t="s">
        <v>4436</v>
      </c>
      <c r="D2056" t="s">
        <v>3377</v>
      </c>
      <c r="F2056">
        <v>589247985</v>
      </c>
      <c r="G2056">
        <v>686344579</v>
      </c>
      <c r="H2056">
        <v>438682587</v>
      </c>
      <c r="I2056">
        <v>384111706</v>
      </c>
      <c r="J2056">
        <v>327018270</v>
      </c>
      <c r="K2056">
        <v>389154325</v>
      </c>
      <c r="P2056">
        <v>26</v>
      </c>
      <c r="Q2056" t="s">
        <v>4437</v>
      </c>
    </row>
    <row r="2057" spans="1:17" x14ac:dyDescent="0.3">
      <c r="A2057" t="s">
        <v>17</v>
      </c>
      <c r="B2057" t="str">
        <f>"688586"</f>
        <v>688586</v>
      </c>
      <c r="C2057" t="s">
        <v>4438</v>
      </c>
      <c r="D2057" t="s">
        <v>98</v>
      </c>
      <c r="F2057">
        <v>343920822</v>
      </c>
      <c r="G2057">
        <v>368743713</v>
      </c>
      <c r="H2057">
        <v>357746725</v>
      </c>
      <c r="I2057">
        <v>417379739</v>
      </c>
      <c r="J2057">
        <v>342502176</v>
      </c>
      <c r="K2057">
        <v>408215620</v>
      </c>
      <c r="P2057">
        <v>70</v>
      </c>
      <c r="Q2057" t="s">
        <v>4439</v>
      </c>
    </row>
    <row r="2058" spans="1:17" x14ac:dyDescent="0.3">
      <c r="A2058" t="s">
        <v>17</v>
      </c>
      <c r="B2058" t="str">
        <f>"688588"</f>
        <v>688588</v>
      </c>
      <c r="C2058" t="s">
        <v>4440</v>
      </c>
      <c r="D2058" t="s">
        <v>945</v>
      </c>
      <c r="F2058">
        <v>93532185</v>
      </c>
      <c r="G2058">
        <v>82866002</v>
      </c>
      <c r="H2058">
        <v>76242900</v>
      </c>
      <c r="I2058">
        <v>60122674</v>
      </c>
      <c r="J2058">
        <v>48300382</v>
      </c>
      <c r="K2058">
        <v>32372749</v>
      </c>
      <c r="P2058">
        <v>79</v>
      </c>
      <c r="Q2058" t="s">
        <v>4441</v>
      </c>
    </row>
    <row r="2059" spans="1:17" x14ac:dyDescent="0.3">
      <c r="A2059" t="s">
        <v>17</v>
      </c>
      <c r="B2059" t="str">
        <f>"688589"</f>
        <v>688589</v>
      </c>
      <c r="C2059" t="s">
        <v>4442</v>
      </c>
      <c r="D2059" t="s">
        <v>461</v>
      </c>
      <c r="F2059">
        <v>227047874</v>
      </c>
      <c r="G2059">
        <v>136530281</v>
      </c>
      <c r="H2059">
        <v>167091931</v>
      </c>
      <c r="I2059">
        <v>135615539</v>
      </c>
      <c r="J2059">
        <v>67570511</v>
      </c>
      <c r="K2059">
        <v>51672492</v>
      </c>
      <c r="P2059">
        <v>73</v>
      </c>
      <c r="Q2059" t="s">
        <v>4443</v>
      </c>
    </row>
    <row r="2060" spans="1:17" x14ac:dyDescent="0.3">
      <c r="A2060" t="s">
        <v>17</v>
      </c>
      <c r="B2060" t="str">
        <f>"688590"</f>
        <v>688590</v>
      </c>
      <c r="C2060" t="s">
        <v>4444</v>
      </c>
      <c r="D2060" t="s">
        <v>945</v>
      </c>
      <c r="F2060">
        <v>827314082</v>
      </c>
      <c r="G2060">
        <v>701747403</v>
      </c>
      <c r="H2060">
        <v>624721678</v>
      </c>
      <c r="I2060">
        <v>464878796</v>
      </c>
      <c r="J2060">
        <v>366028626</v>
      </c>
      <c r="K2060">
        <v>272916223</v>
      </c>
      <c r="P2060">
        <v>29</v>
      </c>
      <c r="Q2060" t="s">
        <v>4445</v>
      </c>
    </row>
    <row r="2061" spans="1:17" x14ac:dyDescent="0.3">
      <c r="A2061" t="s">
        <v>17</v>
      </c>
      <c r="B2061" t="str">
        <f>"688595"</f>
        <v>688595</v>
      </c>
      <c r="C2061" t="s">
        <v>4446</v>
      </c>
      <c r="D2061" t="s">
        <v>401</v>
      </c>
      <c r="F2061">
        <v>135581237</v>
      </c>
      <c r="G2061">
        <v>73477369</v>
      </c>
      <c r="H2061">
        <v>99555930</v>
      </c>
      <c r="I2061">
        <v>60352200</v>
      </c>
      <c r="J2061">
        <v>66055103</v>
      </c>
      <c r="K2061">
        <v>44431512</v>
      </c>
      <c r="P2061">
        <v>128</v>
      </c>
      <c r="Q2061" t="s">
        <v>4447</v>
      </c>
    </row>
    <row r="2062" spans="1:17" x14ac:dyDescent="0.3">
      <c r="A2062" t="s">
        <v>17</v>
      </c>
      <c r="B2062" t="str">
        <f>"688596"</f>
        <v>688596</v>
      </c>
      <c r="C2062" t="s">
        <v>4448</v>
      </c>
      <c r="D2062" t="s">
        <v>741</v>
      </c>
      <c r="F2062">
        <v>498217302</v>
      </c>
      <c r="G2062">
        <v>329628448</v>
      </c>
      <c r="H2062">
        <v>346682707</v>
      </c>
      <c r="I2062">
        <v>303169587</v>
      </c>
      <c r="J2062">
        <v>260561083</v>
      </c>
      <c r="P2062">
        <v>61</v>
      </c>
      <c r="Q2062" t="s">
        <v>4449</v>
      </c>
    </row>
    <row r="2063" spans="1:17" x14ac:dyDescent="0.3">
      <c r="A2063" t="s">
        <v>17</v>
      </c>
      <c r="B2063" t="str">
        <f>"688597"</f>
        <v>688597</v>
      </c>
      <c r="C2063" t="s">
        <v>4450</v>
      </c>
      <c r="D2063" t="s">
        <v>2180</v>
      </c>
      <c r="F2063">
        <v>205442919</v>
      </c>
      <c r="G2063">
        <v>231915709</v>
      </c>
      <c r="H2063">
        <v>227740784</v>
      </c>
      <c r="I2063">
        <v>281281910</v>
      </c>
      <c r="J2063">
        <v>297265695</v>
      </c>
      <c r="P2063">
        <v>17</v>
      </c>
      <c r="Q2063" t="s">
        <v>4451</v>
      </c>
    </row>
    <row r="2064" spans="1:17" x14ac:dyDescent="0.3">
      <c r="A2064" t="s">
        <v>17</v>
      </c>
      <c r="B2064" t="str">
        <f>"688598"</f>
        <v>688598</v>
      </c>
      <c r="C2064" t="s">
        <v>4452</v>
      </c>
      <c r="D2064" t="s">
        <v>478</v>
      </c>
      <c r="F2064">
        <v>419426039</v>
      </c>
      <c r="G2064">
        <v>97527464</v>
      </c>
      <c r="H2064">
        <v>48687434</v>
      </c>
      <c r="I2064">
        <v>41153550</v>
      </c>
      <c r="J2064">
        <v>38003389</v>
      </c>
      <c r="K2064">
        <v>33584213</v>
      </c>
      <c r="P2064">
        <v>262</v>
      </c>
      <c r="Q2064" t="s">
        <v>4453</v>
      </c>
    </row>
    <row r="2065" spans="1:17" x14ac:dyDescent="0.3">
      <c r="A2065" t="s">
        <v>17</v>
      </c>
      <c r="B2065" t="str">
        <f>"688599"</f>
        <v>688599</v>
      </c>
      <c r="C2065" t="s">
        <v>4454</v>
      </c>
      <c r="D2065" t="s">
        <v>356</v>
      </c>
      <c r="F2065">
        <v>8170107007</v>
      </c>
      <c r="G2065">
        <v>4231668039</v>
      </c>
      <c r="H2065">
        <v>4660378036</v>
      </c>
      <c r="I2065">
        <v>4843541691</v>
      </c>
      <c r="J2065">
        <v>4945612815</v>
      </c>
      <c r="K2065">
        <v>4347560775</v>
      </c>
      <c r="P2065">
        <v>371</v>
      </c>
      <c r="Q2065" t="s">
        <v>4455</v>
      </c>
    </row>
    <row r="2066" spans="1:17" x14ac:dyDescent="0.3">
      <c r="A2066" t="s">
        <v>17</v>
      </c>
      <c r="B2066" t="str">
        <f>"688600"</f>
        <v>688600</v>
      </c>
      <c r="C2066" t="s">
        <v>4456</v>
      </c>
      <c r="D2066" t="s">
        <v>1070</v>
      </c>
      <c r="F2066">
        <v>135531829</v>
      </c>
      <c r="G2066">
        <v>128304357</v>
      </c>
      <c r="H2066">
        <v>116671860</v>
      </c>
      <c r="I2066">
        <v>93464874</v>
      </c>
      <c r="J2066">
        <v>74030639</v>
      </c>
      <c r="K2066">
        <v>55197499</v>
      </c>
      <c r="P2066">
        <v>62</v>
      </c>
      <c r="Q2066" t="s">
        <v>4457</v>
      </c>
    </row>
    <row r="2067" spans="1:17" x14ac:dyDescent="0.3">
      <c r="A2067" t="s">
        <v>17</v>
      </c>
      <c r="B2067" t="str">
        <f>"688601"</f>
        <v>688601</v>
      </c>
      <c r="C2067" t="s">
        <v>4458</v>
      </c>
      <c r="D2067" t="s">
        <v>401</v>
      </c>
      <c r="F2067">
        <v>135414608</v>
      </c>
      <c r="G2067">
        <v>92587727</v>
      </c>
      <c r="H2067">
        <v>89372578</v>
      </c>
      <c r="I2067">
        <v>57651212</v>
      </c>
      <c r="J2067">
        <v>47697447</v>
      </c>
      <c r="P2067">
        <v>57</v>
      </c>
      <c r="Q2067" t="s">
        <v>4459</v>
      </c>
    </row>
    <row r="2068" spans="1:17" x14ac:dyDescent="0.3">
      <c r="A2068" t="s">
        <v>17</v>
      </c>
      <c r="B2068" t="str">
        <f>"688606"</f>
        <v>688606</v>
      </c>
      <c r="C2068" t="s">
        <v>4460</v>
      </c>
      <c r="D2068" t="s">
        <v>1305</v>
      </c>
      <c r="F2068">
        <v>208198583</v>
      </c>
      <c r="G2068">
        <v>163435301</v>
      </c>
      <c r="H2068">
        <v>53216330</v>
      </c>
      <c r="I2068">
        <v>67700769</v>
      </c>
      <c r="J2068">
        <v>29546858</v>
      </c>
      <c r="P2068">
        <v>104</v>
      </c>
      <c r="Q2068" t="s">
        <v>4461</v>
      </c>
    </row>
    <row r="2069" spans="1:17" x14ac:dyDescent="0.3">
      <c r="A2069" t="s">
        <v>17</v>
      </c>
      <c r="B2069" t="str">
        <f>"688607"</f>
        <v>688607</v>
      </c>
      <c r="C2069" t="s">
        <v>4462</v>
      </c>
      <c r="D2069" t="s">
        <v>122</v>
      </c>
      <c r="F2069">
        <v>59135238</v>
      </c>
      <c r="G2069">
        <v>62567034</v>
      </c>
      <c r="H2069">
        <v>72375316</v>
      </c>
      <c r="I2069">
        <v>47112559</v>
      </c>
      <c r="J2069">
        <v>38218639</v>
      </c>
      <c r="P2069">
        <v>55</v>
      </c>
      <c r="Q2069" t="s">
        <v>4463</v>
      </c>
    </row>
    <row r="2070" spans="1:17" x14ac:dyDescent="0.3">
      <c r="A2070" t="s">
        <v>17</v>
      </c>
      <c r="B2070" t="str">
        <f>"688608"</f>
        <v>688608</v>
      </c>
      <c r="C2070" t="s">
        <v>4464</v>
      </c>
      <c r="D2070" t="s">
        <v>461</v>
      </c>
      <c r="F2070">
        <v>314328002</v>
      </c>
      <c r="G2070">
        <v>81591869</v>
      </c>
      <c r="H2070">
        <v>10217604</v>
      </c>
      <c r="I2070">
        <v>24463722</v>
      </c>
      <c r="J2070">
        <v>3228130</v>
      </c>
      <c r="P2070">
        <v>123</v>
      </c>
      <c r="Q2070" t="s">
        <v>4465</v>
      </c>
    </row>
    <row r="2071" spans="1:17" x14ac:dyDescent="0.3">
      <c r="A2071" t="s">
        <v>17</v>
      </c>
      <c r="B2071" t="str">
        <f>"688609"</f>
        <v>688609</v>
      </c>
      <c r="C2071" t="s">
        <v>4466</v>
      </c>
      <c r="D2071" t="s">
        <v>4467</v>
      </c>
      <c r="F2071">
        <v>1090641961</v>
      </c>
      <c r="G2071">
        <v>1007309657</v>
      </c>
      <c r="H2071">
        <v>1008248891</v>
      </c>
      <c r="I2071">
        <v>1352969242</v>
      </c>
      <c r="J2071">
        <v>1183458024</v>
      </c>
      <c r="P2071">
        <v>31</v>
      </c>
      <c r="Q2071" t="s">
        <v>4468</v>
      </c>
    </row>
    <row r="2072" spans="1:17" x14ac:dyDescent="0.3">
      <c r="A2072" t="s">
        <v>17</v>
      </c>
      <c r="B2072" t="str">
        <f>"688611"</f>
        <v>688611</v>
      </c>
      <c r="C2072" t="s">
        <v>4469</v>
      </c>
      <c r="D2072" t="s">
        <v>610</v>
      </c>
      <c r="F2072">
        <v>141105696</v>
      </c>
      <c r="G2072">
        <v>49014481</v>
      </c>
      <c r="H2072">
        <v>41990250</v>
      </c>
      <c r="I2072">
        <v>50423778</v>
      </c>
      <c r="J2072">
        <v>44815121</v>
      </c>
      <c r="P2072">
        <v>38</v>
      </c>
      <c r="Q2072" t="s">
        <v>4470</v>
      </c>
    </row>
    <row r="2073" spans="1:17" x14ac:dyDescent="0.3">
      <c r="A2073" t="s">
        <v>17</v>
      </c>
      <c r="B2073" t="str">
        <f>"688613"</f>
        <v>688613</v>
      </c>
      <c r="C2073" t="s">
        <v>4471</v>
      </c>
      <c r="D2073" t="s">
        <v>1077</v>
      </c>
      <c r="F2073">
        <v>27847257</v>
      </c>
      <c r="G2073">
        <v>18552972</v>
      </c>
      <c r="H2073">
        <v>13637753</v>
      </c>
      <c r="I2073">
        <v>23678780</v>
      </c>
      <c r="J2073">
        <v>17922484</v>
      </c>
      <c r="P2073">
        <v>51</v>
      </c>
      <c r="Q2073" t="s">
        <v>4472</v>
      </c>
    </row>
    <row r="2074" spans="1:17" x14ac:dyDescent="0.3">
      <c r="A2074" t="s">
        <v>17</v>
      </c>
      <c r="B2074" t="str">
        <f>"688616"</f>
        <v>688616</v>
      </c>
      <c r="C2074" t="s">
        <v>4473</v>
      </c>
      <c r="D2074" t="s">
        <v>2180</v>
      </c>
      <c r="F2074">
        <v>161532346</v>
      </c>
      <c r="G2074">
        <v>131119003</v>
      </c>
      <c r="H2074">
        <v>195136927</v>
      </c>
      <c r="I2074">
        <v>214598224</v>
      </c>
      <c r="J2074">
        <v>190945816</v>
      </c>
      <c r="P2074">
        <v>23</v>
      </c>
      <c r="Q2074" t="s">
        <v>4474</v>
      </c>
    </row>
    <row r="2075" spans="1:17" x14ac:dyDescent="0.3">
      <c r="A2075" t="s">
        <v>17</v>
      </c>
      <c r="B2075" t="str">
        <f>"688617"</f>
        <v>688617</v>
      </c>
      <c r="C2075" t="s">
        <v>4475</v>
      </c>
      <c r="D2075" t="s">
        <v>1077</v>
      </c>
      <c r="F2075">
        <v>34013845</v>
      </c>
      <c r="G2075">
        <v>43718340</v>
      </c>
      <c r="H2075">
        <v>47062180</v>
      </c>
      <c r="I2075">
        <v>25408827</v>
      </c>
      <c r="J2075">
        <v>29986497</v>
      </c>
      <c r="P2075">
        <v>137</v>
      </c>
      <c r="Q2075" t="s">
        <v>4476</v>
      </c>
    </row>
    <row r="2076" spans="1:17" x14ac:dyDescent="0.3">
      <c r="A2076" t="s">
        <v>17</v>
      </c>
      <c r="B2076" t="str">
        <f>"688618"</f>
        <v>688618</v>
      </c>
      <c r="C2076" t="s">
        <v>4477</v>
      </c>
      <c r="D2076" t="s">
        <v>1019</v>
      </c>
      <c r="F2076">
        <v>99001458</v>
      </c>
      <c r="G2076">
        <v>81429431</v>
      </c>
      <c r="H2076">
        <v>66829710</v>
      </c>
      <c r="I2076">
        <v>49702640</v>
      </c>
      <c r="J2076">
        <v>35232251</v>
      </c>
      <c r="P2076">
        <v>41</v>
      </c>
      <c r="Q2076" t="s">
        <v>4478</v>
      </c>
    </row>
    <row r="2077" spans="1:17" x14ac:dyDescent="0.3">
      <c r="A2077" t="s">
        <v>17</v>
      </c>
      <c r="B2077" t="str">
        <f>"688619"</f>
        <v>688619</v>
      </c>
      <c r="C2077" t="s">
        <v>4479</v>
      </c>
      <c r="D2077" t="s">
        <v>2980</v>
      </c>
      <c r="F2077">
        <v>566768013</v>
      </c>
      <c r="G2077">
        <v>544635725</v>
      </c>
      <c r="H2077">
        <v>350098411</v>
      </c>
      <c r="I2077">
        <v>112649613</v>
      </c>
      <c r="J2077">
        <v>33402634</v>
      </c>
      <c r="P2077">
        <v>31</v>
      </c>
      <c r="Q2077" t="s">
        <v>4480</v>
      </c>
    </row>
    <row r="2078" spans="1:17" x14ac:dyDescent="0.3">
      <c r="A2078" t="s">
        <v>17</v>
      </c>
      <c r="B2078" t="str">
        <f>"688621"</f>
        <v>688621</v>
      </c>
      <c r="C2078" t="s">
        <v>4481</v>
      </c>
      <c r="D2078" t="s">
        <v>1461</v>
      </c>
      <c r="F2078">
        <v>109454953</v>
      </c>
      <c r="G2078">
        <v>51440284</v>
      </c>
      <c r="H2078">
        <v>75436568</v>
      </c>
      <c r="I2078">
        <v>56169157</v>
      </c>
      <c r="J2078">
        <v>18755805</v>
      </c>
      <c r="P2078">
        <v>63</v>
      </c>
      <c r="Q2078" t="s">
        <v>4482</v>
      </c>
    </row>
    <row r="2079" spans="1:17" x14ac:dyDescent="0.3">
      <c r="A2079" t="s">
        <v>17</v>
      </c>
      <c r="B2079" t="str">
        <f>"688622"</f>
        <v>688622</v>
      </c>
      <c r="C2079" t="s">
        <v>4483</v>
      </c>
      <c r="D2079" t="s">
        <v>2566</v>
      </c>
      <c r="F2079">
        <v>109469265</v>
      </c>
      <c r="G2079">
        <v>81012026</v>
      </c>
      <c r="H2079">
        <v>48453065</v>
      </c>
      <c r="I2079">
        <v>35305304</v>
      </c>
      <c r="J2079">
        <v>28381754</v>
      </c>
      <c r="K2079">
        <v>14200140</v>
      </c>
      <c r="P2079">
        <v>29</v>
      </c>
      <c r="Q2079" t="s">
        <v>4484</v>
      </c>
    </row>
    <row r="2080" spans="1:17" x14ac:dyDescent="0.3">
      <c r="A2080" t="s">
        <v>17</v>
      </c>
      <c r="B2080" t="str">
        <f>"688625"</f>
        <v>688625</v>
      </c>
      <c r="C2080" t="s">
        <v>4485</v>
      </c>
      <c r="D2080" t="s">
        <v>386</v>
      </c>
      <c r="F2080">
        <v>111330497</v>
      </c>
      <c r="G2080">
        <v>77857152</v>
      </c>
      <c r="H2080">
        <v>48619326</v>
      </c>
      <c r="I2080">
        <v>64602944</v>
      </c>
      <c r="J2080">
        <v>27101411</v>
      </c>
      <c r="P2080">
        <v>63</v>
      </c>
      <c r="Q2080" t="s">
        <v>4486</v>
      </c>
    </row>
    <row r="2081" spans="1:17" x14ac:dyDescent="0.3">
      <c r="A2081" t="s">
        <v>17</v>
      </c>
      <c r="B2081" t="str">
        <f>"688626"</f>
        <v>688626</v>
      </c>
      <c r="C2081" t="s">
        <v>4487</v>
      </c>
      <c r="D2081" t="s">
        <v>122</v>
      </c>
      <c r="F2081">
        <v>41243595</v>
      </c>
      <c r="G2081">
        <v>28700973</v>
      </c>
      <c r="H2081">
        <v>16104407</v>
      </c>
      <c r="I2081">
        <v>16504203</v>
      </c>
      <c r="J2081">
        <v>5772601</v>
      </c>
      <c r="P2081">
        <v>82</v>
      </c>
      <c r="Q2081" t="s">
        <v>4488</v>
      </c>
    </row>
    <row r="2082" spans="1:17" x14ac:dyDescent="0.3">
      <c r="A2082" t="s">
        <v>17</v>
      </c>
      <c r="B2082" t="str">
        <f>"688628"</f>
        <v>688628</v>
      </c>
      <c r="C2082" t="s">
        <v>4489</v>
      </c>
      <c r="D2082" t="s">
        <v>2566</v>
      </c>
      <c r="F2082">
        <v>66295251</v>
      </c>
      <c r="G2082">
        <v>49135853</v>
      </c>
      <c r="H2082">
        <v>47850487</v>
      </c>
      <c r="I2082">
        <v>44573700</v>
      </c>
      <c r="J2082">
        <v>29130220</v>
      </c>
      <c r="P2082">
        <v>35</v>
      </c>
      <c r="Q2082" t="s">
        <v>4490</v>
      </c>
    </row>
    <row r="2083" spans="1:17" x14ac:dyDescent="0.3">
      <c r="A2083" t="s">
        <v>17</v>
      </c>
      <c r="B2083" t="str">
        <f>"688630"</f>
        <v>688630</v>
      </c>
      <c r="C2083" t="s">
        <v>4491</v>
      </c>
      <c r="D2083" t="s">
        <v>741</v>
      </c>
      <c r="F2083">
        <v>282842938</v>
      </c>
      <c r="G2083">
        <v>181026203</v>
      </c>
      <c r="H2083">
        <v>98504331</v>
      </c>
      <c r="I2083">
        <v>44147765</v>
      </c>
      <c r="J2083">
        <v>9284817</v>
      </c>
      <c r="P2083">
        <v>63</v>
      </c>
      <c r="Q2083" t="s">
        <v>4492</v>
      </c>
    </row>
    <row r="2084" spans="1:17" x14ac:dyDescent="0.3">
      <c r="A2084" t="s">
        <v>17</v>
      </c>
      <c r="B2084" t="str">
        <f>"688633"</f>
        <v>688633</v>
      </c>
      <c r="C2084" t="s">
        <v>4493</v>
      </c>
      <c r="D2084" t="s">
        <v>395</v>
      </c>
      <c r="F2084">
        <v>156244013</v>
      </c>
      <c r="G2084">
        <v>134520862</v>
      </c>
      <c r="H2084">
        <v>167109599</v>
      </c>
      <c r="I2084">
        <v>162664726</v>
      </c>
      <c r="J2084">
        <v>146978337</v>
      </c>
      <c r="P2084">
        <v>38</v>
      </c>
      <c r="Q2084" t="s">
        <v>4494</v>
      </c>
    </row>
    <row r="2085" spans="1:17" x14ac:dyDescent="0.3">
      <c r="A2085" t="s">
        <v>17</v>
      </c>
      <c r="B2085" t="str">
        <f>"688636"</f>
        <v>688636</v>
      </c>
      <c r="C2085" t="s">
        <v>4495</v>
      </c>
      <c r="D2085" t="s">
        <v>1136</v>
      </c>
      <c r="F2085">
        <v>300616002</v>
      </c>
      <c r="G2085">
        <v>199309857</v>
      </c>
      <c r="H2085">
        <v>194976285</v>
      </c>
      <c r="I2085">
        <v>159027336</v>
      </c>
      <c r="J2085">
        <v>112904381</v>
      </c>
      <c r="P2085">
        <v>32</v>
      </c>
      <c r="Q2085" t="s">
        <v>4496</v>
      </c>
    </row>
    <row r="2086" spans="1:17" x14ac:dyDescent="0.3">
      <c r="A2086" t="s">
        <v>17</v>
      </c>
      <c r="B2086" t="str">
        <f>"688639"</f>
        <v>688639</v>
      </c>
      <c r="C2086" t="s">
        <v>4497</v>
      </c>
      <c r="D2086" t="s">
        <v>677</v>
      </c>
      <c r="F2086">
        <v>175796277</v>
      </c>
      <c r="G2086">
        <v>88488236</v>
      </c>
      <c r="H2086">
        <v>46481965</v>
      </c>
      <c r="I2086">
        <v>63525110</v>
      </c>
      <c r="J2086">
        <v>57127798</v>
      </c>
      <c r="P2086">
        <v>58</v>
      </c>
      <c r="Q2086" t="s">
        <v>4498</v>
      </c>
    </row>
    <row r="2087" spans="1:17" x14ac:dyDescent="0.3">
      <c r="A2087" t="s">
        <v>17</v>
      </c>
      <c r="B2087" t="str">
        <f>"688655"</f>
        <v>688655</v>
      </c>
      <c r="C2087" t="s">
        <v>4499</v>
      </c>
      <c r="D2087" t="s">
        <v>425</v>
      </c>
      <c r="F2087">
        <v>129739686</v>
      </c>
      <c r="G2087">
        <v>139556336</v>
      </c>
      <c r="H2087">
        <v>117155924</v>
      </c>
      <c r="I2087">
        <v>91468620</v>
      </c>
      <c r="J2087">
        <v>98407692</v>
      </c>
      <c r="P2087">
        <v>21</v>
      </c>
      <c r="Q2087" t="s">
        <v>4500</v>
      </c>
    </row>
    <row r="2088" spans="1:17" x14ac:dyDescent="0.3">
      <c r="A2088" t="s">
        <v>17</v>
      </c>
      <c r="B2088" t="str">
        <f>"688656"</f>
        <v>688656</v>
      </c>
      <c r="C2088" t="s">
        <v>4501</v>
      </c>
      <c r="D2088" t="s">
        <v>1305</v>
      </c>
      <c r="F2088">
        <v>37484010</v>
      </c>
      <c r="G2088">
        <v>29898529</v>
      </c>
      <c r="H2088">
        <v>19912476</v>
      </c>
      <c r="I2088">
        <v>21688010</v>
      </c>
      <c r="J2088">
        <v>11038180</v>
      </c>
      <c r="K2088">
        <v>6155436</v>
      </c>
      <c r="P2088">
        <v>59</v>
      </c>
      <c r="Q2088" t="s">
        <v>4502</v>
      </c>
    </row>
    <row r="2089" spans="1:17" x14ac:dyDescent="0.3">
      <c r="A2089" t="s">
        <v>17</v>
      </c>
      <c r="B2089" t="str">
        <f>"688658"</f>
        <v>688658</v>
      </c>
      <c r="C2089" t="s">
        <v>4503</v>
      </c>
      <c r="D2089" t="s">
        <v>143</v>
      </c>
      <c r="F2089">
        <v>816812147</v>
      </c>
      <c r="G2089">
        <v>564700262</v>
      </c>
      <c r="H2089">
        <v>716983053</v>
      </c>
      <c r="I2089">
        <v>644726997</v>
      </c>
      <c r="J2089">
        <v>326835268</v>
      </c>
      <c r="P2089">
        <v>75</v>
      </c>
      <c r="Q2089" t="s">
        <v>4504</v>
      </c>
    </row>
    <row r="2090" spans="1:17" x14ac:dyDescent="0.3">
      <c r="A2090" t="s">
        <v>17</v>
      </c>
      <c r="B2090" t="str">
        <f>"688659"</f>
        <v>688659</v>
      </c>
      <c r="C2090" t="s">
        <v>4505</v>
      </c>
      <c r="D2090" t="s">
        <v>386</v>
      </c>
      <c r="F2090">
        <v>200745342</v>
      </c>
      <c r="G2090">
        <v>147119123</v>
      </c>
      <c r="H2090">
        <v>147794545</v>
      </c>
      <c r="I2090">
        <v>165496837</v>
      </c>
      <c r="J2090">
        <v>148564725</v>
      </c>
      <c r="P2090">
        <v>40</v>
      </c>
      <c r="Q2090" t="s">
        <v>4506</v>
      </c>
    </row>
    <row r="2091" spans="1:17" x14ac:dyDescent="0.3">
      <c r="A2091" t="s">
        <v>17</v>
      </c>
      <c r="B2091" t="str">
        <f>"688660"</f>
        <v>688660</v>
      </c>
      <c r="C2091" t="s">
        <v>4507</v>
      </c>
      <c r="D2091" t="s">
        <v>895</v>
      </c>
      <c r="F2091">
        <v>1952560704</v>
      </c>
      <c r="G2091">
        <v>4625598454</v>
      </c>
      <c r="H2091">
        <v>4631388678</v>
      </c>
      <c r="I2091">
        <v>2593712893</v>
      </c>
      <c r="J2091">
        <v>5056255577</v>
      </c>
      <c r="P2091">
        <v>54</v>
      </c>
      <c r="Q2091" t="s">
        <v>4508</v>
      </c>
    </row>
    <row r="2092" spans="1:17" x14ac:dyDescent="0.3">
      <c r="A2092" t="s">
        <v>17</v>
      </c>
      <c r="B2092" t="str">
        <f>"688661"</f>
        <v>688661</v>
      </c>
      <c r="C2092" t="s">
        <v>4509</v>
      </c>
      <c r="D2092" t="s">
        <v>313</v>
      </c>
      <c r="F2092">
        <v>73398760</v>
      </c>
      <c r="G2092">
        <v>73985229</v>
      </c>
      <c r="H2092">
        <v>58813775</v>
      </c>
      <c r="I2092">
        <v>43282328</v>
      </c>
      <c r="J2092">
        <v>30540125</v>
      </c>
      <c r="P2092">
        <v>64</v>
      </c>
      <c r="Q2092" t="s">
        <v>4510</v>
      </c>
    </row>
    <row r="2093" spans="1:17" x14ac:dyDescent="0.3">
      <c r="A2093" t="s">
        <v>17</v>
      </c>
      <c r="B2093" t="str">
        <f>"688662"</f>
        <v>688662</v>
      </c>
      <c r="C2093" t="s">
        <v>4511</v>
      </c>
      <c r="D2093" t="s">
        <v>651</v>
      </c>
      <c r="F2093">
        <v>143324689</v>
      </c>
      <c r="G2093">
        <v>120875426</v>
      </c>
      <c r="H2093">
        <v>89686180</v>
      </c>
      <c r="I2093">
        <v>121652094</v>
      </c>
      <c r="J2093">
        <v>51648090</v>
      </c>
      <c r="P2093">
        <v>23</v>
      </c>
      <c r="Q2093" t="s">
        <v>4512</v>
      </c>
    </row>
    <row r="2094" spans="1:17" x14ac:dyDescent="0.3">
      <c r="A2094" t="s">
        <v>17</v>
      </c>
      <c r="B2094" t="str">
        <f>"688663"</f>
        <v>688663</v>
      </c>
      <c r="C2094" t="s">
        <v>4513</v>
      </c>
      <c r="D2094" t="s">
        <v>657</v>
      </c>
      <c r="F2094">
        <v>566384735</v>
      </c>
      <c r="G2094">
        <v>467205521</v>
      </c>
      <c r="H2094">
        <v>377451616</v>
      </c>
      <c r="I2094">
        <v>302179506</v>
      </c>
      <c r="J2094">
        <v>224593180</v>
      </c>
      <c r="P2094">
        <v>32</v>
      </c>
      <c r="Q2094" t="s">
        <v>4514</v>
      </c>
    </row>
    <row r="2095" spans="1:17" x14ac:dyDescent="0.3">
      <c r="A2095" t="s">
        <v>17</v>
      </c>
      <c r="B2095" t="str">
        <f>"688665"</f>
        <v>688665</v>
      </c>
      <c r="C2095" t="s">
        <v>4515</v>
      </c>
      <c r="D2095" t="s">
        <v>2566</v>
      </c>
      <c r="F2095">
        <v>99431615</v>
      </c>
      <c r="G2095">
        <v>79050901</v>
      </c>
      <c r="H2095">
        <v>41400083</v>
      </c>
      <c r="I2095">
        <v>24784674</v>
      </c>
      <c r="J2095">
        <v>22301532</v>
      </c>
      <c r="P2095">
        <v>63</v>
      </c>
      <c r="Q2095" t="s">
        <v>4516</v>
      </c>
    </row>
    <row r="2096" spans="1:17" x14ac:dyDescent="0.3">
      <c r="A2096" t="s">
        <v>17</v>
      </c>
      <c r="B2096" t="str">
        <f>"688667"</f>
        <v>688667</v>
      </c>
      <c r="C2096" t="s">
        <v>4517</v>
      </c>
      <c r="D2096" t="s">
        <v>1415</v>
      </c>
      <c r="F2096">
        <v>229525927</v>
      </c>
      <c r="G2096">
        <v>240884950</v>
      </c>
      <c r="H2096">
        <v>226038074</v>
      </c>
      <c r="I2096">
        <v>71570612</v>
      </c>
      <c r="J2096">
        <v>87152287</v>
      </c>
      <c r="P2096">
        <v>66</v>
      </c>
      <c r="Q2096" t="s">
        <v>4518</v>
      </c>
    </row>
    <row r="2097" spans="1:17" x14ac:dyDescent="0.3">
      <c r="A2097" t="s">
        <v>17</v>
      </c>
      <c r="B2097" t="str">
        <f>"688668"</f>
        <v>688668</v>
      </c>
      <c r="C2097" t="s">
        <v>4519</v>
      </c>
      <c r="D2097" t="s">
        <v>1019</v>
      </c>
      <c r="F2097">
        <v>201615941</v>
      </c>
      <c r="G2097">
        <v>119873685</v>
      </c>
      <c r="H2097">
        <v>74235894</v>
      </c>
      <c r="I2097">
        <v>84135474</v>
      </c>
      <c r="J2097">
        <v>45746417</v>
      </c>
      <c r="P2097">
        <v>44</v>
      </c>
      <c r="Q2097" t="s">
        <v>4520</v>
      </c>
    </row>
    <row r="2098" spans="1:17" x14ac:dyDescent="0.3">
      <c r="A2098" t="s">
        <v>17</v>
      </c>
      <c r="B2098" t="str">
        <f>"688669"</f>
        <v>688669</v>
      </c>
      <c r="C2098" t="s">
        <v>4521</v>
      </c>
      <c r="D2098" t="s">
        <v>341</v>
      </c>
      <c r="F2098">
        <v>730571615</v>
      </c>
      <c r="G2098">
        <v>540664809</v>
      </c>
      <c r="H2098">
        <v>391114198</v>
      </c>
      <c r="I2098">
        <v>301904740</v>
      </c>
      <c r="J2098">
        <v>160269554</v>
      </c>
      <c r="P2098">
        <v>36</v>
      </c>
      <c r="Q2098" t="s">
        <v>4522</v>
      </c>
    </row>
    <row r="2099" spans="1:17" x14ac:dyDescent="0.3">
      <c r="A2099" t="s">
        <v>17</v>
      </c>
      <c r="B2099" t="str">
        <f>"688670"</f>
        <v>688670</v>
      </c>
      <c r="C2099" t="s">
        <v>4523</v>
      </c>
      <c r="D2099" t="s">
        <v>1499</v>
      </c>
      <c r="F2099">
        <v>342755037</v>
      </c>
      <c r="G2099">
        <v>354950676</v>
      </c>
      <c r="H2099">
        <v>59549000</v>
      </c>
      <c r="I2099">
        <v>0</v>
      </c>
      <c r="J2099">
        <v>0</v>
      </c>
      <c r="P2099">
        <v>19</v>
      </c>
      <c r="Q2099" t="s">
        <v>4524</v>
      </c>
    </row>
    <row r="2100" spans="1:17" x14ac:dyDescent="0.3">
      <c r="A2100" t="s">
        <v>17</v>
      </c>
      <c r="B2100" t="str">
        <f>"688676"</f>
        <v>688676</v>
      </c>
      <c r="C2100" t="s">
        <v>4525</v>
      </c>
      <c r="D2100" t="s">
        <v>210</v>
      </c>
      <c r="F2100">
        <v>1141498594</v>
      </c>
      <c r="G2100">
        <v>978279206</v>
      </c>
      <c r="H2100">
        <v>886349495</v>
      </c>
      <c r="I2100">
        <v>800156224</v>
      </c>
      <c r="J2100">
        <v>654319358</v>
      </c>
      <c r="P2100">
        <v>42</v>
      </c>
      <c r="Q2100" t="s">
        <v>4526</v>
      </c>
    </row>
    <row r="2101" spans="1:17" x14ac:dyDescent="0.3">
      <c r="A2101" t="s">
        <v>17</v>
      </c>
      <c r="B2101" t="str">
        <f>"688677"</f>
        <v>688677</v>
      </c>
      <c r="C2101" t="s">
        <v>4527</v>
      </c>
      <c r="D2101" t="s">
        <v>122</v>
      </c>
      <c r="F2101">
        <v>62448361</v>
      </c>
      <c r="G2101">
        <v>46877405</v>
      </c>
      <c r="H2101">
        <v>33368920</v>
      </c>
      <c r="I2101">
        <v>29354537</v>
      </c>
      <c r="J2101">
        <v>23184536</v>
      </c>
      <c r="P2101">
        <v>94</v>
      </c>
      <c r="Q2101" t="s">
        <v>4528</v>
      </c>
    </row>
    <row r="2102" spans="1:17" x14ac:dyDescent="0.3">
      <c r="A2102" t="s">
        <v>17</v>
      </c>
      <c r="B2102" t="str">
        <f>"688678"</f>
        <v>688678</v>
      </c>
      <c r="C2102" t="s">
        <v>4529</v>
      </c>
      <c r="D2102" t="s">
        <v>313</v>
      </c>
      <c r="F2102">
        <v>297051804</v>
      </c>
      <c r="G2102">
        <v>234778133</v>
      </c>
      <c r="H2102">
        <v>228927965</v>
      </c>
      <c r="I2102">
        <v>128108269</v>
      </c>
      <c r="J2102">
        <v>109645360</v>
      </c>
      <c r="K2102">
        <v>83029898</v>
      </c>
      <c r="P2102">
        <v>29</v>
      </c>
      <c r="Q2102" t="s">
        <v>4530</v>
      </c>
    </row>
    <row r="2103" spans="1:17" x14ac:dyDescent="0.3">
      <c r="A2103" t="s">
        <v>17</v>
      </c>
      <c r="B2103" t="str">
        <f>"688679"</f>
        <v>688679</v>
      </c>
      <c r="C2103" t="s">
        <v>4531</v>
      </c>
      <c r="D2103" t="s">
        <v>499</v>
      </c>
      <c r="F2103">
        <v>586176584</v>
      </c>
      <c r="G2103">
        <v>358056294</v>
      </c>
      <c r="H2103">
        <v>376160290</v>
      </c>
      <c r="I2103">
        <v>378460373</v>
      </c>
      <c r="J2103">
        <v>281557595</v>
      </c>
      <c r="K2103">
        <v>190415843</v>
      </c>
      <c r="P2103">
        <v>31</v>
      </c>
      <c r="Q2103" t="s">
        <v>4532</v>
      </c>
    </row>
    <row r="2104" spans="1:17" x14ac:dyDescent="0.3">
      <c r="A2104" t="s">
        <v>17</v>
      </c>
      <c r="B2104" t="str">
        <f>"688680"</f>
        <v>688680</v>
      </c>
      <c r="C2104" t="s">
        <v>4533</v>
      </c>
      <c r="D2104" t="s">
        <v>478</v>
      </c>
      <c r="F2104">
        <v>1088204454</v>
      </c>
      <c r="G2104">
        <v>524786503</v>
      </c>
      <c r="H2104">
        <v>274744380</v>
      </c>
      <c r="I2104">
        <v>226198079</v>
      </c>
      <c r="J2104">
        <v>283635888</v>
      </c>
      <c r="P2104">
        <v>79</v>
      </c>
      <c r="Q2104" t="s">
        <v>4534</v>
      </c>
    </row>
    <row r="2105" spans="1:17" x14ac:dyDescent="0.3">
      <c r="A2105" t="s">
        <v>17</v>
      </c>
      <c r="B2105" t="str">
        <f>"688681"</f>
        <v>688681</v>
      </c>
      <c r="C2105" t="s">
        <v>4535</v>
      </c>
      <c r="D2105" t="s">
        <v>610</v>
      </c>
      <c r="F2105">
        <v>193597766</v>
      </c>
      <c r="G2105">
        <v>184147738</v>
      </c>
      <c r="H2105">
        <v>159291128</v>
      </c>
      <c r="I2105">
        <v>150679665</v>
      </c>
      <c r="J2105">
        <v>148826164</v>
      </c>
      <c r="P2105">
        <v>31</v>
      </c>
      <c r="Q2105" t="s">
        <v>4536</v>
      </c>
    </row>
    <row r="2106" spans="1:17" x14ac:dyDescent="0.3">
      <c r="A2106" t="s">
        <v>17</v>
      </c>
      <c r="B2106" t="str">
        <f>"688682"</f>
        <v>688682</v>
      </c>
      <c r="C2106" t="s">
        <v>4537</v>
      </c>
      <c r="D2106" t="s">
        <v>1136</v>
      </c>
      <c r="F2106">
        <v>158835717</v>
      </c>
      <c r="G2106">
        <v>76062082</v>
      </c>
      <c r="H2106">
        <v>26529666</v>
      </c>
      <c r="I2106">
        <v>9741353</v>
      </c>
      <c r="J2106">
        <v>3140502</v>
      </c>
      <c r="P2106">
        <v>33</v>
      </c>
      <c r="Q2106" t="s">
        <v>4538</v>
      </c>
    </row>
    <row r="2107" spans="1:17" x14ac:dyDescent="0.3">
      <c r="A2107" t="s">
        <v>17</v>
      </c>
      <c r="B2107" t="str">
        <f>"688683"</f>
        <v>688683</v>
      </c>
      <c r="C2107" t="s">
        <v>4539</v>
      </c>
      <c r="D2107" t="s">
        <v>313</v>
      </c>
      <c r="F2107">
        <v>158282244</v>
      </c>
      <c r="G2107">
        <v>163049560</v>
      </c>
      <c r="H2107">
        <v>141972278</v>
      </c>
      <c r="I2107">
        <v>146465227</v>
      </c>
      <c r="J2107">
        <v>141838513</v>
      </c>
      <c r="P2107">
        <v>18</v>
      </c>
      <c r="Q2107" t="s">
        <v>4540</v>
      </c>
    </row>
    <row r="2108" spans="1:17" x14ac:dyDescent="0.3">
      <c r="A2108" t="s">
        <v>17</v>
      </c>
      <c r="B2108" t="str">
        <f>"688685"</f>
        <v>688685</v>
      </c>
      <c r="C2108" t="s">
        <v>4541</v>
      </c>
      <c r="D2108" t="s">
        <v>98</v>
      </c>
      <c r="F2108">
        <v>152239076</v>
      </c>
      <c r="G2108">
        <v>177067059</v>
      </c>
      <c r="H2108">
        <v>125556118</v>
      </c>
      <c r="I2108">
        <v>97081509</v>
      </c>
      <c r="J2108">
        <v>36558847</v>
      </c>
      <c r="P2108">
        <v>21</v>
      </c>
      <c r="Q2108" t="s">
        <v>4542</v>
      </c>
    </row>
    <row r="2109" spans="1:17" x14ac:dyDescent="0.3">
      <c r="A2109" t="s">
        <v>17</v>
      </c>
      <c r="B2109" t="str">
        <f>"688686"</f>
        <v>688686</v>
      </c>
      <c r="C2109" t="s">
        <v>4543</v>
      </c>
      <c r="D2109" t="s">
        <v>3477</v>
      </c>
      <c r="F2109">
        <v>400435201</v>
      </c>
      <c r="G2109">
        <v>337808678</v>
      </c>
      <c r="H2109">
        <v>179665514</v>
      </c>
      <c r="I2109">
        <v>129794420</v>
      </c>
      <c r="J2109">
        <v>89174666</v>
      </c>
      <c r="P2109">
        <v>117</v>
      </c>
      <c r="Q2109" t="s">
        <v>4544</v>
      </c>
    </row>
    <row r="2110" spans="1:17" x14ac:dyDescent="0.3">
      <c r="A2110" t="s">
        <v>17</v>
      </c>
      <c r="B2110" t="str">
        <f>"688687"</f>
        <v>688687</v>
      </c>
      <c r="C2110" t="s">
        <v>4545</v>
      </c>
      <c r="D2110" t="s">
        <v>1379</v>
      </c>
      <c r="F2110">
        <v>344971502</v>
      </c>
      <c r="G2110">
        <v>224996062</v>
      </c>
      <c r="H2110">
        <v>174240197</v>
      </c>
      <c r="I2110">
        <v>139097527</v>
      </c>
      <c r="J2110">
        <v>78489248</v>
      </c>
      <c r="P2110">
        <v>41</v>
      </c>
      <c r="Q2110" t="s">
        <v>4546</v>
      </c>
    </row>
    <row r="2111" spans="1:17" x14ac:dyDescent="0.3">
      <c r="A2111" t="s">
        <v>17</v>
      </c>
      <c r="B2111" t="str">
        <f>"688688"</f>
        <v>688688</v>
      </c>
      <c r="C2111" t="s">
        <v>4547</v>
      </c>
      <c r="H2111">
        <v>13120156000</v>
      </c>
      <c r="I2111">
        <v>7704952000</v>
      </c>
      <c r="J2111">
        <v>4091321000</v>
      </c>
      <c r="P2111">
        <v>42</v>
      </c>
      <c r="Q2111" t="s">
        <v>4548</v>
      </c>
    </row>
    <row r="2112" spans="1:17" x14ac:dyDescent="0.3">
      <c r="A2112" t="s">
        <v>17</v>
      </c>
      <c r="B2112" t="str">
        <f>"688689"</f>
        <v>688689</v>
      </c>
      <c r="C2112" t="s">
        <v>4549</v>
      </c>
      <c r="D2112" t="s">
        <v>795</v>
      </c>
      <c r="F2112">
        <v>245121419</v>
      </c>
      <c r="G2112">
        <v>150080912</v>
      </c>
      <c r="H2112">
        <v>140821770</v>
      </c>
      <c r="I2112">
        <v>152180594</v>
      </c>
      <c r="J2112">
        <v>165179424</v>
      </c>
      <c r="P2112">
        <v>46</v>
      </c>
      <c r="Q2112" t="s">
        <v>4550</v>
      </c>
    </row>
    <row r="2113" spans="1:17" x14ac:dyDescent="0.3">
      <c r="A2113" t="s">
        <v>17</v>
      </c>
      <c r="B2113" t="str">
        <f>"688690"</f>
        <v>688690</v>
      </c>
      <c r="C2113" t="s">
        <v>4551</v>
      </c>
      <c r="D2113" t="s">
        <v>496</v>
      </c>
      <c r="F2113">
        <v>93540130</v>
      </c>
      <c r="G2113">
        <v>51753820</v>
      </c>
      <c r="H2113">
        <v>33762682</v>
      </c>
      <c r="I2113">
        <v>26144734</v>
      </c>
      <c r="J2113">
        <v>11160232</v>
      </c>
      <c r="P2113">
        <v>116</v>
      </c>
      <c r="Q2113" t="s">
        <v>4552</v>
      </c>
    </row>
    <row r="2114" spans="1:17" x14ac:dyDescent="0.3">
      <c r="A2114" t="s">
        <v>17</v>
      </c>
      <c r="B2114" t="str">
        <f>"688696"</f>
        <v>688696</v>
      </c>
      <c r="C2114" t="s">
        <v>4553</v>
      </c>
      <c r="D2114" t="s">
        <v>137</v>
      </c>
      <c r="F2114">
        <v>86774492</v>
      </c>
      <c r="G2114">
        <v>68602231</v>
      </c>
      <c r="H2114">
        <v>158927535</v>
      </c>
      <c r="I2114">
        <v>56760653</v>
      </c>
      <c r="J2114">
        <v>68722812</v>
      </c>
      <c r="P2114">
        <v>150</v>
      </c>
      <c r="Q2114" t="s">
        <v>4554</v>
      </c>
    </row>
    <row r="2115" spans="1:17" x14ac:dyDescent="0.3">
      <c r="A2115" t="s">
        <v>17</v>
      </c>
      <c r="B2115" t="str">
        <f>"688697"</f>
        <v>688697</v>
      </c>
      <c r="C2115" t="s">
        <v>4555</v>
      </c>
      <c r="D2115" t="s">
        <v>2321</v>
      </c>
      <c r="F2115">
        <v>129823476</v>
      </c>
      <c r="G2115">
        <v>81469716</v>
      </c>
      <c r="H2115">
        <v>84252072</v>
      </c>
      <c r="I2115">
        <v>102315463</v>
      </c>
      <c r="J2115">
        <v>107226208</v>
      </c>
      <c r="P2115">
        <v>16</v>
      </c>
      <c r="Q2115" t="s">
        <v>4556</v>
      </c>
    </row>
    <row r="2116" spans="1:17" x14ac:dyDescent="0.3">
      <c r="A2116" t="s">
        <v>17</v>
      </c>
      <c r="B2116" t="str">
        <f>"688698"</f>
        <v>688698</v>
      </c>
      <c r="C2116" t="s">
        <v>4557</v>
      </c>
      <c r="D2116" t="s">
        <v>2432</v>
      </c>
      <c r="F2116">
        <v>210523790</v>
      </c>
      <c r="G2116">
        <v>143767535</v>
      </c>
      <c r="H2116">
        <v>107011127</v>
      </c>
      <c r="I2116">
        <v>104672896</v>
      </c>
      <c r="J2116">
        <v>105688533</v>
      </c>
      <c r="P2116">
        <v>74</v>
      </c>
      <c r="Q2116" t="s">
        <v>4558</v>
      </c>
    </row>
    <row r="2117" spans="1:17" x14ac:dyDescent="0.3">
      <c r="A2117" t="s">
        <v>17</v>
      </c>
      <c r="B2117" t="str">
        <f>"688699"</f>
        <v>688699</v>
      </c>
      <c r="C2117" t="s">
        <v>4559</v>
      </c>
      <c r="D2117" t="s">
        <v>401</v>
      </c>
      <c r="F2117">
        <v>56876610</v>
      </c>
      <c r="G2117">
        <v>39660548</v>
      </c>
      <c r="H2117">
        <v>34629783</v>
      </c>
      <c r="I2117">
        <v>31233059</v>
      </c>
      <c r="J2117">
        <v>18413933</v>
      </c>
      <c r="K2117">
        <v>32552489</v>
      </c>
      <c r="P2117">
        <v>140</v>
      </c>
      <c r="Q2117" t="s">
        <v>4560</v>
      </c>
    </row>
    <row r="2118" spans="1:17" x14ac:dyDescent="0.3">
      <c r="A2118" t="s">
        <v>17</v>
      </c>
      <c r="B2118" t="str">
        <f>"688700"</f>
        <v>688700</v>
      </c>
      <c r="C2118" t="s">
        <v>4561</v>
      </c>
      <c r="D2118" t="s">
        <v>741</v>
      </c>
      <c r="F2118">
        <v>434706150</v>
      </c>
      <c r="G2118">
        <v>292401524</v>
      </c>
      <c r="H2118">
        <v>202000189</v>
      </c>
      <c r="I2118">
        <v>229739573</v>
      </c>
      <c r="J2118">
        <v>222883104</v>
      </c>
      <c r="P2118">
        <v>34</v>
      </c>
      <c r="Q2118" t="s">
        <v>4562</v>
      </c>
    </row>
    <row r="2119" spans="1:17" x14ac:dyDescent="0.3">
      <c r="A2119" t="s">
        <v>17</v>
      </c>
      <c r="B2119" t="str">
        <f>"688701"</f>
        <v>688701</v>
      </c>
      <c r="C2119" t="s">
        <v>4563</v>
      </c>
      <c r="D2119" t="s">
        <v>3575</v>
      </c>
      <c r="F2119">
        <v>381156061</v>
      </c>
      <c r="G2119">
        <v>255223480</v>
      </c>
      <c r="H2119">
        <v>181176679</v>
      </c>
      <c r="I2119">
        <v>175241661</v>
      </c>
      <c r="J2119">
        <v>101043683</v>
      </c>
      <c r="P2119">
        <v>19</v>
      </c>
      <c r="Q2119" t="s">
        <v>4564</v>
      </c>
    </row>
    <row r="2120" spans="1:17" x14ac:dyDescent="0.3">
      <c r="A2120" t="s">
        <v>17</v>
      </c>
      <c r="B2120" t="str">
        <f>"688707"</f>
        <v>688707</v>
      </c>
      <c r="C2120" t="s">
        <v>4565</v>
      </c>
      <c r="D2120" t="s">
        <v>1790</v>
      </c>
      <c r="F2120">
        <v>964672391</v>
      </c>
      <c r="G2120">
        <v>470054602</v>
      </c>
      <c r="H2120">
        <v>420821653</v>
      </c>
      <c r="I2120">
        <v>518940691</v>
      </c>
      <c r="J2120">
        <v>222441691</v>
      </c>
      <c r="P2120">
        <v>31</v>
      </c>
      <c r="Q2120" t="s">
        <v>4566</v>
      </c>
    </row>
    <row r="2121" spans="1:17" x14ac:dyDescent="0.3">
      <c r="A2121" t="s">
        <v>17</v>
      </c>
      <c r="B2121" t="str">
        <f>"688711"</f>
        <v>688711</v>
      </c>
      <c r="C2121" t="s">
        <v>4567</v>
      </c>
      <c r="D2121" t="s">
        <v>795</v>
      </c>
      <c r="F2121">
        <v>177297089</v>
      </c>
      <c r="G2121">
        <v>103721778</v>
      </c>
      <c r="H2121">
        <v>82130388</v>
      </c>
      <c r="I2121">
        <v>88943516</v>
      </c>
      <c r="J2121">
        <v>90636306</v>
      </c>
      <c r="P2121">
        <v>38</v>
      </c>
      <c r="Q2121" t="s">
        <v>4568</v>
      </c>
    </row>
    <row r="2122" spans="1:17" x14ac:dyDescent="0.3">
      <c r="A2122" t="s">
        <v>17</v>
      </c>
      <c r="B2122" t="str">
        <f>"688718"</f>
        <v>688718</v>
      </c>
      <c r="C2122" t="s">
        <v>4569</v>
      </c>
      <c r="D2122" t="s">
        <v>324</v>
      </c>
      <c r="F2122">
        <v>82424457</v>
      </c>
      <c r="G2122">
        <v>62089869</v>
      </c>
      <c r="H2122">
        <v>64181839</v>
      </c>
      <c r="I2122">
        <v>64580005</v>
      </c>
      <c r="J2122">
        <v>61767749</v>
      </c>
      <c r="P2122">
        <v>20</v>
      </c>
      <c r="Q2122" t="s">
        <v>4570</v>
      </c>
    </row>
    <row r="2123" spans="1:17" x14ac:dyDescent="0.3">
      <c r="A2123" t="s">
        <v>17</v>
      </c>
      <c r="B2123" t="str">
        <f>"688722"</f>
        <v>688722</v>
      </c>
      <c r="C2123" t="s">
        <v>4571</v>
      </c>
      <c r="D2123" t="s">
        <v>146</v>
      </c>
      <c r="F2123">
        <v>13233759</v>
      </c>
      <c r="G2123">
        <v>7423863</v>
      </c>
      <c r="H2123">
        <v>6365352</v>
      </c>
      <c r="I2123">
        <v>4865811</v>
      </c>
      <c r="J2123">
        <v>10203484</v>
      </c>
      <c r="P2123">
        <v>13</v>
      </c>
      <c r="Q2123" t="s">
        <v>4572</v>
      </c>
    </row>
    <row r="2124" spans="1:17" x14ac:dyDescent="0.3">
      <c r="A2124" t="s">
        <v>17</v>
      </c>
      <c r="B2124" t="str">
        <f>"688728"</f>
        <v>688728</v>
      </c>
      <c r="C2124" t="s">
        <v>4573</v>
      </c>
      <c r="D2124" t="s">
        <v>461</v>
      </c>
      <c r="F2124">
        <v>317391703</v>
      </c>
      <c r="G2124">
        <v>392161674</v>
      </c>
      <c r="H2124">
        <v>327891882</v>
      </c>
      <c r="I2124">
        <v>282605523</v>
      </c>
      <c r="J2124">
        <v>243498629</v>
      </c>
      <c r="P2124">
        <v>58</v>
      </c>
      <c r="Q2124" t="s">
        <v>4574</v>
      </c>
    </row>
    <row r="2125" spans="1:17" x14ac:dyDescent="0.3">
      <c r="A2125" t="s">
        <v>17</v>
      </c>
      <c r="B2125" t="str">
        <f>"688733"</f>
        <v>688733</v>
      </c>
      <c r="C2125" t="s">
        <v>4575</v>
      </c>
      <c r="D2125" t="s">
        <v>1790</v>
      </c>
      <c r="F2125">
        <v>149152427</v>
      </c>
      <c r="G2125">
        <v>77552286</v>
      </c>
      <c r="H2125">
        <v>52218016</v>
      </c>
      <c r="I2125">
        <v>34040335</v>
      </c>
      <c r="J2125">
        <v>14875109</v>
      </c>
      <c r="P2125">
        <v>47</v>
      </c>
      <c r="Q2125" t="s">
        <v>4576</v>
      </c>
    </row>
    <row r="2126" spans="1:17" x14ac:dyDescent="0.3">
      <c r="A2126" t="s">
        <v>17</v>
      </c>
      <c r="B2126" t="str">
        <f>"688737"</f>
        <v>688737</v>
      </c>
      <c r="C2126" t="s">
        <v>4577</v>
      </c>
      <c r="D2126" t="s">
        <v>985</v>
      </c>
      <c r="F2126">
        <v>489375655</v>
      </c>
      <c r="G2126">
        <v>671809628</v>
      </c>
      <c r="H2126">
        <v>173117549</v>
      </c>
      <c r="I2126">
        <v>173617543</v>
      </c>
      <c r="J2126">
        <v>133010866</v>
      </c>
      <c r="P2126">
        <v>15</v>
      </c>
      <c r="Q2126" t="s">
        <v>4578</v>
      </c>
    </row>
    <row r="2127" spans="1:17" x14ac:dyDescent="0.3">
      <c r="A2127" t="s">
        <v>17</v>
      </c>
      <c r="B2127" t="str">
        <f>"688739"</f>
        <v>688739</v>
      </c>
      <c r="C2127" t="s">
        <v>4579</v>
      </c>
      <c r="D2127" t="s">
        <v>1499</v>
      </c>
      <c r="F2127">
        <v>958173372</v>
      </c>
      <c r="G2127">
        <v>510922958</v>
      </c>
      <c r="H2127">
        <v>521968390</v>
      </c>
      <c r="I2127">
        <v>479850437</v>
      </c>
      <c r="J2127">
        <v>481879861</v>
      </c>
      <c r="P2127">
        <v>36</v>
      </c>
      <c r="Q2127" t="s">
        <v>4580</v>
      </c>
    </row>
    <row r="2128" spans="1:17" x14ac:dyDescent="0.3">
      <c r="A2128" t="s">
        <v>17</v>
      </c>
      <c r="B2128" t="str">
        <f>"688766"</f>
        <v>688766</v>
      </c>
      <c r="C2128" t="s">
        <v>4581</v>
      </c>
      <c r="D2128" t="s">
        <v>461</v>
      </c>
      <c r="F2128">
        <v>200223390</v>
      </c>
      <c r="G2128">
        <v>145086168</v>
      </c>
      <c r="H2128">
        <v>48958121</v>
      </c>
      <c r="I2128">
        <v>41687346</v>
      </c>
      <c r="J2128">
        <v>19429253</v>
      </c>
      <c r="P2128">
        <v>42</v>
      </c>
      <c r="Q2128" t="s">
        <v>4582</v>
      </c>
    </row>
    <row r="2129" spans="1:17" x14ac:dyDescent="0.3">
      <c r="A2129" t="s">
        <v>17</v>
      </c>
      <c r="B2129" t="str">
        <f>"688767"</f>
        <v>688767</v>
      </c>
      <c r="C2129" t="s">
        <v>4583</v>
      </c>
      <c r="D2129" t="s">
        <v>1305</v>
      </c>
      <c r="F2129">
        <v>146907010</v>
      </c>
      <c r="G2129">
        <v>96264470</v>
      </c>
      <c r="H2129">
        <v>40230542</v>
      </c>
      <c r="I2129">
        <v>29121660</v>
      </c>
      <c r="J2129">
        <v>21941685</v>
      </c>
      <c r="P2129">
        <v>43</v>
      </c>
      <c r="Q2129" t="s">
        <v>4584</v>
      </c>
    </row>
    <row r="2130" spans="1:17" x14ac:dyDescent="0.3">
      <c r="A2130" t="s">
        <v>17</v>
      </c>
      <c r="B2130" t="str">
        <f>"688768"</f>
        <v>688768</v>
      </c>
      <c r="C2130" t="s">
        <v>4585</v>
      </c>
      <c r="D2130" t="s">
        <v>2566</v>
      </c>
      <c r="F2130">
        <v>219962996</v>
      </c>
      <c r="G2130">
        <v>148311238</v>
      </c>
      <c r="H2130">
        <v>149124432</v>
      </c>
      <c r="I2130">
        <v>123988456</v>
      </c>
      <c r="J2130">
        <v>92207453</v>
      </c>
      <c r="P2130">
        <v>30</v>
      </c>
      <c r="Q2130" t="s">
        <v>4586</v>
      </c>
    </row>
    <row r="2131" spans="1:17" x14ac:dyDescent="0.3">
      <c r="A2131" t="s">
        <v>17</v>
      </c>
      <c r="B2131" t="str">
        <f>"688772"</f>
        <v>688772</v>
      </c>
      <c r="C2131" t="s">
        <v>4587</v>
      </c>
      <c r="D2131" t="s">
        <v>359</v>
      </c>
      <c r="F2131">
        <v>2937031818</v>
      </c>
      <c r="G2131">
        <v>2346799579</v>
      </c>
      <c r="H2131">
        <v>1722278456</v>
      </c>
      <c r="I2131">
        <v>1411590658</v>
      </c>
      <c r="J2131">
        <v>919277587</v>
      </c>
      <c r="P2131">
        <v>33</v>
      </c>
      <c r="Q2131" t="s">
        <v>4588</v>
      </c>
    </row>
    <row r="2132" spans="1:17" x14ac:dyDescent="0.3">
      <c r="A2132" t="s">
        <v>17</v>
      </c>
      <c r="B2132" t="str">
        <f>"688776"</f>
        <v>688776</v>
      </c>
      <c r="C2132" t="s">
        <v>4589</v>
      </c>
      <c r="D2132" t="s">
        <v>1136</v>
      </c>
      <c r="F2132">
        <v>458062201</v>
      </c>
      <c r="G2132">
        <v>258584397</v>
      </c>
      <c r="H2132">
        <v>163678527</v>
      </c>
      <c r="I2132">
        <v>148519442</v>
      </c>
      <c r="J2132">
        <v>138945250</v>
      </c>
      <c r="P2132">
        <v>23</v>
      </c>
      <c r="Q2132" t="s">
        <v>4590</v>
      </c>
    </row>
    <row r="2133" spans="1:17" x14ac:dyDescent="0.3">
      <c r="A2133" t="s">
        <v>17</v>
      </c>
      <c r="B2133" t="str">
        <f>"688777"</f>
        <v>688777</v>
      </c>
      <c r="C2133" t="s">
        <v>4591</v>
      </c>
      <c r="D2133" t="s">
        <v>2432</v>
      </c>
      <c r="F2133">
        <v>1044195152</v>
      </c>
      <c r="G2133">
        <v>713592721</v>
      </c>
      <c r="H2133">
        <v>779020247</v>
      </c>
      <c r="I2133">
        <v>706266653</v>
      </c>
      <c r="J2133">
        <v>697632907</v>
      </c>
      <c r="K2133">
        <v>752470377</v>
      </c>
      <c r="P2133">
        <v>180</v>
      </c>
      <c r="Q2133" t="s">
        <v>4592</v>
      </c>
    </row>
    <row r="2134" spans="1:17" x14ac:dyDescent="0.3">
      <c r="A2134" t="s">
        <v>17</v>
      </c>
      <c r="B2134" t="str">
        <f>"688778"</f>
        <v>688778</v>
      </c>
      <c r="C2134" t="s">
        <v>4593</v>
      </c>
      <c r="D2134" t="s">
        <v>1790</v>
      </c>
      <c r="F2134">
        <v>2953734709</v>
      </c>
      <c r="G2134">
        <v>1234540796</v>
      </c>
      <c r="H2134">
        <v>659595746</v>
      </c>
      <c r="I2134">
        <v>881078987</v>
      </c>
      <c r="J2134">
        <v>499240299</v>
      </c>
      <c r="P2134">
        <v>44</v>
      </c>
      <c r="Q2134" t="s">
        <v>4594</v>
      </c>
    </row>
    <row r="2135" spans="1:17" x14ac:dyDescent="0.3">
      <c r="A2135" t="s">
        <v>17</v>
      </c>
      <c r="B2135" t="str">
        <f>"688779"</f>
        <v>688779</v>
      </c>
      <c r="C2135" t="s">
        <v>4595</v>
      </c>
      <c r="D2135" t="s">
        <v>1790</v>
      </c>
      <c r="F2135">
        <v>2202785199</v>
      </c>
      <c r="G2135">
        <v>969954684</v>
      </c>
      <c r="H2135">
        <v>643760246</v>
      </c>
      <c r="I2135">
        <v>709439526</v>
      </c>
      <c r="J2135">
        <v>460883433</v>
      </c>
      <c r="P2135">
        <v>53</v>
      </c>
      <c r="Q2135" t="s">
        <v>4596</v>
      </c>
    </row>
    <row r="2136" spans="1:17" x14ac:dyDescent="0.3">
      <c r="A2136" t="s">
        <v>17</v>
      </c>
      <c r="B2136" t="str">
        <f>"688786"</f>
        <v>688786</v>
      </c>
      <c r="C2136" t="s">
        <v>4597</v>
      </c>
      <c r="D2136" t="s">
        <v>581</v>
      </c>
      <c r="F2136">
        <v>91336111</v>
      </c>
      <c r="G2136">
        <v>99936217</v>
      </c>
      <c r="H2136">
        <v>73854072</v>
      </c>
      <c r="I2136">
        <v>38682721</v>
      </c>
      <c r="J2136">
        <v>18603764</v>
      </c>
      <c r="P2136">
        <v>31</v>
      </c>
      <c r="Q2136" t="s">
        <v>4598</v>
      </c>
    </row>
    <row r="2137" spans="1:17" x14ac:dyDescent="0.3">
      <c r="A2137" t="s">
        <v>17</v>
      </c>
      <c r="B2137" t="str">
        <f>"688787"</f>
        <v>688787</v>
      </c>
      <c r="C2137" t="s">
        <v>4599</v>
      </c>
      <c r="D2137" t="s">
        <v>316</v>
      </c>
      <c r="F2137">
        <v>90196484</v>
      </c>
      <c r="G2137">
        <v>62782915</v>
      </c>
      <c r="H2137">
        <v>43645483</v>
      </c>
      <c r="I2137">
        <v>29389643</v>
      </c>
      <c r="J2137">
        <v>25155785</v>
      </c>
      <c r="K2137">
        <v>16842399</v>
      </c>
      <c r="P2137">
        <v>32</v>
      </c>
      <c r="Q2137" t="s">
        <v>4600</v>
      </c>
    </row>
    <row r="2138" spans="1:17" x14ac:dyDescent="0.3">
      <c r="A2138" t="s">
        <v>17</v>
      </c>
      <c r="B2138" t="str">
        <f>"688788"</f>
        <v>688788</v>
      </c>
      <c r="C2138" t="s">
        <v>4601</v>
      </c>
      <c r="D2138" t="s">
        <v>1136</v>
      </c>
      <c r="F2138">
        <v>898259706</v>
      </c>
      <c r="G2138">
        <v>777634952</v>
      </c>
      <c r="H2138">
        <v>838841540</v>
      </c>
      <c r="I2138">
        <v>415817925</v>
      </c>
      <c r="J2138">
        <v>48246226</v>
      </c>
      <c r="P2138">
        <v>57</v>
      </c>
      <c r="Q2138" t="s">
        <v>4602</v>
      </c>
    </row>
    <row r="2139" spans="1:17" x14ac:dyDescent="0.3">
      <c r="A2139" t="s">
        <v>17</v>
      </c>
      <c r="B2139" t="str">
        <f>"688789"</f>
        <v>688789</v>
      </c>
      <c r="C2139" t="s">
        <v>4603</v>
      </c>
      <c r="D2139" t="s">
        <v>534</v>
      </c>
      <c r="F2139">
        <v>275507284</v>
      </c>
      <c r="G2139">
        <v>199447898</v>
      </c>
      <c r="H2139">
        <v>111491853</v>
      </c>
      <c r="I2139">
        <v>84951967</v>
      </c>
      <c r="J2139">
        <v>59917329</v>
      </c>
      <c r="P2139">
        <v>43</v>
      </c>
      <c r="Q2139" t="s">
        <v>4604</v>
      </c>
    </row>
    <row r="2140" spans="1:17" x14ac:dyDescent="0.3">
      <c r="A2140" t="s">
        <v>17</v>
      </c>
      <c r="B2140" t="str">
        <f>"688793"</f>
        <v>688793</v>
      </c>
      <c r="C2140" t="s">
        <v>4605</v>
      </c>
      <c r="D2140" t="s">
        <v>3364</v>
      </c>
      <c r="F2140">
        <v>79095579</v>
      </c>
      <c r="G2140">
        <v>79498743</v>
      </c>
      <c r="H2140">
        <v>76569737</v>
      </c>
      <c r="I2140">
        <v>47044993</v>
      </c>
      <c r="J2140">
        <v>33464129</v>
      </c>
      <c r="P2140">
        <v>48</v>
      </c>
      <c r="Q2140" t="s">
        <v>4606</v>
      </c>
    </row>
    <row r="2141" spans="1:17" x14ac:dyDescent="0.3">
      <c r="A2141" t="s">
        <v>17</v>
      </c>
      <c r="B2141" t="str">
        <f>"688798"</f>
        <v>688798</v>
      </c>
      <c r="C2141" t="s">
        <v>4607</v>
      </c>
      <c r="D2141" t="s">
        <v>401</v>
      </c>
      <c r="F2141">
        <v>34334132</v>
      </c>
      <c r="G2141">
        <v>17297050</v>
      </c>
      <c r="H2141">
        <v>25833782</v>
      </c>
      <c r="I2141">
        <v>1700880</v>
      </c>
      <c r="J2141">
        <v>9145997</v>
      </c>
      <c r="P2141">
        <v>67</v>
      </c>
      <c r="Q2141" t="s">
        <v>4608</v>
      </c>
    </row>
    <row r="2142" spans="1:17" x14ac:dyDescent="0.3">
      <c r="A2142" t="s">
        <v>17</v>
      </c>
      <c r="B2142" t="str">
        <f>"688799"</f>
        <v>688799</v>
      </c>
      <c r="C2142" t="s">
        <v>4609</v>
      </c>
      <c r="D2142" t="s">
        <v>143</v>
      </c>
      <c r="F2142">
        <v>122123559</v>
      </c>
      <c r="G2142">
        <v>113436452</v>
      </c>
      <c r="H2142">
        <v>84772834</v>
      </c>
      <c r="I2142">
        <v>74415054</v>
      </c>
      <c r="J2142">
        <v>39204747</v>
      </c>
      <c r="P2142">
        <v>35</v>
      </c>
      <c r="Q2142" t="s">
        <v>4610</v>
      </c>
    </row>
    <row r="2143" spans="1:17" x14ac:dyDescent="0.3">
      <c r="A2143" t="s">
        <v>17</v>
      </c>
      <c r="B2143" t="str">
        <f>"688800"</f>
        <v>688800</v>
      </c>
      <c r="C2143" t="s">
        <v>4611</v>
      </c>
      <c r="D2143" t="s">
        <v>651</v>
      </c>
      <c r="F2143">
        <v>369179183</v>
      </c>
      <c r="G2143">
        <v>202467044</v>
      </c>
      <c r="H2143">
        <v>230478165</v>
      </c>
      <c r="I2143">
        <v>237927394</v>
      </c>
      <c r="J2143">
        <v>202633762</v>
      </c>
      <c r="P2143">
        <v>51</v>
      </c>
      <c r="Q2143" t="s">
        <v>4612</v>
      </c>
    </row>
    <row r="2144" spans="1:17" x14ac:dyDescent="0.3">
      <c r="A2144" t="s">
        <v>17</v>
      </c>
      <c r="B2144" t="str">
        <f>"688819"</f>
        <v>688819</v>
      </c>
      <c r="C2144" t="s">
        <v>4613</v>
      </c>
      <c r="D2144" t="s">
        <v>555</v>
      </c>
      <c r="F2144">
        <v>1125048094</v>
      </c>
      <c r="G2144">
        <v>1001529165</v>
      </c>
      <c r="H2144">
        <v>859318193</v>
      </c>
      <c r="I2144">
        <v>644527990</v>
      </c>
      <c r="J2144">
        <v>691843657</v>
      </c>
      <c r="K2144">
        <v>730682462</v>
      </c>
      <c r="P2144">
        <v>159</v>
      </c>
      <c r="Q2144" t="s">
        <v>4614</v>
      </c>
    </row>
    <row r="2145" spans="1:17" x14ac:dyDescent="0.3">
      <c r="A2145" t="s">
        <v>17</v>
      </c>
      <c r="B2145" t="str">
        <f>"688981"</f>
        <v>688981</v>
      </c>
      <c r="C2145" t="s">
        <v>4615</v>
      </c>
      <c r="D2145" t="s">
        <v>4332</v>
      </c>
      <c r="F2145">
        <v>4397088000</v>
      </c>
      <c r="G2145">
        <v>2901820000</v>
      </c>
      <c r="H2145">
        <v>3283284870</v>
      </c>
      <c r="I2145">
        <v>2966804352</v>
      </c>
      <c r="J2145">
        <v>2615569268</v>
      </c>
      <c r="P2145">
        <v>1041</v>
      </c>
      <c r="Q2145" t="s">
        <v>4616</v>
      </c>
    </row>
    <row r="2146" spans="1:17" x14ac:dyDescent="0.3">
      <c r="A2146" t="s">
        <v>17</v>
      </c>
      <c r="B2146" t="str">
        <f>"689009"</f>
        <v>689009</v>
      </c>
      <c r="C2146" t="s">
        <v>4617</v>
      </c>
      <c r="D2146" t="s">
        <v>233</v>
      </c>
      <c r="F2146">
        <v>770937362</v>
      </c>
      <c r="G2146">
        <v>756645326</v>
      </c>
      <c r="H2146">
        <v>305161063</v>
      </c>
      <c r="I2146">
        <v>843428050</v>
      </c>
      <c r="J2146">
        <v>130163072</v>
      </c>
      <c r="K2146">
        <v>229291485</v>
      </c>
      <c r="P2146">
        <v>114</v>
      </c>
      <c r="Q2146" t="s">
        <v>4618</v>
      </c>
    </row>
    <row r="2147" spans="1:17" x14ac:dyDescent="0.3">
      <c r="A2147" t="s">
        <v>17</v>
      </c>
      <c r="B2147" t="str">
        <f>"900901"</f>
        <v>900901</v>
      </c>
      <c r="C2147" t="s">
        <v>4619</v>
      </c>
      <c r="G2147">
        <v>129586722.87090001</v>
      </c>
      <c r="H2147">
        <v>119463915.912</v>
      </c>
      <c r="I2147">
        <v>130645468.69760001</v>
      </c>
      <c r="J2147">
        <v>175273921.2288</v>
      </c>
      <c r="K2147">
        <v>120912807.31200001</v>
      </c>
      <c r="L2147">
        <v>88710123.656000003</v>
      </c>
      <c r="M2147">
        <v>43299367.638800003</v>
      </c>
      <c r="N2147">
        <v>28804154.708000001</v>
      </c>
      <c r="O2147">
        <v>28401072.2205</v>
      </c>
      <c r="P2147">
        <v>7</v>
      </c>
      <c r="Q2147" t="s">
        <v>4620</v>
      </c>
    </row>
    <row r="2148" spans="1:17" x14ac:dyDescent="0.3">
      <c r="A2148" t="s">
        <v>17</v>
      </c>
      <c r="B2148" t="str">
        <f>"900902"</f>
        <v>900902</v>
      </c>
      <c r="C2148" t="s">
        <v>4621</v>
      </c>
      <c r="G2148">
        <v>12713943.242000001</v>
      </c>
      <c r="H2148">
        <v>59575433.812399998</v>
      </c>
      <c r="I2148">
        <v>9586025.7100000009</v>
      </c>
      <c r="J2148">
        <v>7485985.6896000002</v>
      </c>
      <c r="K2148">
        <v>7690908.8159999996</v>
      </c>
      <c r="L2148">
        <v>66294866.329999998</v>
      </c>
      <c r="M2148">
        <v>4370768.74</v>
      </c>
      <c r="N2148">
        <v>21715160.535599999</v>
      </c>
      <c r="O2148">
        <v>16805751.646499999</v>
      </c>
      <c r="P2148">
        <v>10</v>
      </c>
      <c r="Q2148" t="s">
        <v>4622</v>
      </c>
    </row>
    <row r="2149" spans="1:17" x14ac:dyDescent="0.3">
      <c r="A2149" t="s">
        <v>17</v>
      </c>
      <c r="B2149" t="str">
        <f>"900903"</f>
        <v>900903</v>
      </c>
      <c r="C2149" t="s">
        <v>4623</v>
      </c>
      <c r="G2149">
        <v>18917023.027899999</v>
      </c>
      <c r="H2149">
        <v>23220623.0308</v>
      </c>
      <c r="I2149">
        <v>19557483.556000002</v>
      </c>
      <c r="J2149">
        <v>17776284.057599999</v>
      </c>
      <c r="K2149">
        <v>18481432.32</v>
      </c>
      <c r="L2149">
        <v>19582240.061999999</v>
      </c>
      <c r="M2149">
        <v>21445188.9652</v>
      </c>
      <c r="N2149">
        <v>21169674.926399998</v>
      </c>
      <c r="O2149">
        <v>20353214.452500001</v>
      </c>
      <c r="P2149">
        <v>32</v>
      </c>
      <c r="Q2149" t="s">
        <v>4624</v>
      </c>
    </row>
    <row r="2150" spans="1:17" x14ac:dyDescent="0.3">
      <c r="A2150" t="s">
        <v>17</v>
      </c>
      <c r="B2150" t="str">
        <f>"900904"</f>
        <v>900904</v>
      </c>
      <c r="C2150" t="s">
        <v>4625</v>
      </c>
      <c r="G2150">
        <v>74516485.004099995</v>
      </c>
      <c r="H2150">
        <v>111470241.4068</v>
      </c>
      <c r="I2150">
        <v>126479685.8522</v>
      </c>
      <c r="J2150">
        <v>140279469.7728</v>
      </c>
      <c r="K2150">
        <v>122736705.12</v>
      </c>
      <c r="L2150">
        <v>99208020.912</v>
      </c>
      <c r="M2150">
        <v>81090782.266000003</v>
      </c>
      <c r="N2150">
        <v>55818300.509999998</v>
      </c>
      <c r="O2150">
        <v>9612981.2219999991</v>
      </c>
      <c r="P2150">
        <v>8</v>
      </c>
      <c r="Q2150" t="s">
        <v>4626</v>
      </c>
    </row>
    <row r="2151" spans="1:17" x14ac:dyDescent="0.3">
      <c r="A2151" t="s">
        <v>17</v>
      </c>
      <c r="B2151" t="str">
        <f>"900905"</f>
        <v>900905</v>
      </c>
      <c r="C2151" t="s">
        <v>4627</v>
      </c>
      <c r="G2151">
        <v>22952441.4791</v>
      </c>
      <c r="H2151">
        <v>53363533.460000001</v>
      </c>
      <c r="I2151">
        <v>64480232.950800002</v>
      </c>
      <c r="J2151">
        <v>104881832.90880001</v>
      </c>
      <c r="K2151">
        <v>66620752.416000001</v>
      </c>
      <c r="L2151">
        <v>70265845.187999994</v>
      </c>
      <c r="M2151">
        <v>42977364.351999998</v>
      </c>
      <c r="N2151">
        <v>28161445.9252</v>
      </c>
      <c r="O2151">
        <v>41790377.692500003</v>
      </c>
      <c r="P2151">
        <v>473</v>
      </c>
      <c r="Q2151" t="s">
        <v>4628</v>
      </c>
    </row>
    <row r="2152" spans="1:17" x14ac:dyDescent="0.3">
      <c r="A2152" t="s">
        <v>17</v>
      </c>
      <c r="B2152" t="str">
        <f>"900906"</f>
        <v>900906</v>
      </c>
      <c r="C2152" t="s">
        <v>4629</v>
      </c>
      <c r="G2152">
        <v>4032338.6910000001</v>
      </c>
      <c r="H2152">
        <v>3463477.3428000002</v>
      </c>
      <c r="I2152">
        <v>0</v>
      </c>
      <c r="J2152">
        <v>2810560.0512000001</v>
      </c>
      <c r="K2152">
        <v>11386810.368000001</v>
      </c>
      <c r="L2152">
        <v>1759227.162</v>
      </c>
      <c r="M2152">
        <v>1368419.2235999999</v>
      </c>
      <c r="N2152">
        <v>644988.21239999996</v>
      </c>
      <c r="O2152">
        <v>1705599.9554999999</v>
      </c>
      <c r="P2152">
        <v>4</v>
      </c>
      <c r="Q2152" t="s">
        <v>4630</v>
      </c>
    </row>
    <row r="2153" spans="1:17" x14ac:dyDescent="0.3">
      <c r="A2153" t="s">
        <v>17</v>
      </c>
      <c r="B2153" t="str">
        <f>"900907"</f>
        <v>900907</v>
      </c>
      <c r="C2153" t="s">
        <v>4631</v>
      </c>
      <c r="G2153">
        <v>51833061.757799998</v>
      </c>
      <c r="H2153">
        <v>53969365.776799999</v>
      </c>
      <c r="I2153">
        <v>83918263.282199994</v>
      </c>
      <c r="J2153">
        <v>37418685.696000002</v>
      </c>
      <c r="K2153">
        <v>21721335.120000001</v>
      </c>
      <c r="L2153">
        <v>15427235.823999999</v>
      </c>
      <c r="M2153">
        <v>19865694.461599998</v>
      </c>
      <c r="N2153">
        <v>31267556.479600001</v>
      </c>
      <c r="O2153">
        <v>31158523.050000001</v>
      </c>
      <c r="P2153">
        <v>4</v>
      </c>
      <c r="Q2153" t="s">
        <v>4632</v>
      </c>
    </row>
    <row r="2154" spans="1:17" x14ac:dyDescent="0.3">
      <c r="A2154" t="s">
        <v>17</v>
      </c>
      <c r="B2154" t="str">
        <f>"900908"</f>
        <v>900908</v>
      </c>
      <c r="C2154" t="s">
        <v>4633</v>
      </c>
      <c r="G2154">
        <v>29690389.588399999</v>
      </c>
      <c r="H2154">
        <v>27700020.831599999</v>
      </c>
      <c r="I2154">
        <v>27888586.4386</v>
      </c>
      <c r="J2154">
        <v>31024585.728</v>
      </c>
      <c r="K2154">
        <v>29127218.112</v>
      </c>
      <c r="L2154">
        <v>39892865.32</v>
      </c>
      <c r="M2154">
        <v>51890673.328000002</v>
      </c>
      <c r="N2154">
        <v>36275504.776000001</v>
      </c>
      <c r="O2154">
        <v>45112265.612999998</v>
      </c>
      <c r="P2154">
        <v>50</v>
      </c>
      <c r="Q2154" t="s">
        <v>4634</v>
      </c>
    </row>
    <row r="2155" spans="1:17" x14ac:dyDescent="0.3">
      <c r="A2155" t="s">
        <v>17</v>
      </c>
      <c r="B2155" t="str">
        <f>"900909"</f>
        <v>900909</v>
      </c>
      <c r="C2155" t="s">
        <v>4635</v>
      </c>
      <c r="G2155">
        <v>281317873.62379998</v>
      </c>
      <c r="H2155">
        <v>278548868.1164</v>
      </c>
      <c r="I2155">
        <v>286058749.98119998</v>
      </c>
      <c r="J2155">
        <v>264647164.41600001</v>
      </c>
      <c r="K2155">
        <v>298552088.736</v>
      </c>
      <c r="L2155">
        <v>284277016.10000002</v>
      </c>
      <c r="M2155">
        <v>231778598.19400001</v>
      </c>
      <c r="N2155">
        <v>202946442.93279999</v>
      </c>
      <c r="O2155">
        <v>172792392.618</v>
      </c>
      <c r="P2155">
        <v>24</v>
      </c>
      <c r="Q2155" t="s">
        <v>4636</v>
      </c>
    </row>
    <row r="2156" spans="1:17" x14ac:dyDescent="0.3">
      <c r="A2156" t="s">
        <v>17</v>
      </c>
      <c r="B2156" t="str">
        <f>"900910"</f>
        <v>900910</v>
      </c>
      <c r="C2156" t="s">
        <v>4637</v>
      </c>
      <c r="G2156">
        <v>471032303.55849999</v>
      </c>
      <c r="H2156">
        <v>415814319.86559999</v>
      </c>
      <c r="I2156">
        <v>317325425.81559998</v>
      </c>
      <c r="J2156">
        <v>298643710.31040001</v>
      </c>
      <c r="K2156">
        <v>274918609.44</v>
      </c>
      <c r="L2156">
        <v>253708133.91</v>
      </c>
      <c r="M2156">
        <v>236475304.62920001</v>
      </c>
      <c r="N2156">
        <v>242207117.49079999</v>
      </c>
      <c r="O2156">
        <v>240507812.241</v>
      </c>
      <c r="P2156">
        <v>13</v>
      </c>
      <c r="Q2156" t="s">
        <v>4638</v>
      </c>
    </row>
    <row r="2157" spans="1:17" x14ac:dyDescent="0.3">
      <c r="A2157" t="s">
        <v>17</v>
      </c>
      <c r="B2157" t="str">
        <f>"900911"</f>
        <v>900911</v>
      </c>
      <c r="C2157" t="s">
        <v>4639</v>
      </c>
      <c r="G2157">
        <v>23020815.491500001</v>
      </c>
      <c r="H2157">
        <v>26031245.088</v>
      </c>
      <c r="I2157">
        <v>29587879.291999999</v>
      </c>
      <c r="J2157">
        <v>31951224.729600001</v>
      </c>
      <c r="K2157">
        <v>21550617.359999999</v>
      </c>
      <c r="L2157">
        <v>12809714.148</v>
      </c>
      <c r="M2157">
        <v>23123962.196400002</v>
      </c>
      <c r="N2157">
        <v>15543558.637599999</v>
      </c>
      <c r="O2157">
        <v>15744911.1675</v>
      </c>
      <c r="P2157">
        <v>73</v>
      </c>
      <c r="Q2157" t="s">
        <v>4640</v>
      </c>
    </row>
    <row r="2158" spans="1:17" x14ac:dyDescent="0.3">
      <c r="A2158" t="s">
        <v>17</v>
      </c>
      <c r="B2158" t="str">
        <f>"900912"</f>
        <v>900912</v>
      </c>
      <c r="C2158" t="s">
        <v>4641</v>
      </c>
      <c r="G2158">
        <v>69114798.423999995</v>
      </c>
      <c r="H2158">
        <v>61840493.047200002</v>
      </c>
      <c r="I2158">
        <v>75848754.483199999</v>
      </c>
      <c r="J2158">
        <v>84374514.124799997</v>
      </c>
      <c r="K2158">
        <v>74332488.527999997</v>
      </c>
      <c r="L2158">
        <v>64185498.762000002</v>
      </c>
      <c r="M2158">
        <v>53757517.631999999</v>
      </c>
      <c r="N2158">
        <v>59997512.103200004</v>
      </c>
      <c r="O2158">
        <v>66837823.1175</v>
      </c>
      <c r="P2158">
        <v>18</v>
      </c>
      <c r="Q2158" t="s">
        <v>4642</v>
      </c>
    </row>
    <row r="2159" spans="1:17" x14ac:dyDescent="0.3">
      <c r="A2159" t="s">
        <v>17</v>
      </c>
      <c r="B2159" t="str">
        <f>"900913"</f>
        <v>900913</v>
      </c>
      <c r="C2159" t="s">
        <v>4643</v>
      </c>
      <c r="G2159">
        <v>179552911.48469999</v>
      </c>
      <c r="H2159">
        <v>195815009.17199999</v>
      </c>
      <c r="I2159">
        <v>159775879.60460001</v>
      </c>
      <c r="J2159">
        <v>82928840.755199999</v>
      </c>
      <c r="K2159">
        <v>85034795.327999994</v>
      </c>
      <c r="L2159">
        <v>54016983.020000003</v>
      </c>
      <c r="M2159">
        <v>56074827.759599999</v>
      </c>
      <c r="N2159">
        <v>28517962.062800001</v>
      </c>
      <c r="O2159">
        <v>0</v>
      </c>
      <c r="P2159">
        <v>7</v>
      </c>
      <c r="Q2159" t="s">
        <v>4644</v>
      </c>
    </row>
    <row r="2160" spans="1:17" x14ac:dyDescent="0.3">
      <c r="A2160" t="s">
        <v>17</v>
      </c>
      <c r="B2160" t="str">
        <f>"900914"</f>
        <v>900914</v>
      </c>
      <c r="C2160" t="s">
        <v>4645</v>
      </c>
      <c r="G2160">
        <v>20455559.256900001</v>
      </c>
      <c r="H2160">
        <v>19005426.541200001</v>
      </c>
      <c r="I2160">
        <v>17367482.8598</v>
      </c>
      <c r="J2160">
        <v>15264141.158399999</v>
      </c>
      <c r="K2160">
        <v>12409305.119999999</v>
      </c>
      <c r="L2160">
        <v>12555870.866</v>
      </c>
      <c r="M2160">
        <v>12000907.822799999</v>
      </c>
      <c r="N2160">
        <v>10708677</v>
      </c>
      <c r="O2160">
        <v>9543574.1205000002</v>
      </c>
      <c r="P2160">
        <v>20</v>
      </c>
      <c r="Q2160" t="s">
        <v>4646</v>
      </c>
    </row>
    <row r="2161" spans="1:17" x14ac:dyDescent="0.3">
      <c r="A2161" t="s">
        <v>17</v>
      </c>
      <c r="B2161" t="str">
        <f>"900915"</f>
        <v>900915</v>
      </c>
      <c r="C2161" t="s">
        <v>4647</v>
      </c>
      <c r="G2161">
        <v>1810069.5255</v>
      </c>
      <c r="H2161">
        <v>2169342.7984000002</v>
      </c>
      <c r="I2161">
        <v>0</v>
      </c>
      <c r="J2161">
        <v>7923509.1456000004</v>
      </c>
      <c r="K2161">
        <v>7493215.392</v>
      </c>
      <c r="L2161">
        <v>10410322.692</v>
      </c>
      <c r="M2161">
        <v>7462022.7967999997</v>
      </c>
      <c r="N2161">
        <v>5969268.2419999996</v>
      </c>
      <c r="O2161">
        <v>5711915.0880000005</v>
      </c>
      <c r="P2161">
        <v>6</v>
      </c>
      <c r="Q2161" t="s">
        <v>4648</v>
      </c>
    </row>
    <row r="2162" spans="1:17" x14ac:dyDescent="0.3">
      <c r="A2162" t="s">
        <v>17</v>
      </c>
      <c r="B2162" t="str">
        <f>"900916"</f>
        <v>900916</v>
      </c>
      <c r="C2162" t="s">
        <v>4649</v>
      </c>
      <c r="G2162">
        <v>40867659.656800002</v>
      </c>
      <c r="H2162">
        <v>29604988.850000001</v>
      </c>
      <c r="I2162">
        <v>30075153.3684</v>
      </c>
      <c r="J2162">
        <v>34069700.198399998</v>
      </c>
      <c r="K2162">
        <v>11038562.352</v>
      </c>
      <c r="L2162">
        <v>9487183.5519999992</v>
      </c>
      <c r="M2162">
        <v>13014837.9296</v>
      </c>
      <c r="N2162">
        <v>10507475.294399999</v>
      </c>
      <c r="O2162">
        <v>15450430.101</v>
      </c>
      <c r="P2162">
        <v>7</v>
      </c>
      <c r="Q2162" t="s">
        <v>4650</v>
      </c>
    </row>
    <row r="2163" spans="1:17" x14ac:dyDescent="0.3">
      <c r="A2163" t="s">
        <v>17</v>
      </c>
      <c r="B2163" t="str">
        <f>"900917"</f>
        <v>900917</v>
      </c>
      <c r="C2163" t="s">
        <v>4651</v>
      </c>
      <c r="G2163">
        <v>21953064.8398</v>
      </c>
      <c r="H2163">
        <v>25105351.347199999</v>
      </c>
      <c r="I2163">
        <v>25918085.072000001</v>
      </c>
      <c r="J2163">
        <v>25269402.470400002</v>
      </c>
      <c r="K2163">
        <v>29916831.168000001</v>
      </c>
      <c r="L2163">
        <v>34300223.495999999</v>
      </c>
      <c r="M2163">
        <v>36730950.110399999</v>
      </c>
      <c r="N2163">
        <v>50952522.672799997</v>
      </c>
      <c r="O2163">
        <v>45794447.590499997</v>
      </c>
      <c r="P2163">
        <v>12</v>
      </c>
      <c r="Q2163" t="s">
        <v>4652</v>
      </c>
    </row>
    <row r="2164" spans="1:17" x14ac:dyDescent="0.3">
      <c r="A2164" t="s">
        <v>17</v>
      </c>
      <c r="B2164" t="str">
        <f>"900918"</f>
        <v>900918</v>
      </c>
      <c r="C2164" t="s">
        <v>4653</v>
      </c>
      <c r="G2164">
        <v>73595953.806799993</v>
      </c>
      <c r="H2164">
        <v>64912480.171999998</v>
      </c>
      <c r="I2164">
        <v>68328217.051799998</v>
      </c>
      <c r="J2164">
        <v>69749596.723199993</v>
      </c>
      <c r="K2164">
        <v>66798838.799999997</v>
      </c>
      <c r="L2164">
        <v>74822204.533999994</v>
      </c>
      <c r="M2164">
        <v>78179437.887199998</v>
      </c>
      <c r="N2164">
        <v>59224070.978799999</v>
      </c>
      <c r="O2164">
        <v>53277254.194499999</v>
      </c>
      <c r="P2164">
        <v>10</v>
      </c>
      <c r="Q2164" t="s">
        <v>4654</v>
      </c>
    </row>
    <row r="2165" spans="1:17" x14ac:dyDescent="0.3">
      <c r="A2165" t="s">
        <v>17</v>
      </c>
      <c r="B2165" t="str">
        <f>"900919"</f>
        <v>900919</v>
      </c>
      <c r="C2165" t="s">
        <v>4655</v>
      </c>
      <c r="G2165">
        <v>328493.03610000003</v>
      </c>
      <c r="H2165">
        <v>287897.46519999998</v>
      </c>
      <c r="I2165">
        <v>112340.402</v>
      </c>
      <c r="J2165">
        <v>15806.822399999999</v>
      </c>
      <c r="K2165">
        <v>67829.903999999995</v>
      </c>
      <c r="L2165">
        <v>1126707.736</v>
      </c>
      <c r="M2165">
        <v>10690616.8356</v>
      </c>
      <c r="N2165">
        <v>4932991.9352000002</v>
      </c>
      <c r="O2165">
        <v>5437382.8875000002</v>
      </c>
      <c r="P2165">
        <v>5</v>
      </c>
      <c r="Q2165" t="s">
        <v>4656</v>
      </c>
    </row>
    <row r="2166" spans="1:17" x14ac:dyDescent="0.3">
      <c r="A2166" t="s">
        <v>17</v>
      </c>
      <c r="B2166" t="str">
        <f>"900920"</f>
        <v>900920</v>
      </c>
      <c r="C2166" t="s">
        <v>4657</v>
      </c>
      <c r="G2166">
        <v>37575659.961000003</v>
      </c>
      <c r="H2166">
        <v>34875245.126400001</v>
      </c>
      <c r="I2166">
        <v>34053433.317400001</v>
      </c>
      <c r="J2166">
        <v>38941483.315200001</v>
      </c>
      <c r="K2166">
        <v>29836492.416000001</v>
      </c>
      <c r="L2166">
        <v>26552787.954</v>
      </c>
      <c r="M2166">
        <v>26384390.655999999</v>
      </c>
      <c r="N2166">
        <v>43225304.071599998</v>
      </c>
      <c r="O2166">
        <v>25360939.802999999</v>
      </c>
      <c r="P2166">
        <v>12</v>
      </c>
      <c r="Q2166" t="s">
        <v>4658</v>
      </c>
    </row>
    <row r="2167" spans="1:17" x14ac:dyDescent="0.3">
      <c r="A2167" t="s">
        <v>17</v>
      </c>
      <c r="B2167" t="str">
        <f>"900921"</f>
        <v>900921</v>
      </c>
      <c r="C2167" t="s">
        <v>4659</v>
      </c>
      <c r="G2167">
        <v>14948218.1361</v>
      </c>
      <c r="H2167">
        <v>6935864.4912</v>
      </c>
      <c r="I2167">
        <v>10081665.375399999</v>
      </c>
      <c r="J2167">
        <v>1911251.8655999999</v>
      </c>
      <c r="K2167">
        <v>2338746.3360000001</v>
      </c>
      <c r="L2167">
        <v>4331012.5319999997</v>
      </c>
      <c r="M2167">
        <v>1327835.0279999999</v>
      </c>
      <c r="N2167">
        <v>2021297.3311999999</v>
      </c>
      <c r="O2167">
        <v>2055845.6235</v>
      </c>
      <c r="P2167">
        <v>6</v>
      </c>
      <c r="Q2167" t="s">
        <v>4660</v>
      </c>
    </row>
    <row r="2168" spans="1:17" x14ac:dyDescent="0.3">
      <c r="A2168" t="s">
        <v>17</v>
      </c>
      <c r="B2168" t="str">
        <f>"900922"</f>
        <v>900922</v>
      </c>
      <c r="C2168" t="s">
        <v>4661</v>
      </c>
      <c r="G2168">
        <v>10436823.118799999</v>
      </c>
      <c r="H2168">
        <v>9555828.3976000007</v>
      </c>
      <c r="I2168">
        <v>7158760.4214000003</v>
      </c>
      <c r="J2168">
        <v>7707369.6767999995</v>
      </c>
      <c r="K2168">
        <v>7686433.5839999998</v>
      </c>
      <c r="L2168">
        <v>7310180.4160000002</v>
      </c>
      <c r="M2168">
        <v>4226634.6616000002</v>
      </c>
      <c r="N2168">
        <v>4612665.8311999999</v>
      </c>
      <c r="O2168">
        <v>24365225.088</v>
      </c>
      <c r="P2168">
        <v>9</v>
      </c>
      <c r="Q2168" t="s">
        <v>4662</v>
      </c>
    </row>
    <row r="2169" spans="1:17" x14ac:dyDescent="0.3">
      <c r="A2169" t="s">
        <v>17</v>
      </c>
      <c r="B2169" t="str">
        <f>"900923"</f>
        <v>900923</v>
      </c>
      <c r="C2169" t="s">
        <v>4663</v>
      </c>
      <c r="G2169">
        <v>131035688.2446</v>
      </c>
      <c r="H2169">
        <v>113858521.7912</v>
      </c>
      <c r="I2169">
        <v>109488772.126</v>
      </c>
      <c r="J2169">
        <v>85960937.011199996</v>
      </c>
      <c r="K2169">
        <v>56929569.552000001</v>
      </c>
      <c r="L2169">
        <v>54062029.868000001</v>
      </c>
      <c r="M2169">
        <v>62616876.998000003</v>
      </c>
      <c r="N2169">
        <v>39912563.670000002</v>
      </c>
      <c r="O2169">
        <v>37614206.693999998</v>
      </c>
      <c r="P2169">
        <v>26</v>
      </c>
      <c r="Q2169" t="s">
        <v>4664</v>
      </c>
    </row>
    <row r="2170" spans="1:17" x14ac:dyDescent="0.3">
      <c r="A2170" t="s">
        <v>17</v>
      </c>
      <c r="B2170" t="str">
        <f>"900924"</f>
        <v>900924</v>
      </c>
      <c r="C2170" t="s">
        <v>4665</v>
      </c>
      <c r="G2170">
        <v>83690992.952299997</v>
      </c>
      <c r="H2170">
        <v>76334593.045599997</v>
      </c>
      <c r="I2170">
        <v>78111648.997600004</v>
      </c>
      <c r="J2170">
        <v>71387040.768000007</v>
      </c>
      <c r="K2170">
        <v>56052385.776000001</v>
      </c>
      <c r="L2170">
        <v>57467325.145999998</v>
      </c>
      <c r="M2170">
        <v>40579866.574000001</v>
      </c>
      <c r="N2170">
        <v>40952176.190800004</v>
      </c>
      <c r="O2170">
        <v>24006282.406500001</v>
      </c>
      <c r="P2170">
        <v>11</v>
      </c>
      <c r="Q2170" t="s">
        <v>4666</v>
      </c>
    </row>
    <row r="2171" spans="1:17" x14ac:dyDescent="0.3">
      <c r="A2171" t="s">
        <v>17</v>
      </c>
      <c r="B2171" t="str">
        <f>"900925"</f>
        <v>900925</v>
      </c>
      <c r="C2171" t="s">
        <v>4667</v>
      </c>
      <c r="G2171">
        <v>470337364.4598</v>
      </c>
      <c r="H2171">
        <v>328708436.71759999</v>
      </c>
      <c r="I2171">
        <v>331320130.16000003</v>
      </c>
      <c r="J2171">
        <v>384181557.81120002</v>
      </c>
      <c r="K2171">
        <v>295496206.704</v>
      </c>
      <c r="L2171">
        <v>303796385.50800002</v>
      </c>
      <c r="M2171">
        <v>359432362.83759999</v>
      </c>
      <c r="N2171">
        <v>310627702.3136</v>
      </c>
      <c r="O2171">
        <v>324985525.24650002</v>
      </c>
      <c r="P2171">
        <v>83</v>
      </c>
      <c r="Q2171" t="s">
        <v>4668</v>
      </c>
    </row>
    <row r="2172" spans="1:17" x14ac:dyDescent="0.3">
      <c r="A2172" t="s">
        <v>17</v>
      </c>
      <c r="B2172" t="str">
        <f>"900926"</f>
        <v>900926</v>
      </c>
      <c r="C2172" t="s">
        <v>4669</v>
      </c>
      <c r="G2172">
        <v>220308128.3143</v>
      </c>
      <c r="H2172">
        <v>321526826.10000002</v>
      </c>
      <c r="I2172">
        <v>248283630.49239999</v>
      </c>
      <c r="J2172">
        <v>298280673.17760003</v>
      </c>
      <c r="K2172">
        <v>299407742.208</v>
      </c>
      <c r="L2172">
        <v>301733107.52200001</v>
      </c>
      <c r="M2172">
        <v>334481201.22039998</v>
      </c>
      <c r="N2172">
        <v>298413082.4332</v>
      </c>
      <c r="O2172">
        <v>236088459.66749999</v>
      </c>
      <c r="P2172">
        <v>63</v>
      </c>
      <c r="Q2172" t="s">
        <v>4670</v>
      </c>
    </row>
    <row r="2173" spans="1:17" x14ac:dyDescent="0.3">
      <c r="A2173" t="s">
        <v>17</v>
      </c>
      <c r="B2173" t="str">
        <f>"900927"</f>
        <v>900927</v>
      </c>
      <c r="C2173" t="s">
        <v>4671</v>
      </c>
      <c r="G2173">
        <v>6110898.7569000004</v>
      </c>
      <c r="H2173">
        <v>6058278.7955999998</v>
      </c>
      <c r="I2173">
        <v>14956349.5558</v>
      </c>
      <c r="J2173">
        <v>7584907.4687999999</v>
      </c>
      <c r="K2173">
        <v>14425723.007999999</v>
      </c>
      <c r="L2173">
        <v>18677697.346000001</v>
      </c>
      <c r="M2173">
        <v>55599906.928800002</v>
      </c>
      <c r="N2173">
        <v>67917026.312800005</v>
      </c>
      <c r="O2173">
        <v>206421916.53</v>
      </c>
      <c r="P2173">
        <v>5</v>
      </c>
      <c r="Q2173" t="s">
        <v>4672</v>
      </c>
    </row>
    <row r="2174" spans="1:17" x14ac:dyDescent="0.3">
      <c r="A2174" t="s">
        <v>17</v>
      </c>
      <c r="B2174" t="str">
        <f>"900928"</f>
        <v>900928</v>
      </c>
      <c r="C2174" t="s">
        <v>4673</v>
      </c>
      <c r="G2174">
        <v>25066904.6602</v>
      </c>
      <c r="H2174">
        <v>29241927.411200002</v>
      </c>
      <c r="I2174">
        <v>64297670.746399999</v>
      </c>
      <c r="J2174">
        <v>41911738.060800001</v>
      </c>
      <c r="K2174">
        <v>23710760.208000001</v>
      </c>
      <c r="L2174">
        <v>16830674.322000001</v>
      </c>
      <c r="M2174">
        <v>79976130.046800002</v>
      </c>
      <c r="N2174">
        <v>83404913.211199999</v>
      </c>
      <c r="O2174">
        <v>82345850.248500004</v>
      </c>
      <c r="P2174">
        <v>14</v>
      </c>
      <c r="Q2174" t="s">
        <v>4674</v>
      </c>
    </row>
    <row r="2175" spans="1:17" x14ac:dyDescent="0.3">
      <c r="A2175" t="s">
        <v>17</v>
      </c>
      <c r="B2175" t="str">
        <f>"900929"</f>
        <v>900929</v>
      </c>
      <c r="C2175" t="s">
        <v>4675</v>
      </c>
      <c r="F2175">
        <v>8217355.5012999997</v>
      </c>
      <c r="G2175">
        <v>6824113.2001</v>
      </c>
      <c r="H2175">
        <v>14667462.103599999</v>
      </c>
      <c r="I2175">
        <v>0</v>
      </c>
      <c r="J2175">
        <v>15842752.051200001</v>
      </c>
      <c r="K2175">
        <v>11484556.128</v>
      </c>
      <c r="L2175">
        <v>9847629.7919999994</v>
      </c>
      <c r="M2175">
        <v>10787703.082</v>
      </c>
      <c r="N2175">
        <v>7361086.6672</v>
      </c>
      <c r="O2175">
        <v>9051137.0085000005</v>
      </c>
      <c r="P2175">
        <v>11</v>
      </c>
      <c r="Q2175" t="s">
        <v>4676</v>
      </c>
    </row>
    <row r="2176" spans="1:17" x14ac:dyDescent="0.3">
      <c r="A2176" t="s">
        <v>17</v>
      </c>
      <c r="B2176" t="str">
        <f>"900930"</f>
        <v>900930</v>
      </c>
      <c r="C2176" t="s">
        <v>4677</v>
      </c>
      <c r="H2176">
        <v>5037675.8288000003</v>
      </c>
      <c r="I2176">
        <v>18896610.749000002</v>
      </c>
      <c r="J2176">
        <v>27780331.161600001</v>
      </c>
      <c r="K2176">
        <v>59330605.968000002</v>
      </c>
      <c r="L2176">
        <v>87840095.798800007</v>
      </c>
      <c r="M2176">
        <v>84900964.5458</v>
      </c>
      <c r="N2176">
        <v>78889951.054299995</v>
      </c>
      <c r="O2176">
        <v>96141856.741899997</v>
      </c>
      <c r="P2176">
        <v>1</v>
      </c>
      <c r="Q2176" t="s">
        <v>4678</v>
      </c>
    </row>
    <row r="2177" spans="1:17" x14ac:dyDescent="0.3">
      <c r="A2177" t="s">
        <v>17</v>
      </c>
      <c r="B2177" t="str">
        <f>"900931"</f>
        <v>900931</v>
      </c>
      <c r="C2177" t="s">
        <v>4679</v>
      </c>
      <c r="K2177">
        <v>573358.36029999994</v>
      </c>
      <c r="L2177">
        <v>481070.16960000002</v>
      </c>
      <c r="M2177">
        <v>426923.06329999998</v>
      </c>
      <c r="N2177">
        <v>442092.49969999999</v>
      </c>
      <c r="O2177">
        <v>200360.05300000001</v>
      </c>
      <c r="P2177">
        <v>1</v>
      </c>
      <c r="Q2177" t="s">
        <v>4680</v>
      </c>
    </row>
    <row r="2178" spans="1:17" x14ac:dyDescent="0.3">
      <c r="A2178" t="s">
        <v>17</v>
      </c>
      <c r="B2178" t="str">
        <f>"900932"</f>
        <v>900932</v>
      </c>
      <c r="C2178" t="s">
        <v>4681</v>
      </c>
      <c r="G2178">
        <v>102389861.88259999</v>
      </c>
      <c r="H2178">
        <v>71778887.497199997</v>
      </c>
      <c r="I2178">
        <v>78197420.166800007</v>
      </c>
      <c r="J2178">
        <v>43849526.323200002</v>
      </c>
      <c r="K2178">
        <v>15136014.672</v>
      </c>
      <c r="L2178">
        <v>5419719.5360000003</v>
      </c>
      <c r="M2178">
        <v>5760399.9491999997</v>
      </c>
      <c r="N2178">
        <v>5721607.1752000004</v>
      </c>
      <c r="O2178">
        <v>12447791.927999999</v>
      </c>
      <c r="P2178">
        <v>138</v>
      </c>
      <c r="Q2178" t="s">
        <v>4682</v>
      </c>
    </row>
    <row r="2179" spans="1:17" x14ac:dyDescent="0.3">
      <c r="A2179" t="s">
        <v>17</v>
      </c>
      <c r="B2179" t="str">
        <f>"900933"</f>
        <v>900933</v>
      </c>
      <c r="C2179" t="s">
        <v>4683</v>
      </c>
      <c r="G2179">
        <v>99883836.406900004</v>
      </c>
      <c r="H2179">
        <v>80687995.775600001</v>
      </c>
      <c r="I2179">
        <v>76267585.435399994</v>
      </c>
      <c r="J2179">
        <v>98643593.164800003</v>
      </c>
      <c r="K2179">
        <v>72341528.400000006</v>
      </c>
      <c r="L2179">
        <v>106061879.462</v>
      </c>
      <c r="M2179">
        <v>130455360.0324</v>
      </c>
      <c r="N2179">
        <v>150014036.5864</v>
      </c>
      <c r="O2179">
        <v>129124641.61049999</v>
      </c>
      <c r="P2179">
        <v>142</v>
      </c>
      <c r="Q2179" t="s">
        <v>4684</v>
      </c>
    </row>
    <row r="2180" spans="1:17" x14ac:dyDescent="0.3">
      <c r="A2180" t="s">
        <v>17</v>
      </c>
      <c r="B2180" t="str">
        <f>"900934"</f>
        <v>900934</v>
      </c>
      <c r="C2180" t="s">
        <v>4685</v>
      </c>
      <c r="G2180">
        <v>164578681.52270001</v>
      </c>
      <c r="H2180">
        <v>166169789.92039999</v>
      </c>
      <c r="I2180">
        <v>144743324.6002</v>
      </c>
      <c r="J2180">
        <v>144388285.74720001</v>
      </c>
      <c r="K2180">
        <v>91241099.711999997</v>
      </c>
      <c r="L2180">
        <v>67342475.354000002</v>
      </c>
      <c r="M2180">
        <v>14253407.812799999</v>
      </c>
      <c r="N2180">
        <v>11435901.442</v>
      </c>
      <c r="O2180">
        <v>8070281.2230000002</v>
      </c>
      <c r="P2180">
        <v>47</v>
      </c>
      <c r="Q2180" t="s">
        <v>4686</v>
      </c>
    </row>
    <row r="2181" spans="1:17" x14ac:dyDescent="0.3">
      <c r="A2181" t="s">
        <v>17</v>
      </c>
      <c r="B2181" t="str">
        <f>"900935"</f>
        <v>900935</v>
      </c>
      <c r="C2181" t="s">
        <v>4687</v>
      </c>
      <c r="L2181">
        <v>213397.8</v>
      </c>
      <c r="M2181">
        <v>439569.31290000002</v>
      </c>
      <c r="N2181">
        <v>229026.17310000001</v>
      </c>
      <c r="O2181">
        <v>669754.81559999997</v>
      </c>
      <c r="P2181">
        <v>1</v>
      </c>
      <c r="Q2181" t="s">
        <v>4688</v>
      </c>
    </row>
    <row r="2182" spans="1:17" x14ac:dyDescent="0.3">
      <c r="A2182" t="s">
        <v>17</v>
      </c>
      <c r="B2182" t="str">
        <f>"900936"</f>
        <v>900936</v>
      </c>
      <c r="C2182" t="s">
        <v>4689</v>
      </c>
      <c r="G2182">
        <v>174053938.51660001</v>
      </c>
      <c r="H2182">
        <v>173115047.28760001</v>
      </c>
      <c r="I2182">
        <v>257958078.5952</v>
      </c>
      <c r="J2182">
        <v>336145901.41439998</v>
      </c>
      <c r="K2182">
        <v>256572001.296</v>
      </c>
      <c r="L2182">
        <v>332242104.04000002</v>
      </c>
      <c r="M2182">
        <v>241582250.39520001</v>
      </c>
      <c r="N2182">
        <v>205985873.81119999</v>
      </c>
      <c r="O2182">
        <v>208336722.93900001</v>
      </c>
      <c r="P2182">
        <v>53</v>
      </c>
      <c r="Q2182" t="s">
        <v>4690</v>
      </c>
    </row>
    <row r="2183" spans="1:17" x14ac:dyDescent="0.3">
      <c r="A2183" t="s">
        <v>17</v>
      </c>
      <c r="B2183" t="str">
        <f>"900937"</f>
        <v>900937</v>
      </c>
      <c r="C2183" t="s">
        <v>4691</v>
      </c>
      <c r="G2183">
        <v>196272996.26480001</v>
      </c>
      <c r="H2183">
        <v>217091546.252</v>
      </c>
      <c r="I2183">
        <v>177340098.55160001</v>
      </c>
      <c r="J2183">
        <v>213111650.91839999</v>
      </c>
      <c r="K2183">
        <v>141045854.68799999</v>
      </c>
      <c r="L2183">
        <v>192801653.19800001</v>
      </c>
      <c r="M2183">
        <v>225796159.75279999</v>
      </c>
      <c r="N2183">
        <v>163527872.85800001</v>
      </c>
      <c r="O2183">
        <v>122343198.8205</v>
      </c>
      <c r="P2183">
        <v>10</v>
      </c>
      <c r="Q2183" t="s">
        <v>4692</v>
      </c>
    </row>
    <row r="2184" spans="1:17" x14ac:dyDescent="0.3">
      <c r="A2184" t="s">
        <v>17</v>
      </c>
      <c r="B2184" t="str">
        <f>"900938"</f>
        <v>900938</v>
      </c>
      <c r="C2184" t="s">
        <v>4693</v>
      </c>
      <c r="G2184">
        <v>8413185878.2799997</v>
      </c>
      <c r="H2184">
        <v>7842305601.6000004</v>
      </c>
      <c r="I2184">
        <v>7659185491.6000004</v>
      </c>
      <c r="J2184">
        <v>7717844275.1999998</v>
      </c>
      <c r="K2184">
        <v>6385991616</v>
      </c>
      <c r="L2184">
        <v>39794299.622000001</v>
      </c>
      <c r="M2184">
        <v>11026530.554</v>
      </c>
      <c r="N2184">
        <v>12494712.6808</v>
      </c>
      <c r="O2184">
        <v>6026353.3664999995</v>
      </c>
      <c r="P2184">
        <v>12</v>
      </c>
      <c r="Q2184" t="s">
        <v>4694</v>
      </c>
    </row>
    <row r="2185" spans="1:17" x14ac:dyDescent="0.3">
      <c r="A2185" t="s">
        <v>17</v>
      </c>
      <c r="B2185" t="str">
        <f>"900939"</f>
        <v>900939</v>
      </c>
      <c r="C2185" t="s">
        <v>4695</v>
      </c>
      <c r="F2185">
        <v>0</v>
      </c>
      <c r="G2185">
        <v>0</v>
      </c>
      <c r="H2185">
        <v>4885.2719999999999</v>
      </c>
      <c r="I2185">
        <v>37098.955399999999</v>
      </c>
      <c r="J2185">
        <v>226516.5312</v>
      </c>
      <c r="K2185">
        <v>61394.832000000002</v>
      </c>
      <c r="L2185">
        <v>0</v>
      </c>
      <c r="M2185">
        <v>10698.5216</v>
      </c>
      <c r="N2185">
        <v>143874.16680000001</v>
      </c>
      <c r="O2185">
        <v>93791.545499999993</v>
      </c>
      <c r="P2185">
        <v>7</v>
      </c>
      <c r="Q2185" t="s">
        <v>4696</v>
      </c>
    </row>
    <row r="2186" spans="1:17" x14ac:dyDescent="0.3">
      <c r="A2186" t="s">
        <v>17</v>
      </c>
      <c r="B2186" t="str">
        <f>"900940"</f>
        <v>900940</v>
      </c>
      <c r="C2186" t="s">
        <v>4697</v>
      </c>
      <c r="G2186">
        <v>38754014.544299997</v>
      </c>
      <c r="H2186">
        <v>31214551.4208</v>
      </c>
      <c r="I2186">
        <v>32583268.327</v>
      </c>
      <c r="J2186">
        <v>24118224.844799999</v>
      </c>
      <c r="K2186">
        <v>913220.78399999999</v>
      </c>
      <c r="L2186">
        <v>20555007.550000001</v>
      </c>
      <c r="M2186">
        <v>21092969.221999999</v>
      </c>
      <c r="N2186">
        <v>163465.4</v>
      </c>
      <c r="O2186">
        <v>296923.71600000001</v>
      </c>
      <c r="P2186">
        <v>15</v>
      </c>
      <c r="Q2186" t="s">
        <v>4698</v>
      </c>
    </row>
    <row r="2187" spans="1:17" x14ac:dyDescent="0.3">
      <c r="A2187" t="s">
        <v>17</v>
      </c>
      <c r="B2187" t="str">
        <f>"900941"</f>
        <v>900941</v>
      </c>
      <c r="C2187" t="s">
        <v>4699</v>
      </c>
      <c r="G2187">
        <v>162688069.40709999</v>
      </c>
      <c r="H2187">
        <v>140837546.8396</v>
      </c>
      <c r="I2187">
        <v>117628424.9384</v>
      </c>
      <c r="J2187">
        <v>115299386.4192</v>
      </c>
      <c r="K2187">
        <v>114768490.176</v>
      </c>
      <c r="L2187">
        <v>107892473.458</v>
      </c>
      <c r="M2187">
        <v>91100917.965200007</v>
      </c>
      <c r="N2187">
        <v>92726492.541199997</v>
      </c>
      <c r="O2187">
        <v>79939787.686499998</v>
      </c>
      <c r="P2187">
        <v>8</v>
      </c>
      <c r="Q2187" t="s">
        <v>4700</v>
      </c>
    </row>
    <row r="2188" spans="1:17" x14ac:dyDescent="0.3">
      <c r="A2188" t="s">
        <v>17</v>
      </c>
      <c r="B2188" t="str">
        <f>"900942"</f>
        <v>900942</v>
      </c>
      <c r="C2188" t="s">
        <v>4701</v>
      </c>
      <c r="G2188">
        <v>2316997.2163</v>
      </c>
      <c r="H2188">
        <v>5913388.9803999998</v>
      </c>
      <c r="I2188">
        <v>8385852.6710000001</v>
      </c>
      <c r="J2188">
        <v>9586706.2271999996</v>
      </c>
      <c r="K2188">
        <v>5651920.2240000004</v>
      </c>
      <c r="L2188">
        <v>8076666.5980000002</v>
      </c>
      <c r="M2188">
        <v>6809650.7492000004</v>
      </c>
      <c r="N2188">
        <v>6219390.1279999996</v>
      </c>
      <c r="O2188">
        <v>8842385.4120000005</v>
      </c>
      <c r="P2188">
        <v>55</v>
      </c>
      <c r="Q2188" t="s">
        <v>4702</v>
      </c>
    </row>
    <row r="2189" spans="1:17" x14ac:dyDescent="0.3">
      <c r="A2189" t="s">
        <v>17</v>
      </c>
      <c r="B2189" t="str">
        <f>"900943"</f>
        <v>900943</v>
      </c>
      <c r="C2189" t="s">
        <v>4703</v>
      </c>
      <c r="G2189">
        <v>17146208.251699999</v>
      </c>
      <c r="H2189">
        <v>18594180.122400001</v>
      </c>
      <c r="I2189">
        <v>15383256.896400001</v>
      </c>
      <c r="J2189">
        <v>17477659.699200001</v>
      </c>
      <c r="K2189">
        <v>18386655.84</v>
      </c>
      <c r="L2189">
        <v>17608675.546</v>
      </c>
      <c r="M2189">
        <v>19952122.647599999</v>
      </c>
      <c r="N2189">
        <v>21706528.34</v>
      </c>
      <c r="O2189">
        <v>17093153.057999998</v>
      </c>
      <c r="P2189">
        <v>3</v>
      </c>
      <c r="Q2189" t="s">
        <v>4704</v>
      </c>
    </row>
    <row r="2190" spans="1:17" x14ac:dyDescent="0.3">
      <c r="A2190" t="s">
        <v>17</v>
      </c>
      <c r="B2190" t="str">
        <f>"900945"</f>
        <v>900945</v>
      </c>
      <c r="C2190" t="s">
        <v>4705</v>
      </c>
      <c r="G2190">
        <v>373584207.24000001</v>
      </c>
      <c r="H2190">
        <v>689914568.39999998</v>
      </c>
      <c r="I2190">
        <v>440875046.19999999</v>
      </c>
      <c r="J2190">
        <v>337384089.60000002</v>
      </c>
      <c r="K2190">
        <v>173033280</v>
      </c>
      <c r="L2190">
        <v>109377884</v>
      </c>
      <c r="M2190">
        <v>118305647.2</v>
      </c>
      <c r="N2190">
        <v>95519135.599999994</v>
      </c>
      <c r="O2190">
        <v>86934985.5</v>
      </c>
      <c r="P2190">
        <v>7</v>
      </c>
      <c r="Q2190" t="s">
        <v>4706</v>
      </c>
    </row>
    <row r="2191" spans="1:17" x14ac:dyDescent="0.3">
      <c r="A2191" t="s">
        <v>17</v>
      </c>
      <c r="B2191" t="str">
        <f>"900946"</f>
        <v>900946</v>
      </c>
      <c r="C2191" t="s">
        <v>4707</v>
      </c>
      <c r="G2191">
        <v>42576195.566200003</v>
      </c>
      <c r="H2191">
        <v>32221777.473200001</v>
      </c>
      <c r="I2191">
        <v>23055272.1932</v>
      </c>
      <c r="J2191">
        <v>35973708.748800002</v>
      </c>
      <c r="K2191">
        <v>37793503.439999998</v>
      </c>
      <c r="L2191">
        <v>28054886.243999999</v>
      </c>
      <c r="M2191">
        <v>32045937.284400001</v>
      </c>
      <c r="N2191">
        <v>29010287.798799999</v>
      </c>
      <c r="O2191">
        <v>24961045.065000001</v>
      </c>
      <c r="P2191">
        <v>3</v>
      </c>
      <c r="Q2191" t="s">
        <v>4708</v>
      </c>
    </row>
    <row r="2192" spans="1:17" x14ac:dyDescent="0.3">
      <c r="A2192" t="s">
        <v>17</v>
      </c>
      <c r="B2192" t="str">
        <f>"900947"</f>
        <v>900947</v>
      </c>
      <c r="C2192" t="s">
        <v>4709</v>
      </c>
      <c r="G2192">
        <v>1105090548.1421001</v>
      </c>
      <c r="H2192">
        <v>713142805.82079995</v>
      </c>
      <c r="I2192">
        <v>731732586.94140005</v>
      </c>
      <c r="J2192">
        <v>611330705.04960001</v>
      </c>
      <c r="K2192">
        <v>609227489.95200002</v>
      </c>
      <c r="L2192">
        <v>599793420.07200003</v>
      </c>
      <c r="M2192">
        <v>583100788.98239994</v>
      </c>
      <c r="N2192">
        <v>586278792.61559999</v>
      </c>
      <c r="O2192">
        <v>595570738.31550002</v>
      </c>
      <c r="P2192">
        <v>18</v>
      </c>
      <c r="Q2192" t="s">
        <v>4710</v>
      </c>
    </row>
    <row r="2193" spans="1:17" x14ac:dyDescent="0.3">
      <c r="A2193" t="s">
        <v>17</v>
      </c>
      <c r="B2193" t="str">
        <f>"900948"</f>
        <v>900948</v>
      </c>
      <c r="C2193" t="s">
        <v>4711</v>
      </c>
      <c r="F2193">
        <v>323566996.04530001</v>
      </c>
      <c r="G2193">
        <v>195751691.82300001</v>
      </c>
      <c r="H2193">
        <v>220567206.4752</v>
      </c>
      <c r="I2193">
        <v>215403174.8888</v>
      </c>
      <c r="J2193">
        <v>334109966.13120002</v>
      </c>
      <c r="K2193">
        <v>310053653.27999997</v>
      </c>
      <c r="L2193">
        <v>376635554.98799998</v>
      </c>
      <c r="M2193">
        <v>441138644.58560002</v>
      </c>
      <c r="N2193">
        <v>494112292.7216</v>
      </c>
      <c r="O2193">
        <v>427479876.53100002</v>
      </c>
      <c r="P2193">
        <v>225</v>
      </c>
      <c r="Q2193" t="s">
        <v>4712</v>
      </c>
    </row>
    <row r="2194" spans="1:17" x14ac:dyDescent="0.3">
      <c r="A2194" t="s">
        <v>17</v>
      </c>
      <c r="B2194" t="str">
        <f>"900949"</f>
        <v>900949</v>
      </c>
      <c r="C2194" t="s">
        <v>4713</v>
      </c>
      <c r="O2194">
        <v>150573513.54699999</v>
      </c>
      <c r="P2194">
        <v>2</v>
      </c>
      <c r="Q2194" t="s">
        <v>4714</v>
      </c>
    </row>
    <row r="2195" spans="1:17" x14ac:dyDescent="0.3">
      <c r="A2195" t="s">
        <v>17</v>
      </c>
      <c r="B2195" t="str">
        <f>"900950"</f>
        <v>900950</v>
      </c>
      <c r="C2195" t="s">
        <v>4715</v>
      </c>
      <c r="M2195">
        <v>643250.49560000002</v>
      </c>
      <c r="N2195">
        <v>240803.06140000001</v>
      </c>
      <c r="O2195">
        <v>444642.6115</v>
      </c>
      <c r="P2195">
        <v>7</v>
      </c>
      <c r="Q2195" t="s">
        <v>4716</v>
      </c>
    </row>
    <row r="2196" spans="1:17" x14ac:dyDescent="0.3">
      <c r="A2196" t="s">
        <v>17</v>
      </c>
      <c r="B2196" t="str">
        <f>"900951"</f>
        <v>900951</v>
      </c>
      <c r="C2196" t="s">
        <v>4717</v>
      </c>
      <c r="H2196">
        <v>6849004.0104</v>
      </c>
      <c r="I2196">
        <v>17604203.219999999</v>
      </c>
      <c r="J2196">
        <v>19998819.84</v>
      </c>
      <c r="K2196">
        <v>19828905.552000001</v>
      </c>
      <c r="L2196">
        <v>6867171.9146999996</v>
      </c>
      <c r="M2196">
        <v>8677523.7365000006</v>
      </c>
      <c r="N2196">
        <v>3348124.0691999998</v>
      </c>
      <c r="O2196">
        <v>2248341.5296</v>
      </c>
      <c r="P2196">
        <v>2</v>
      </c>
      <c r="Q2196" t="s">
        <v>4718</v>
      </c>
    </row>
    <row r="2197" spans="1:17" x14ac:dyDescent="0.3">
      <c r="A2197" t="s">
        <v>17</v>
      </c>
      <c r="B2197" t="str">
        <f>"900952"</f>
        <v>900952</v>
      </c>
      <c r="C2197" t="s">
        <v>4719</v>
      </c>
      <c r="G2197">
        <v>94022502.061000004</v>
      </c>
      <c r="H2197">
        <v>56382720.875200003</v>
      </c>
      <c r="I2197">
        <v>22064164.8706</v>
      </c>
      <c r="J2197">
        <v>10340584.3968</v>
      </c>
      <c r="K2197">
        <v>10020610.944</v>
      </c>
      <c r="L2197">
        <v>17619381.934</v>
      </c>
      <c r="M2197">
        <v>15686066.8484</v>
      </c>
      <c r="N2197">
        <v>14317325.1284</v>
      </c>
      <c r="O2197">
        <v>14144617.990499999</v>
      </c>
      <c r="P2197">
        <v>8</v>
      </c>
      <c r="Q2197" t="s">
        <v>4720</v>
      </c>
    </row>
    <row r="2198" spans="1:17" x14ac:dyDescent="0.3">
      <c r="A2198" t="s">
        <v>17</v>
      </c>
      <c r="B2198" t="str">
        <f>"900953"</f>
        <v>900953</v>
      </c>
      <c r="C2198" t="s">
        <v>4721</v>
      </c>
      <c r="F2198">
        <v>121292794.5126</v>
      </c>
      <c r="G2198">
        <v>130711820.58310001</v>
      </c>
      <c r="H2198">
        <v>125569645.46080001</v>
      </c>
      <c r="I2198">
        <v>119887133.9684</v>
      </c>
      <c r="J2198">
        <v>116079435.5712</v>
      </c>
      <c r="K2198">
        <v>77548847.760000005</v>
      </c>
      <c r="L2198">
        <v>84868304.752000004</v>
      </c>
      <c r="M2198">
        <v>76459965.847200006</v>
      </c>
      <c r="N2198">
        <v>89168744.349999994</v>
      </c>
      <c r="O2198">
        <v>82676302.253999993</v>
      </c>
      <c r="P2198">
        <v>6</v>
      </c>
      <c r="Q2198" t="s">
        <v>4722</v>
      </c>
    </row>
    <row r="2199" spans="1:17" x14ac:dyDescent="0.3">
      <c r="A2199" t="s">
        <v>17</v>
      </c>
      <c r="B2199" t="str">
        <f>"900955"</f>
        <v>900955</v>
      </c>
      <c r="C2199" t="s">
        <v>4723</v>
      </c>
      <c r="G2199">
        <v>24664.535899999999</v>
      </c>
      <c r="H2199">
        <v>44168.631600000001</v>
      </c>
      <c r="I2199">
        <v>92051.285999999993</v>
      </c>
      <c r="J2199">
        <v>842589.54240000003</v>
      </c>
      <c r="K2199">
        <v>262162.36800000002</v>
      </c>
      <c r="L2199">
        <v>48064.324000000001</v>
      </c>
      <c r="M2199">
        <v>237205.8</v>
      </c>
      <c r="N2199">
        <v>2307.3483999999999</v>
      </c>
      <c r="O2199">
        <v>94996.900500000003</v>
      </c>
      <c r="P2199">
        <v>4</v>
      </c>
      <c r="Q2199" t="s">
        <v>4724</v>
      </c>
    </row>
    <row r="2200" spans="1:17" x14ac:dyDescent="0.3">
      <c r="A2200" t="s">
        <v>17</v>
      </c>
      <c r="B2200" t="str">
        <f>"900956"</f>
        <v>900956</v>
      </c>
      <c r="C2200" t="s">
        <v>4725</v>
      </c>
      <c r="H2200">
        <v>181496050.62639999</v>
      </c>
      <c r="I2200">
        <v>167068893.95280001</v>
      </c>
      <c r="J2200">
        <v>152988535.44960001</v>
      </c>
      <c r="K2200">
        <v>149270079.88800001</v>
      </c>
      <c r="L2200">
        <v>137804986.40220001</v>
      </c>
      <c r="M2200">
        <v>131795598.9104</v>
      </c>
      <c r="N2200">
        <v>165178744.34869999</v>
      </c>
      <c r="O2200">
        <v>151511328.2626</v>
      </c>
      <c r="P2200">
        <v>10</v>
      </c>
      <c r="Q2200" t="s">
        <v>4726</v>
      </c>
    </row>
    <row r="2201" spans="1:17" x14ac:dyDescent="0.3">
      <c r="A2201" t="s">
        <v>17</v>
      </c>
      <c r="B2201" t="str">
        <f>"900957"</f>
        <v>900957</v>
      </c>
      <c r="C2201" t="s">
        <v>4727</v>
      </c>
      <c r="F2201">
        <v>41706247.327399999</v>
      </c>
      <c r="G2201">
        <v>31759673.0634</v>
      </c>
      <c r="H2201">
        <v>25557882.048</v>
      </c>
      <c r="I2201">
        <v>20664277.516199999</v>
      </c>
      <c r="J2201">
        <v>13649670.297599999</v>
      </c>
      <c r="K2201">
        <v>19414147.535999998</v>
      </c>
      <c r="L2201">
        <v>11422609.813999999</v>
      </c>
      <c r="M2201">
        <v>496103.1556</v>
      </c>
      <c r="N2201">
        <v>174345.47200000001</v>
      </c>
      <c r="O2201">
        <v>90297.3</v>
      </c>
      <c r="P2201">
        <v>2</v>
      </c>
      <c r="Q2201" t="s">
        <v>4728</v>
      </c>
    </row>
    <row r="2202" spans="1:17" x14ac:dyDescent="0.3">
      <c r="A2202" t="s">
        <v>4729</v>
      </c>
      <c r="B2202" t="str">
        <f>"000001"</f>
        <v>000001</v>
      </c>
      <c r="C2202" t="s">
        <v>4730</v>
      </c>
      <c r="D2202" t="s">
        <v>19</v>
      </c>
      <c r="P2202">
        <v>6180</v>
      </c>
      <c r="Q2202" t="s">
        <v>4731</v>
      </c>
    </row>
    <row r="2203" spans="1:17" x14ac:dyDescent="0.3">
      <c r="A2203" t="s">
        <v>4729</v>
      </c>
      <c r="B2203" t="str">
        <f>"000002"</f>
        <v>000002</v>
      </c>
      <c r="C2203" t="s">
        <v>4732</v>
      </c>
      <c r="D2203" t="s">
        <v>104</v>
      </c>
      <c r="F2203">
        <v>4743597024</v>
      </c>
      <c r="G2203">
        <v>2992423302</v>
      </c>
      <c r="H2203">
        <v>1988075738</v>
      </c>
      <c r="I2203">
        <v>1586180764</v>
      </c>
      <c r="J2203">
        <v>1432734014</v>
      </c>
      <c r="K2203">
        <v>2075256824</v>
      </c>
      <c r="L2203">
        <v>2510653270</v>
      </c>
      <c r="M2203">
        <v>1894071801</v>
      </c>
      <c r="N2203">
        <v>3078969781</v>
      </c>
      <c r="O2203">
        <v>1886548523</v>
      </c>
      <c r="P2203">
        <v>12436</v>
      </c>
      <c r="Q2203" t="s">
        <v>4733</v>
      </c>
    </row>
    <row r="2204" spans="1:17" x14ac:dyDescent="0.3">
      <c r="A2204" t="s">
        <v>4729</v>
      </c>
      <c r="B2204" t="str">
        <f>"000003"</f>
        <v>000003</v>
      </c>
      <c r="C2204" t="s">
        <v>4734</v>
      </c>
      <c r="K2204">
        <v>8320057.9800000004</v>
      </c>
      <c r="L2204">
        <v>0</v>
      </c>
      <c r="M2204">
        <v>0</v>
      </c>
      <c r="N2204">
        <v>0</v>
      </c>
      <c r="O2204">
        <v>0</v>
      </c>
      <c r="P2204">
        <v>12</v>
      </c>
      <c r="Q2204" t="s">
        <v>4735</v>
      </c>
    </row>
    <row r="2205" spans="1:17" x14ac:dyDescent="0.3">
      <c r="A2205" t="s">
        <v>4729</v>
      </c>
      <c r="B2205" t="str">
        <f>"000004"</f>
        <v>000004</v>
      </c>
      <c r="C2205" t="s">
        <v>4736</v>
      </c>
      <c r="D2205" t="s">
        <v>1189</v>
      </c>
      <c r="F2205">
        <v>370602392</v>
      </c>
      <c r="G2205">
        <v>315236347</v>
      </c>
      <c r="H2205">
        <v>264268767</v>
      </c>
      <c r="I2205">
        <v>27268320</v>
      </c>
      <c r="J2205">
        <v>9456606</v>
      </c>
      <c r="K2205">
        <v>1706211</v>
      </c>
      <c r="L2205">
        <v>1726514</v>
      </c>
      <c r="M2205">
        <v>2742071</v>
      </c>
      <c r="N2205">
        <v>3760743</v>
      </c>
      <c r="O2205">
        <v>8129105</v>
      </c>
      <c r="P2205">
        <v>187</v>
      </c>
      <c r="Q2205" t="s">
        <v>4737</v>
      </c>
    </row>
    <row r="2206" spans="1:17" x14ac:dyDescent="0.3">
      <c r="A2206" t="s">
        <v>4729</v>
      </c>
      <c r="B2206" t="str">
        <f>"000005"</f>
        <v>000005</v>
      </c>
      <c r="C2206" t="s">
        <v>4738</v>
      </c>
      <c r="D2206" t="s">
        <v>3575</v>
      </c>
      <c r="F2206">
        <v>162361723</v>
      </c>
      <c r="G2206">
        <v>325169670</v>
      </c>
      <c r="H2206">
        <v>415882160</v>
      </c>
      <c r="I2206">
        <v>299860363</v>
      </c>
      <c r="J2206">
        <v>193069010</v>
      </c>
      <c r="K2206">
        <v>161807801</v>
      </c>
      <c r="L2206">
        <v>74077385</v>
      </c>
      <c r="M2206">
        <v>1835804</v>
      </c>
      <c r="N2206">
        <v>1834753</v>
      </c>
      <c r="O2206">
        <v>140417515</v>
      </c>
      <c r="P2206">
        <v>87</v>
      </c>
      <c r="Q2206" t="s">
        <v>4739</v>
      </c>
    </row>
    <row r="2207" spans="1:17" x14ac:dyDescent="0.3">
      <c r="A2207" t="s">
        <v>4729</v>
      </c>
      <c r="B2207" t="str">
        <f>"000006"</f>
        <v>000006</v>
      </c>
      <c r="C2207" t="s">
        <v>4740</v>
      </c>
      <c r="D2207" t="s">
        <v>104</v>
      </c>
      <c r="F2207">
        <v>18905595</v>
      </c>
      <c r="G2207">
        <v>15313473</v>
      </c>
      <c r="H2207">
        <v>15153277</v>
      </c>
      <c r="I2207">
        <v>8342370</v>
      </c>
      <c r="J2207">
        <v>9953141</v>
      </c>
      <c r="K2207">
        <v>7467388</v>
      </c>
      <c r="L2207">
        <v>14898716</v>
      </c>
      <c r="M2207">
        <v>16025050</v>
      </c>
      <c r="N2207">
        <v>17499913</v>
      </c>
      <c r="O2207">
        <v>13335291</v>
      </c>
      <c r="P2207">
        <v>424</v>
      </c>
      <c r="Q2207" t="s">
        <v>4741</v>
      </c>
    </row>
    <row r="2208" spans="1:17" x14ac:dyDescent="0.3">
      <c r="A2208" t="s">
        <v>4729</v>
      </c>
      <c r="B2208" t="str">
        <f>"000007"</f>
        <v>000007</v>
      </c>
      <c r="C2208" t="s">
        <v>4742</v>
      </c>
      <c r="D2208" t="s">
        <v>271</v>
      </c>
      <c r="F2208">
        <v>13390554</v>
      </c>
      <c r="G2208">
        <v>0</v>
      </c>
      <c r="H2208">
        <v>0</v>
      </c>
      <c r="I2208">
        <v>0</v>
      </c>
      <c r="J2208">
        <v>0</v>
      </c>
      <c r="K2208">
        <v>2183075</v>
      </c>
      <c r="L2208">
        <v>31029434</v>
      </c>
      <c r="M2208">
        <v>56931284</v>
      </c>
      <c r="N2208">
        <v>34431727</v>
      </c>
      <c r="O2208">
        <v>58100015</v>
      </c>
      <c r="P2208">
        <v>93</v>
      </c>
      <c r="Q2208" t="s">
        <v>4743</v>
      </c>
    </row>
    <row r="2209" spans="1:17" x14ac:dyDescent="0.3">
      <c r="A2209" t="s">
        <v>4729</v>
      </c>
      <c r="B2209" t="str">
        <f>"000008"</f>
        <v>000008</v>
      </c>
      <c r="C2209" t="s">
        <v>4744</v>
      </c>
      <c r="D2209" t="s">
        <v>1012</v>
      </c>
      <c r="F2209">
        <v>2788745125</v>
      </c>
      <c r="G2209">
        <v>2976771437</v>
      </c>
      <c r="H2209">
        <v>3617388146</v>
      </c>
      <c r="I2209">
        <v>3085112774</v>
      </c>
      <c r="J2209">
        <v>2492756486</v>
      </c>
      <c r="K2209">
        <v>1666193905</v>
      </c>
      <c r="L2209">
        <v>742991547</v>
      </c>
      <c r="M2209">
        <v>5920307</v>
      </c>
      <c r="N2209">
        <v>4518080</v>
      </c>
      <c r="O2209">
        <v>11960433</v>
      </c>
      <c r="P2209">
        <v>301</v>
      </c>
      <c r="Q2209" t="s">
        <v>4745</v>
      </c>
    </row>
    <row r="2210" spans="1:17" x14ac:dyDescent="0.3">
      <c r="A2210" t="s">
        <v>4729</v>
      </c>
      <c r="B2210" t="str">
        <f>"000009"</f>
        <v>000009</v>
      </c>
      <c r="C2210" t="s">
        <v>4746</v>
      </c>
      <c r="D2210" t="s">
        <v>1790</v>
      </c>
      <c r="F2210">
        <v>3367014118</v>
      </c>
      <c r="G2210">
        <v>1976091929</v>
      </c>
      <c r="H2210">
        <v>1932693378</v>
      </c>
      <c r="I2210">
        <v>2855015738</v>
      </c>
      <c r="J2210">
        <v>2064670330</v>
      </c>
      <c r="K2210">
        <v>1429201460</v>
      </c>
      <c r="L2210">
        <v>997222523</v>
      </c>
      <c r="M2210">
        <v>773377136</v>
      </c>
      <c r="N2210">
        <v>797008280</v>
      </c>
      <c r="O2210">
        <v>586558651</v>
      </c>
      <c r="P2210">
        <v>468</v>
      </c>
      <c r="Q2210" t="s">
        <v>4747</v>
      </c>
    </row>
    <row r="2211" spans="1:17" x14ac:dyDescent="0.3">
      <c r="A2211" t="s">
        <v>4729</v>
      </c>
      <c r="B2211" t="str">
        <f>"000010"</f>
        <v>000010</v>
      </c>
      <c r="C2211" t="s">
        <v>4748</v>
      </c>
      <c r="D2211" t="s">
        <v>2417</v>
      </c>
      <c r="F2211">
        <v>2715314665</v>
      </c>
      <c r="G2211">
        <v>1929580119</v>
      </c>
      <c r="H2211">
        <v>1534880421</v>
      </c>
      <c r="I2211">
        <v>932063923</v>
      </c>
      <c r="J2211">
        <v>286569332</v>
      </c>
      <c r="K2211">
        <v>394199155</v>
      </c>
      <c r="L2211">
        <v>398073806</v>
      </c>
      <c r="M2211">
        <v>75836613</v>
      </c>
      <c r="N2211">
        <v>165661323</v>
      </c>
      <c r="O2211">
        <v>92963030</v>
      </c>
      <c r="P2211">
        <v>93</v>
      </c>
      <c r="Q2211" t="s">
        <v>4749</v>
      </c>
    </row>
    <row r="2212" spans="1:17" x14ac:dyDescent="0.3">
      <c r="A2212" t="s">
        <v>4729</v>
      </c>
      <c r="B2212" t="str">
        <f>"000011"</f>
        <v>000011</v>
      </c>
      <c r="C2212" t="s">
        <v>4750</v>
      </c>
      <c r="D2212" t="s">
        <v>104</v>
      </c>
      <c r="F2212">
        <v>271529529</v>
      </c>
      <c r="G2212">
        <v>187697631</v>
      </c>
      <c r="H2212">
        <v>216923663</v>
      </c>
      <c r="I2212">
        <v>64231268</v>
      </c>
      <c r="J2212">
        <v>46272601</v>
      </c>
      <c r="K2212">
        <v>31564220</v>
      </c>
      <c r="L2212">
        <v>38772146</v>
      </c>
      <c r="M2212">
        <v>26585132</v>
      </c>
      <c r="N2212">
        <v>22208022</v>
      </c>
      <c r="O2212">
        <v>20584009</v>
      </c>
      <c r="P2212">
        <v>479</v>
      </c>
      <c r="Q2212" t="s">
        <v>4751</v>
      </c>
    </row>
    <row r="2213" spans="1:17" x14ac:dyDescent="0.3">
      <c r="A2213" t="s">
        <v>4729</v>
      </c>
      <c r="B2213" t="str">
        <f>"000012"</f>
        <v>000012</v>
      </c>
      <c r="C2213" t="s">
        <v>4752</v>
      </c>
      <c r="D2213" t="s">
        <v>666</v>
      </c>
      <c r="F2213">
        <v>730525687</v>
      </c>
      <c r="G2213">
        <v>681467133</v>
      </c>
      <c r="H2213">
        <v>649681177</v>
      </c>
      <c r="I2213">
        <v>592233312</v>
      </c>
      <c r="J2213">
        <v>638238290</v>
      </c>
      <c r="K2213">
        <v>627985983</v>
      </c>
      <c r="L2213">
        <v>452961612</v>
      </c>
      <c r="M2213">
        <v>318274574</v>
      </c>
      <c r="N2213">
        <v>136430683</v>
      </c>
      <c r="O2213">
        <v>276814461</v>
      </c>
      <c r="P2213">
        <v>409</v>
      </c>
      <c r="Q2213" t="s">
        <v>4753</v>
      </c>
    </row>
    <row r="2214" spans="1:17" x14ac:dyDescent="0.3">
      <c r="A2214" t="s">
        <v>4729</v>
      </c>
      <c r="B2214" t="str">
        <f>"000014"</f>
        <v>000014</v>
      </c>
      <c r="C2214" t="s">
        <v>4754</v>
      </c>
      <c r="D2214" t="s">
        <v>104</v>
      </c>
      <c r="F2214">
        <v>631658</v>
      </c>
      <c r="G2214">
        <v>1262234</v>
      </c>
      <c r="H2214">
        <v>43521</v>
      </c>
      <c r="I2214">
        <v>114644</v>
      </c>
      <c r="J2214">
        <v>610712</v>
      </c>
      <c r="K2214">
        <v>1061379</v>
      </c>
      <c r="L2214">
        <v>4645646</v>
      </c>
      <c r="M2214">
        <v>4767622</v>
      </c>
      <c r="N2214">
        <v>5146664</v>
      </c>
      <c r="O2214">
        <v>4415284</v>
      </c>
      <c r="P2214">
        <v>96</v>
      </c>
      <c r="Q2214" t="s">
        <v>4755</v>
      </c>
    </row>
    <row r="2215" spans="1:17" x14ac:dyDescent="0.3">
      <c r="A2215" t="s">
        <v>4729</v>
      </c>
      <c r="B2215" t="str">
        <f>"000015"</f>
        <v>000015</v>
      </c>
      <c r="C2215" t="s">
        <v>4756</v>
      </c>
      <c r="K2215">
        <v>92085338.439999998</v>
      </c>
      <c r="L2215">
        <v>122452392.51000001</v>
      </c>
      <c r="M2215">
        <v>0</v>
      </c>
      <c r="N2215">
        <v>0</v>
      </c>
      <c r="O2215">
        <v>0</v>
      </c>
      <c r="P2215">
        <v>13</v>
      </c>
      <c r="Q2215" t="s">
        <v>4757</v>
      </c>
    </row>
    <row r="2216" spans="1:17" x14ac:dyDescent="0.3">
      <c r="A2216" t="s">
        <v>4729</v>
      </c>
      <c r="B2216" t="str">
        <f>"000016"</f>
        <v>000016</v>
      </c>
      <c r="C2216" t="s">
        <v>4758</v>
      </c>
      <c r="D2216" t="s">
        <v>137</v>
      </c>
      <c r="F2216">
        <v>3397729481</v>
      </c>
      <c r="G2216">
        <v>3900897624</v>
      </c>
      <c r="H2216">
        <v>4416179658</v>
      </c>
      <c r="I2216">
        <v>4458053586</v>
      </c>
      <c r="J2216">
        <v>3443095947</v>
      </c>
      <c r="K2216">
        <v>2307965548</v>
      </c>
      <c r="L2216">
        <v>2048813439</v>
      </c>
      <c r="M2216">
        <v>2259293207</v>
      </c>
      <c r="N2216">
        <v>2460996985</v>
      </c>
      <c r="O2216">
        <v>1975605771</v>
      </c>
      <c r="P2216">
        <v>266</v>
      </c>
      <c r="Q2216" t="s">
        <v>4759</v>
      </c>
    </row>
    <row r="2217" spans="1:17" x14ac:dyDescent="0.3">
      <c r="A2217" t="s">
        <v>4729</v>
      </c>
      <c r="B2217" t="str">
        <f>"000017"</f>
        <v>000017</v>
      </c>
      <c r="C2217" t="s">
        <v>4760</v>
      </c>
      <c r="D2217" t="s">
        <v>233</v>
      </c>
      <c r="F2217">
        <v>46850084</v>
      </c>
      <c r="G2217">
        <v>55031425</v>
      </c>
      <c r="H2217">
        <v>38616524</v>
      </c>
      <c r="I2217">
        <v>29007509</v>
      </c>
      <c r="J2217">
        <v>29007775</v>
      </c>
      <c r="K2217">
        <v>12371387</v>
      </c>
      <c r="L2217">
        <v>9195296</v>
      </c>
      <c r="M2217">
        <v>6790983</v>
      </c>
      <c r="N2217">
        <v>7060251</v>
      </c>
      <c r="O2217">
        <v>6002163</v>
      </c>
      <c r="P2217">
        <v>64</v>
      </c>
      <c r="Q2217" t="s">
        <v>4761</v>
      </c>
    </row>
    <row r="2218" spans="1:17" x14ac:dyDescent="0.3">
      <c r="A2218" t="s">
        <v>4729</v>
      </c>
      <c r="B2218" t="str">
        <f>"000018"</f>
        <v>000018</v>
      </c>
      <c r="C2218" t="s">
        <v>4762</v>
      </c>
      <c r="H2218">
        <v>1156853844</v>
      </c>
      <c r="I2218">
        <v>4202594258</v>
      </c>
      <c r="J2218">
        <v>5706675244</v>
      </c>
      <c r="K2218">
        <v>3725170208</v>
      </c>
      <c r="L2218">
        <v>2352808087</v>
      </c>
      <c r="M2218">
        <v>0</v>
      </c>
      <c r="N2218">
        <v>0</v>
      </c>
      <c r="O2218">
        <v>744712</v>
      </c>
      <c r="P2218">
        <v>99</v>
      </c>
      <c r="Q2218" t="s">
        <v>4763</v>
      </c>
    </row>
    <row r="2219" spans="1:17" x14ac:dyDescent="0.3">
      <c r="A2219" t="s">
        <v>4729</v>
      </c>
      <c r="B2219" t="str">
        <f>"000019"</f>
        <v>000019</v>
      </c>
      <c r="C2219" t="s">
        <v>4764</v>
      </c>
      <c r="D2219" t="s">
        <v>306</v>
      </c>
      <c r="F2219">
        <v>283047342</v>
      </c>
      <c r="G2219">
        <v>198311102</v>
      </c>
      <c r="H2219">
        <v>338687767</v>
      </c>
      <c r="I2219">
        <v>473646887</v>
      </c>
      <c r="J2219">
        <v>77193068</v>
      </c>
      <c r="K2219">
        <v>62582868</v>
      </c>
      <c r="L2219">
        <v>75948016</v>
      </c>
      <c r="M2219">
        <v>103147982</v>
      </c>
      <c r="N2219">
        <v>106664101</v>
      </c>
      <c r="O2219">
        <v>105402755</v>
      </c>
      <c r="P2219">
        <v>176</v>
      </c>
      <c r="Q2219" t="s">
        <v>4765</v>
      </c>
    </row>
    <row r="2220" spans="1:17" x14ac:dyDescent="0.3">
      <c r="A2220" t="s">
        <v>4729</v>
      </c>
      <c r="B2220" t="str">
        <f>"000020"</f>
        <v>000020</v>
      </c>
      <c r="C2220" t="s">
        <v>4766</v>
      </c>
      <c r="D2220" t="s">
        <v>1117</v>
      </c>
      <c r="F2220">
        <v>128675328</v>
      </c>
      <c r="G2220">
        <v>128063912</v>
      </c>
      <c r="H2220">
        <v>138755691</v>
      </c>
      <c r="I2220">
        <v>116797835</v>
      </c>
      <c r="J2220">
        <v>148795998</v>
      </c>
      <c r="K2220">
        <v>139808058</v>
      </c>
      <c r="L2220">
        <v>109965992</v>
      </c>
      <c r="M2220">
        <v>112425469</v>
      </c>
      <c r="N2220">
        <v>162278706</v>
      </c>
      <c r="O2220">
        <v>161782908</v>
      </c>
      <c r="P2220">
        <v>75</v>
      </c>
      <c r="Q2220" t="s">
        <v>4767</v>
      </c>
    </row>
    <row r="2221" spans="1:17" x14ac:dyDescent="0.3">
      <c r="A2221" t="s">
        <v>4729</v>
      </c>
      <c r="B2221" t="str">
        <f>"000021"</f>
        <v>000021</v>
      </c>
      <c r="C2221" t="s">
        <v>4768</v>
      </c>
      <c r="D2221" t="s">
        <v>313</v>
      </c>
      <c r="F2221">
        <v>2772079903</v>
      </c>
      <c r="G2221">
        <v>2926805379</v>
      </c>
      <c r="H2221">
        <v>1833485111</v>
      </c>
      <c r="I2221">
        <v>1541697770</v>
      </c>
      <c r="J2221">
        <v>1625945224</v>
      </c>
      <c r="K2221">
        <v>2242084970</v>
      </c>
      <c r="L2221">
        <v>1623077552</v>
      </c>
      <c r="M2221">
        <v>2213402167</v>
      </c>
      <c r="N2221">
        <v>1837175661</v>
      </c>
      <c r="O2221">
        <v>1397172471</v>
      </c>
      <c r="P2221">
        <v>442</v>
      </c>
      <c r="Q2221" t="s">
        <v>4769</v>
      </c>
    </row>
    <row r="2222" spans="1:17" x14ac:dyDescent="0.3">
      <c r="A2222" t="s">
        <v>4729</v>
      </c>
      <c r="B2222" t="str">
        <f>"000022"</f>
        <v>000022</v>
      </c>
      <c r="C2222" t="s">
        <v>4770</v>
      </c>
      <c r="J2222">
        <v>257081962</v>
      </c>
      <c r="K2222">
        <v>173934497</v>
      </c>
      <c r="L2222">
        <v>189016564.86000001</v>
      </c>
      <c r="M2222">
        <v>203641944.62</v>
      </c>
      <c r="N2222">
        <v>223441476.99000001</v>
      </c>
      <c r="O2222">
        <v>251420961</v>
      </c>
      <c r="P2222">
        <v>83</v>
      </c>
      <c r="Q2222" t="s">
        <v>4771</v>
      </c>
    </row>
    <row r="2223" spans="1:17" x14ac:dyDescent="0.3">
      <c r="A2223" t="s">
        <v>4729</v>
      </c>
      <c r="B2223" t="str">
        <f>"000023"</f>
        <v>000023</v>
      </c>
      <c r="C2223" t="s">
        <v>4772</v>
      </c>
      <c r="D2223" t="s">
        <v>3098</v>
      </c>
      <c r="F2223">
        <v>770341715</v>
      </c>
      <c r="G2223">
        <v>893247768</v>
      </c>
      <c r="H2223">
        <v>1015682127</v>
      </c>
      <c r="I2223">
        <v>896903812</v>
      </c>
      <c r="J2223">
        <v>715812290</v>
      </c>
      <c r="K2223">
        <v>642433694</v>
      </c>
      <c r="L2223">
        <v>690915999</v>
      </c>
      <c r="M2223">
        <v>611682644</v>
      </c>
      <c r="N2223">
        <v>529677327</v>
      </c>
      <c r="O2223">
        <v>501216379</v>
      </c>
      <c r="P2223">
        <v>78</v>
      </c>
      <c r="Q2223" t="s">
        <v>4773</v>
      </c>
    </row>
    <row r="2224" spans="1:17" x14ac:dyDescent="0.3">
      <c r="A2224" t="s">
        <v>4729</v>
      </c>
      <c r="B2224" t="str">
        <f>"000024"</f>
        <v>000024</v>
      </c>
      <c r="C2224" t="s">
        <v>4774</v>
      </c>
      <c r="M2224">
        <v>68311944.299999997</v>
      </c>
      <c r="N2224">
        <v>76864814.810000002</v>
      </c>
      <c r="O2224">
        <v>162099162.72999999</v>
      </c>
      <c r="P2224">
        <v>36</v>
      </c>
      <c r="Q2224" t="s">
        <v>4775</v>
      </c>
    </row>
    <row r="2225" spans="1:17" x14ac:dyDescent="0.3">
      <c r="A2225" t="s">
        <v>4729</v>
      </c>
      <c r="B2225" t="str">
        <f>"000025"</f>
        <v>000025</v>
      </c>
      <c r="C2225" t="s">
        <v>4776</v>
      </c>
      <c r="D2225" t="s">
        <v>672</v>
      </c>
      <c r="F2225">
        <v>18094060</v>
      </c>
      <c r="G2225">
        <v>19828510</v>
      </c>
      <c r="H2225">
        <v>112613224</v>
      </c>
      <c r="I2225">
        <v>86104661</v>
      </c>
      <c r="J2225">
        <v>44215237</v>
      </c>
      <c r="K2225">
        <v>113737</v>
      </c>
      <c r="L2225">
        <v>562051</v>
      </c>
      <c r="M2225">
        <v>1373258</v>
      </c>
      <c r="N2225">
        <v>5016739</v>
      </c>
      <c r="O2225">
        <v>5779383</v>
      </c>
      <c r="P2225">
        <v>140</v>
      </c>
      <c r="Q2225" t="s">
        <v>4777</v>
      </c>
    </row>
    <row r="2226" spans="1:17" x14ac:dyDescent="0.3">
      <c r="A2226" t="s">
        <v>4729</v>
      </c>
      <c r="B2226" t="str">
        <f>"000026"</f>
        <v>000026</v>
      </c>
      <c r="C2226" t="s">
        <v>4778</v>
      </c>
      <c r="D2226" t="s">
        <v>1238</v>
      </c>
      <c r="F2226">
        <v>388885601</v>
      </c>
      <c r="G2226">
        <v>475598685</v>
      </c>
      <c r="H2226">
        <v>397471107</v>
      </c>
      <c r="I2226">
        <v>370545657</v>
      </c>
      <c r="J2226">
        <v>326254625</v>
      </c>
      <c r="K2226">
        <v>306671022</v>
      </c>
      <c r="L2226">
        <v>304725676</v>
      </c>
      <c r="M2226">
        <v>351276906</v>
      </c>
      <c r="N2226">
        <v>324457339</v>
      </c>
      <c r="O2226">
        <v>309117274</v>
      </c>
      <c r="P2226">
        <v>321</v>
      </c>
      <c r="Q2226" t="s">
        <v>4779</v>
      </c>
    </row>
    <row r="2227" spans="1:17" x14ac:dyDescent="0.3">
      <c r="A2227" t="s">
        <v>4729</v>
      </c>
      <c r="B2227" t="str">
        <f>"000027"</f>
        <v>000027</v>
      </c>
      <c r="C2227" t="s">
        <v>4780</v>
      </c>
      <c r="D2227" t="s">
        <v>41</v>
      </c>
      <c r="F2227">
        <v>10270664854</v>
      </c>
      <c r="G2227">
        <v>6796959051</v>
      </c>
      <c r="H2227">
        <v>6685266127</v>
      </c>
      <c r="I2227">
        <v>5778948982</v>
      </c>
      <c r="J2227">
        <v>4670018938</v>
      </c>
      <c r="K2227">
        <v>3568461480</v>
      </c>
      <c r="L2227">
        <v>2789243277</v>
      </c>
      <c r="M2227">
        <v>2515567743</v>
      </c>
      <c r="N2227">
        <v>1972609134</v>
      </c>
      <c r="O2227">
        <v>1384700291</v>
      </c>
      <c r="P2227">
        <v>509</v>
      </c>
      <c r="Q2227" t="s">
        <v>4781</v>
      </c>
    </row>
    <row r="2228" spans="1:17" x14ac:dyDescent="0.3">
      <c r="A2228" t="s">
        <v>4729</v>
      </c>
      <c r="B2228" t="str">
        <f>"000028"</f>
        <v>000028</v>
      </c>
      <c r="C2228" t="s">
        <v>4782</v>
      </c>
      <c r="D2228" t="s">
        <v>125</v>
      </c>
      <c r="F2228">
        <v>15964603346</v>
      </c>
      <c r="G2228">
        <v>13799971014</v>
      </c>
      <c r="H2228">
        <v>10617981894</v>
      </c>
      <c r="I2228">
        <v>9336861648</v>
      </c>
      <c r="J2228">
        <v>7589412680</v>
      </c>
      <c r="K2228">
        <v>7654225511</v>
      </c>
      <c r="L2228">
        <v>6153830883</v>
      </c>
      <c r="M2228">
        <v>7018312673</v>
      </c>
      <c r="N2228">
        <v>5675658507</v>
      </c>
      <c r="O2228">
        <v>4393325301</v>
      </c>
      <c r="P2228">
        <v>1098</v>
      </c>
      <c r="Q2228" t="s">
        <v>4783</v>
      </c>
    </row>
    <row r="2229" spans="1:17" x14ac:dyDescent="0.3">
      <c r="A2229" t="s">
        <v>4729</v>
      </c>
      <c r="B2229" t="str">
        <f>"000029"</f>
        <v>000029</v>
      </c>
      <c r="C2229" t="s">
        <v>4784</v>
      </c>
      <c r="D2229" t="s">
        <v>104</v>
      </c>
      <c r="F2229">
        <v>61048785</v>
      </c>
      <c r="G2229">
        <v>59590944</v>
      </c>
      <c r="H2229">
        <v>62059056</v>
      </c>
      <c r="I2229">
        <v>33426992</v>
      </c>
      <c r="J2229">
        <v>137092156</v>
      </c>
      <c r="K2229">
        <v>108298050</v>
      </c>
      <c r="L2229">
        <v>112543909</v>
      </c>
      <c r="M2229">
        <v>84388842</v>
      </c>
      <c r="N2229">
        <v>14102124</v>
      </c>
      <c r="O2229">
        <v>24413187</v>
      </c>
      <c r="P2229">
        <v>137</v>
      </c>
      <c r="Q2229" t="s">
        <v>4785</v>
      </c>
    </row>
    <row r="2230" spans="1:17" x14ac:dyDescent="0.3">
      <c r="A2230" t="s">
        <v>4729</v>
      </c>
      <c r="B2230" t="str">
        <f>"000030"</f>
        <v>000030</v>
      </c>
      <c r="C2230" t="s">
        <v>4786</v>
      </c>
      <c r="D2230" t="s">
        <v>348</v>
      </c>
      <c r="F2230">
        <v>1950670377</v>
      </c>
      <c r="G2230">
        <v>1478081878</v>
      </c>
      <c r="H2230">
        <v>1851253216</v>
      </c>
      <c r="I2230">
        <v>1719701694</v>
      </c>
      <c r="J2230">
        <v>1596653173</v>
      </c>
      <c r="K2230">
        <v>1322051086</v>
      </c>
      <c r="L2230">
        <v>1197755120</v>
      </c>
      <c r="M2230">
        <v>1030584930</v>
      </c>
      <c r="N2230">
        <v>1116340869</v>
      </c>
      <c r="O2230">
        <v>0</v>
      </c>
      <c r="P2230">
        <v>330</v>
      </c>
      <c r="Q2230" t="s">
        <v>4787</v>
      </c>
    </row>
    <row r="2231" spans="1:17" x14ac:dyDescent="0.3">
      <c r="A2231" t="s">
        <v>4729</v>
      </c>
      <c r="B2231" t="str">
        <f>"000031"</f>
        <v>000031</v>
      </c>
      <c r="C2231" t="s">
        <v>4788</v>
      </c>
      <c r="D2231" t="s">
        <v>30</v>
      </c>
      <c r="F2231">
        <v>301477163</v>
      </c>
      <c r="G2231">
        <v>319110555</v>
      </c>
      <c r="H2231">
        <v>323156872</v>
      </c>
      <c r="I2231">
        <v>250267836</v>
      </c>
      <c r="J2231">
        <v>179363218</v>
      </c>
      <c r="K2231">
        <v>213141068</v>
      </c>
      <c r="L2231">
        <v>160264306</v>
      </c>
      <c r="M2231">
        <v>226835548</v>
      </c>
      <c r="N2231">
        <v>195174325</v>
      </c>
      <c r="O2231">
        <v>382472684</v>
      </c>
      <c r="P2231">
        <v>327</v>
      </c>
      <c r="Q2231" t="s">
        <v>4789</v>
      </c>
    </row>
    <row r="2232" spans="1:17" x14ac:dyDescent="0.3">
      <c r="A2232" t="s">
        <v>4729</v>
      </c>
      <c r="B2232" t="str">
        <f>"000032"</f>
        <v>000032</v>
      </c>
      <c r="C2232" t="s">
        <v>4790</v>
      </c>
      <c r="D2232" t="s">
        <v>786</v>
      </c>
      <c r="F2232">
        <v>10031582831</v>
      </c>
      <c r="G2232">
        <v>258574334</v>
      </c>
      <c r="H2232">
        <v>173441496</v>
      </c>
      <c r="I2232">
        <v>165261130</v>
      </c>
      <c r="J2232">
        <v>164762614</v>
      </c>
      <c r="K2232">
        <v>234162997</v>
      </c>
      <c r="L2232">
        <v>197679702</v>
      </c>
      <c r="M2232">
        <v>845582959</v>
      </c>
      <c r="N2232">
        <v>83715554</v>
      </c>
      <c r="O2232">
        <v>139822285</v>
      </c>
      <c r="P2232">
        <v>121</v>
      </c>
      <c r="Q2232" t="s">
        <v>4791</v>
      </c>
    </row>
    <row r="2233" spans="1:17" x14ac:dyDescent="0.3">
      <c r="A2233" t="s">
        <v>4729</v>
      </c>
      <c r="B2233" t="str">
        <f>"000033"</f>
        <v>000033</v>
      </c>
      <c r="C2233" t="s">
        <v>4792</v>
      </c>
      <c r="K2233">
        <v>9779771.5500000007</v>
      </c>
      <c r="L2233">
        <v>2881636.27</v>
      </c>
      <c r="M2233">
        <v>7697997.9199999999</v>
      </c>
      <c r="N2233">
        <v>7246659.3700000001</v>
      </c>
      <c r="O2233">
        <v>13156483.75</v>
      </c>
      <c r="P2233">
        <v>7</v>
      </c>
      <c r="Q2233" t="s">
        <v>4793</v>
      </c>
    </row>
    <row r="2234" spans="1:17" x14ac:dyDescent="0.3">
      <c r="A2234" t="s">
        <v>4729</v>
      </c>
      <c r="B2234" t="str">
        <f>"000034"</f>
        <v>000034</v>
      </c>
      <c r="C2234" t="s">
        <v>4794</v>
      </c>
      <c r="D2234" t="s">
        <v>316</v>
      </c>
      <c r="F2234">
        <v>8343727083</v>
      </c>
      <c r="G2234">
        <v>7456223493</v>
      </c>
      <c r="H2234">
        <v>7038877341</v>
      </c>
      <c r="I2234">
        <v>8604664664</v>
      </c>
      <c r="J2234">
        <v>7438628727</v>
      </c>
      <c r="K2234">
        <v>6621833967</v>
      </c>
      <c r="L2234">
        <v>23164403</v>
      </c>
      <c r="M2234">
        <v>22916313</v>
      </c>
      <c r="N2234">
        <v>14261435</v>
      </c>
      <c r="O2234">
        <v>13185305</v>
      </c>
      <c r="P2234">
        <v>412</v>
      </c>
      <c r="Q2234" t="s">
        <v>4795</v>
      </c>
    </row>
    <row r="2235" spans="1:17" x14ac:dyDescent="0.3">
      <c r="A2235" t="s">
        <v>4729</v>
      </c>
      <c r="B2235" t="str">
        <f>"000035"</f>
        <v>000035</v>
      </c>
      <c r="C2235" t="s">
        <v>4796</v>
      </c>
      <c r="D2235" t="s">
        <v>499</v>
      </c>
      <c r="F2235">
        <v>1243034136</v>
      </c>
      <c r="G2235">
        <v>5953865246</v>
      </c>
      <c r="H2235">
        <v>5721126759</v>
      </c>
      <c r="I2235">
        <v>457807700</v>
      </c>
      <c r="J2235">
        <v>323708816</v>
      </c>
      <c r="K2235">
        <v>168102601</v>
      </c>
      <c r="L2235">
        <v>142356604</v>
      </c>
      <c r="M2235">
        <v>103873691</v>
      </c>
      <c r="N2235">
        <v>0</v>
      </c>
      <c r="O2235">
        <v>0</v>
      </c>
      <c r="P2235">
        <v>198</v>
      </c>
      <c r="Q2235" t="s">
        <v>4797</v>
      </c>
    </row>
    <row r="2236" spans="1:17" x14ac:dyDescent="0.3">
      <c r="A2236" t="s">
        <v>4729</v>
      </c>
      <c r="B2236" t="str">
        <f>"000036"</f>
        <v>000036</v>
      </c>
      <c r="C2236" t="s">
        <v>4798</v>
      </c>
      <c r="D2236" t="s">
        <v>104</v>
      </c>
      <c r="F2236">
        <v>1280428</v>
      </c>
      <c r="G2236">
        <v>17105896</v>
      </c>
      <c r="H2236">
        <v>27331825</v>
      </c>
      <c r="I2236">
        <v>27446752</v>
      </c>
      <c r="J2236">
        <v>26767463</v>
      </c>
      <c r="K2236">
        <v>2027398</v>
      </c>
      <c r="L2236">
        <v>3000664</v>
      </c>
      <c r="M2236">
        <v>3490265</v>
      </c>
      <c r="N2236">
        <v>4976347</v>
      </c>
      <c r="O2236">
        <v>6424609</v>
      </c>
      <c r="P2236">
        <v>880</v>
      </c>
      <c r="Q2236" t="s">
        <v>4799</v>
      </c>
    </row>
    <row r="2237" spans="1:17" x14ac:dyDescent="0.3">
      <c r="A2237" t="s">
        <v>4729</v>
      </c>
      <c r="B2237" t="str">
        <f>"000037"</f>
        <v>000037</v>
      </c>
      <c r="C2237" t="s">
        <v>4800</v>
      </c>
      <c r="D2237" t="s">
        <v>351</v>
      </c>
      <c r="F2237">
        <v>73610161</v>
      </c>
      <c r="G2237">
        <v>85293053</v>
      </c>
      <c r="H2237">
        <v>178150580</v>
      </c>
      <c r="I2237">
        <v>132430025</v>
      </c>
      <c r="J2237">
        <v>113349776</v>
      </c>
      <c r="K2237">
        <v>166808672</v>
      </c>
      <c r="L2237">
        <v>405391443</v>
      </c>
      <c r="M2237">
        <v>502772509</v>
      </c>
      <c r="N2237">
        <v>876368547</v>
      </c>
      <c r="O2237">
        <v>924997868</v>
      </c>
      <c r="P2237">
        <v>112</v>
      </c>
      <c r="Q2237" t="s">
        <v>4801</v>
      </c>
    </row>
    <row r="2238" spans="1:17" x14ac:dyDescent="0.3">
      <c r="A2238" t="s">
        <v>4729</v>
      </c>
      <c r="B2238" t="str">
        <f>"000038"</f>
        <v>000038</v>
      </c>
      <c r="C2238" t="s">
        <v>4802</v>
      </c>
      <c r="D2238" t="s">
        <v>110</v>
      </c>
      <c r="F2238">
        <v>141707197</v>
      </c>
      <c r="G2238">
        <v>438682424</v>
      </c>
      <c r="H2238">
        <v>300434138</v>
      </c>
      <c r="I2238">
        <v>555647882</v>
      </c>
      <c r="J2238">
        <v>679583478</v>
      </c>
      <c r="K2238">
        <v>454882151</v>
      </c>
      <c r="L2238">
        <v>600000</v>
      </c>
      <c r="M2238">
        <v>0</v>
      </c>
      <c r="N2238">
        <v>1160000</v>
      </c>
      <c r="O2238">
        <v>0</v>
      </c>
      <c r="P2238">
        <v>113</v>
      </c>
      <c r="Q2238" t="s">
        <v>4803</v>
      </c>
    </row>
    <row r="2239" spans="1:17" x14ac:dyDescent="0.3">
      <c r="A2239" t="s">
        <v>4729</v>
      </c>
      <c r="B2239" t="str">
        <f>"000039"</f>
        <v>000039</v>
      </c>
      <c r="C2239" t="s">
        <v>4804</v>
      </c>
      <c r="D2239" t="s">
        <v>274</v>
      </c>
      <c r="F2239">
        <v>25491181000</v>
      </c>
      <c r="G2239">
        <v>18635765000</v>
      </c>
      <c r="H2239">
        <v>18394971000</v>
      </c>
      <c r="I2239">
        <v>17895919000</v>
      </c>
      <c r="J2239">
        <v>16396726000</v>
      </c>
      <c r="K2239">
        <v>11526075000</v>
      </c>
      <c r="L2239">
        <v>10667049000</v>
      </c>
      <c r="M2239">
        <v>11480465000</v>
      </c>
      <c r="N2239">
        <v>10066489000</v>
      </c>
      <c r="O2239">
        <v>8238033000</v>
      </c>
      <c r="P2239">
        <v>679</v>
      </c>
      <c r="Q2239" t="s">
        <v>4805</v>
      </c>
    </row>
    <row r="2240" spans="1:17" x14ac:dyDescent="0.3">
      <c r="A2240" t="s">
        <v>4729</v>
      </c>
      <c r="B2240" t="str">
        <f>"000040"</f>
        <v>000040</v>
      </c>
      <c r="C2240" t="s">
        <v>4806</v>
      </c>
      <c r="D2240" t="s">
        <v>86</v>
      </c>
      <c r="F2240">
        <v>3283068556</v>
      </c>
      <c r="G2240">
        <v>2903702603</v>
      </c>
      <c r="H2240">
        <v>2986108844</v>
      </c>
      <c r="I2240">
        <v>3297595293</v>
      </c>
      <c r="J2240">
        <v>2539108521</v>
      </c>
      <c r="K2240">
        <v>1066466183</v>
      </c>
      <c r="L2240">
        <v>12885126</v>
      </c>
      <c r="M2240">
        <v>63332358</v>
      </c>
      <c r="N2240">
        <v>5633420</v>
      </c>
      <c r="O2240">
        <v>10014630</v>
      </c>
      <c r="P2240">
        <v>219</v>
      </c>
      <c r="Q2240" t="s">
        <v>4807</v>
      </c>
    </row>
    <row r="2241" spans="1:17" x14ac:dyDescent="0.3">
      <c r="A2241" t="s">
        <v>4729</v>
      </c>
      <c r="B2241" t="str">
        <f>"000042"</f>
        <v>000042</v>
      </c>
      <c r="C2241" t="s">
        <v>4808</v>
      </c>
      <c r="D2241" t="s">
        <v>104</v>
      </c>
      <c r="F2241">
        <v>183828330</v>
      </c>
      <c r="G2241">
        <v>121320424</v>
      </c>
      <c r="H2241">
        <v>117147268</v>
      </c>
      <c r="I2241">
        <v>114930889</v>
      </c>
      <c r="J2241">
        <v>98972595</v>
      </c>
      <c r="K2241">
        <v>92466242</v>
      </c>
      <c r="L2241">
        <v>81290045</v>
      </c>
      <c r="M2241">
        <v>11220301</v>
      </c>
      <c r="N2241">
        <v>8614857</v>
      </c>
      <c r="O2241">
        <v>7914615</v>
      </c>
      <c r="P2241">
        <v>121</v>
      </c>
      <c r="Q2241" t="s">
        <v>4809</v>
      </c>
    </row>
    <row r="2242" spans="1:17" x14ac:dyDescent="0.3">
      <c r="A2242" t="s">
        <v>4729</v>
      </c>
      <c r="B2242" t="str">
        <f>"000043"</f>
        <v>000043</v>
      </c>
      <c r="C2242" t="s">
        <v>4810</v>
      </c>
      <c r="H2242">
        <v>1094715782</v>
      </c>
      <c r="I2242">
        <v>605480914</v>
      </c>
      <c r="J2242">
        <v>510903068</v>
      </c>
      <c r="K2242">
        <v>560470332</v>
      </c>
      <c r="L2242">
        <v>402305579</v>
      </c>
      <c r="M2242">
        <v>364171453</v>
      </c>
      <c r="N2242">
        <v>450450578</v>
      </c>
      <c r="O2242">
        <v>379927220</v>
      </c>
      <c r="P2242">
        <v>73</v>
      </c>
      <c r="Q2242" t="s">
        <v>4811</v>
      </c>
    </row>
    <row r="2243" spans="1:17" x14ac:dyDescent="0.3">
      <c r="A2243" t="s">
        <v>4729</v>
      </c>
      <c r="B2243" t="str">
        <f>"000045"</f>
        <v>000045</v>
      </c>
      <c r="C2243" t="s">
        <v>4812</v>
      </c>
      <c r="D2243" t="s">
        <v>1117</v>
      </c>
      <c r="F2243">
        <v>479998709</v>
      </c>
      <c r="G2243">
        <v>547310218</v>
      </c>
      <c r="H2243">
        <v>365325029</v>
      </c>
      <c r="I2243">
        <v>528454016</v>
      </c>
      <c r="J2243">
        <v>192503078</v>
      </c>
      <c r="K2243">
        <v>220222019</v>
      </c>
      <c r="L2243">
        <v>182766372</v>
      </c>
      <c r="M2243">
        <v>156123570</v>
      </c>
      <c r="N2243">
        <v>138422205</v>
      </c>
      <c r="O2243">
        <v>100941343</v>
      </c>
      <c r="P2243">
        <v>86</v>
      </c>
      <c r="Q2243" t="s">
        <v>4813</v>
      </c>
    </row>
    <row r="2244" spans="1:17" x14ac:dyDescent="0.3">
      <c r="A2244" t="s">
        <v>4729</v>
      </c>
      <c r="B2244" t="str">
        <f>"000046"</f>
        <v>000046</v>
      </c>
      <c r="C2244" t="s">
        <v>4814</v>
      </c>
      <c r="D2244" t="s">
        <v>104</v>
      </c>
      <c r="F2244">
        <v>1043000764</v>
      </c>
      <c r="G2244">
        <v>1218777406</v>
      </c>
      <c r="H2244">
        <v>878679795</v>
      </c>
      <c r="I2244">
        <v>1281194765</v>
      </c>
      <c r="J2244">
        <v>2069477384</v>
      </c>
      <c r="K2244">
        <v>427288404</v>
      </c>
      <c r="L2244">
        <v>1182083826</v>
      </c>
      <c r="M2244">
        <v>1551481439</v>
      </c>
      <c r="N2244">
        <v>1051912330</v>
      </c>
      <c r="O2244">
        <v>393515805</v>
      </c>
      <c r="P2244">
        <v>210</v>
      </c>
      <c r="Q2244" t="s">
        <v>4815</v>
      </c>
    </row>
    <row r="2245" spans="1:17" x14ac:dyDescent="0.3">
      <c r="A2245" t="s">
        <v>4729</v>
      </c>
      <c r="B2245" t="str">
        <f>"000047"</f>
        <v>000047</v>
      </c>
      <c r="C2245" t="s">
        <v>4816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6</v>
      </c>
      <c r="Q2245" t="s">
        <v>4817</v>
      </c>
    </row>
    <row r="2246" spans="1:17" x14ac:dyDescent="0.3">
      <c r="A2246" t="s">
        <v>4729</v>
      </c>
      <c r="B2246" t="str">
        <f>"000048"</f>
        <v>000048</v>
      </c>
      <c r="C2246" t="s">
        <v>4818</v>
      </c>
      <c r="D2246" t="s">
        <v>104</v>
      </c>
      <c r="F2246">
        <v>36449798</v>
      </c>
      <c r="G2246">
        <v>35832546</v>
      </c>
      <c r="H2246">
        <v>40354716</v>
      </c>
      <c r="I2246">
        <v>67566217</v>
      </c>
      <c r="J2246">
        <v>44424975</v>
      </c>
      <c r="K2246">
        <v>46352064</v>
      </c>
      <c r="L2246">
        <v>40006088</v>
      </c>
      <c r="M2246">
        <v>44119988</v>
      </c>
      <c r="N2246">
        <v>30006030</v>
      </c>
      <c r="O2246">
        <v>13485493</v>
      </c>
      <c r="P2246">
        <v>588</v>
      </c>
      <c r="Q2246" t="s">
        <v>4819</v>
      </c>
    </row>
    <row r="2247" spans="1:17" x14ac:dyDescent="0.3">
      <c r="A2247" t="s">
        <v>4729</v>
      </c>
      <c r="B2247" t="str">
        <f>"000049"</f>
        <v>000049</v>
      </c>
      <c r="C2247" t="s">
        <v>4820</v>
      </c>
      <c r="D2247" t="s">
        <v>359</v>
      </c>
      <c r="F2247">
        <v>5150216628</v>
      </c>
      <c r="G2247">
        <v>4643767736</v>
      </c>
      <c r="H2247">
        <v>3924910683</v>
      </c>
      <c r="I2247">
        <v>4151608394</v>
      </c>
      <c r="J2247">
        <v>3636466882</v>
      </c>
      <c r="K2247">
        <v>2583814248</v>
      </c>
      <c r="L2247">
        <v>1466560479</v>
      </c>
      <c r="M2247">
        <v>1738935848</v>
      </c>
      <c r="N2247">
        <v>2013598346</v>
      </c>
      <c r="O2247">
        <v>1079056215</v>
      </c>
      <c r="P2247">
        <v>41582</v>
      </c>
      <c r="Q2247" t="s">
        <v>4821</v>
      </c>
    </row>
    <row r="2248" spans="1:17" x14ac:dyDescent="0.3">
      <c r="A2248" t="s">
        <v>4729</v>
      </c>
      <c r="B2248" t="str">
        <f>"000050"</f>
        <v>000050</v>
      </c>
      <c r="C2248" t="s">
        <v>4822</v>
      </c>
      <c r="D2248" t="s">
        <v>1117</v>
      </c>
      <c r="F2248">
        <v>6706244043</v>
      </c>
      <c r="G2248">
        <v>5117028601</v>
      </c>
      <c r="H2248">
        <v>5832824938</v>
      </c>
      <c r="I2248">
        <v>5968423575</v>
      </c>
      <c r="J2248">
        <v>3330300808</v>
      </c>
      <c r="K2248">
        <v>1966606321</v>
      </c>
      <c r="L2248">
        <v>2049405478</v>
      </c>
      <c r="M2248">
        <v>2397152879</v>
      </c>
      <c r="N2248">
        <v>943820702</v>
      </c>
      <c r="O2248">
        <v>943567496</v>
      </c>
      <c r="P2248">
        <v>621</v>
      </c>
      <c r="Q2248" t="s">
        <v>4823</v>
      </c>
    </row>
    <row r="2249" spans="1:17" x14ac:dyDescent="0.3">
      <c r="A2249" t="s">
        <v>4729</v>
      </c>
      <c r="B2249" t="str">
        <f>"000055"</f>
        <v>000055</v>
      </c>
      <c r="C2249" t="s">
        <v>4824</v>
      </c>
      <c r="D2249" t="s">
        <v>722</v>
      </c>
      <c r="F2249">
        <v>556453824</v>
      </c>
      <c r="G2249">
        <v>616195129</v>
      </c>
      <c r="H2249">
        <v>1956191307</v>
      </c>
      <c r="I2249">
        <v>1920075032</v>
      </c>
      <c r="J2249">
        <v>1920372426</v>
      </c>
      <c r="K2249">
        <v>2342929628</v>
      </c>
      <c r="L2249">
        <v>1405718135</v>
      </c>
      <c r="M2249">
        <v>1105242251</v>
      </c>
      <c r="N2249">
        <v>898780982</v>
      </c>
      <c r="O2249">
        <v>774890805</v>
      </c>
      <c r="P2249">
        <v>318</v>
      </c>
      <c r="Q2249" t="s">
        <v>4825</v>
      </c>
    </row>
    <row r="2250" spans="1:17" x14ac:dyDescent="0.3">
      <c r="A2250" t="s">
        <v>4729</v>
      </c>
      <c r="B2250" t="str">
        <f>"000056"</f>
        <v>000056</v>
      </c>
      <c r="C2250" t="s">
        <v>4826</v>
      </c>
      <c r="D2250" t="s">
        <v>2975</v>
      </c>
      <c r="F2250">
        <v>245546738</v>
      </c>
      <c r="G2250">
        <v>241151352</v>
      </c>
      <c r="H2250">
        <v>199042911</v>
      </c>
      <c r="I2250">
        <v>150997762</v>
      </c>
      <c r="J2250">
        <v>52707137</v>
      </c>
      <c r="K2250">
        <v>41529996</v>
      </c>
      <c r="L2250">
        <v>48399185</v>
      </c>
      <c r="M2250">
        <v>30641703</v>
      </c>
      <c r="N2250">
        <v>2291659</v>
      </c>
      <c r="O2250">
        <v>324962</v>
      </c>
      <c r="P2250">
        <v>100</v>
      </c>
      <c r="Q2250" t="s">
        <v>4827</v>
      </c>
    </row>
    <row r="2251" spans="1:17" x14ac:dyDescent="0.3">
      <c r="A2251" t="s">
        <v>4729</v>
      </c>
      <c r="B2251" t="str">
        <f>"000058"</f>
        <v>000058</v>
      </c>
      <c r="C2251" t="s">
        <v>4828</v>
      </c>
      <c r="D2251" t="s">
        <v>271</v>
      </c>
      <c r="F2251">
        <v>209248610</v>
      </c>
      <c r="G2251">
        <v>125360838</v>
      </c>
      <c r="H2251">
        <v>46742741</v>
      </c>
      <c r="I2251">
        <v>54426228</v>
      </c>
      <c r="J2251">
        <v>61934102</v>
      </c>
      <c r="K2251">
        <v>50870546</v>
      </c>
      <c r="L2251">
        <v>98212423</v>
      </c>
      <c r="M2251">
        <v>185866040</v>
      </c>
      <c r="N2251">
        <v>204086309</v>
      </c>
      <c r="O2251">
        <v>10742407</v>
      </c>
      <c r="P2251">
        <v>142</v>
      </c>
      <c r="Q2251" t="s">
        <v>4829</v>
      </c>
    </row>
    <row r="2252" spans="1:17" x14ac:dyDescent="0.3">
      <c r="A2252" t="s">
        <v>4729</v>
      </c>
      <c r="B2252" t="str">
        <f>"000059"</f>
        <v>000059</v>
      </c>
      <c r="C2252" t="s">
        <v>4830</v>
      </c>
      <c r="D2252" t="s">
        <v>74</v>
      </c>
      <c r="F2252">
        <v>164960087</v>
      </c>
      <c r="G2252">
        <v>190469660</v>
      </c>
      <c r="H2252">
        <v>133620658</v>
      </c>
      <c r="I2252">
        <v>274896421</v>
      </c>
      <c r="J2252">
        <v>373697474</v>
      </c>
      <c r="K2252">
        <v>173144681</v>
      </c>
      <c r="L2252">
        <v>116825438</v>
      </c>
      <c r="M2252">
        <v>376713754</v>
      </c>
      <c r="N2252">
        <v>12391381</v>
      </c>
      <c r="O2252">
        <v>165202312</v>
      </c>
      <c r="P2252">
        <v>387</v>
      </c>
      <c r="Q2252" t="s">
        <v>4831</v>
      </c>
    </row>
    <row r="2253" spans="1:17" x14ac:dyDescent="0.3">
      <c r="A2253" t="s">
        <v>4729</v>
      </c>
      <c r="B2253" t="str">
        <f>"000060"</f>
        <v>000060</v>
      </c>
      <c r="C2253" t="s">
        <v>4832</v>
      </c>
      <c r="D2253" t="s">
        <v>744</v>
      </c>
      <c r="F2253">
        <v>587429108</v>
      </c>
      <c r="G2253">
        <v>615368595</v>
      </c>
      <c r="H2253">
        <v>543089538</v>
      </c>
      <c r="I2253">
        <v>549529599</v>
      </c>
      <c r="J2253">
        <v>489296596</v>
      </c>
      <c r="K2253">
        <v>528371550</v>
      </c>
      <c r="L2253">
        <v>357781809</v>
      </c>
      <c r="M2253">
        <v>308999232</v>
      </c>
      <c r="N2253">
        <v>422403352</v>
      </c>
      <c r="O2253">
        <v>381632437</v>
      </c>
      <c r="P2253">
        <v>373</v>
      </c>
      <c r="Q2253" t="s">
        <v>4833</v>
      </c>
    </row>
    <row r="2254" spans="1:17" x14ac:dyDescent="0.3">
      <c r="A2254" t="s">
        <v>4729</v>
      </c>
      <c r="B2254" t="str">
        <f>"000061"</f>
        <v>000061</v>
      </c>
      <c r="C2254" t="s">
        <v>4834</v>
      </c>
      <c r="D2254" t="s">
        <v>271</v>
      </c>
      <c r="F2254">
        <v>124763322</v>
      </c>
      <c r="G2254">
        <v>95871990</v>
      </c>
      <c r="H2254">
        <v>61797788</v>
      </c>
      <c r="I2254">
        <v>59377587</v>
      </c>
      <c r="J2254">
        <v>57983342</v>
      </c>
      <c r="K2254">
        <v>78832170</v>
      </c>
      <c r="L2254">
        <v>71342277</v>
      </c>
      <c r="M2254">
        <v>72973934</v>
      </c>
      <c r="N2254">
        <v>45215161</v>
      </c>
      <c r="O2254">
        <v>69342901</v>
      </c>
      <c r="P2254">
        <v>209</v>
      </c>
      <c r="Q2254" t="s">
        <v>4835</v>
      </c>
    </row>
    <row r="2255" spans="1:17" x14ac:dyDescent="0.3">
      <c r="A2255" t="s">
        <v>4729</v>
      </c>
      <c r="B2255" t="str">
        <f>"000062"</f>
        <v>000062</v>
      </c>
      <c r="C2255" t="s">
        <v>4836</v>
      </c>
      <c r="D2255" t="s">
        <v>651</v>
      </c>
      <c r="F2255">
        <v>4784320611</v>
      </c>
      <c r="G2255">
        <v>4041437313</v>
      </c>
      <c r="H2255">
        <v>3220010851</v>
      </c>
      <c r="I2255">
        <v>2499286802</v>
      </c>
      <c r="J2255">
        <v>1719161506</v>
      </c>
      <c r="K2255">
        <v>1082166360</v>
      </c>
      <c r="L2255">
        <v>695557782</v>
      </c>
      <c r="M2255">
        <v>20589345</v>
      </c>
      <c r="N2255">
        <v>14154876</v>
      </c>
      <c r="O2255">
        <v>16883632</v>
      </c>
      <c r="P2255">
        <v>300</v>
      </c>
      <c r="Q2255" t="s">
        <v>4837</v>
      </c>
    </row>
    <row r="2256" spans="1:17" x14ac:dyDescent="0.3">
      <c r="A2256" t="s">
        <v>4729</v>
      </c>
      <c r="B2256" t="str">
        <f>"000063"</f>
        <v>000063</v>
      </c>
      <c r="C2256" t="s">
        <v>4838</v>
      </c>
      <c r="D2256" t="s">
        <v>1019</v>
      </c>
      <c r="F2256">
        <v>17509059000</v>
      </c>
      <c r="G2256">
        <v>15891020000</v>
      </c>
      <c r="H2256">
        <v>19778280000</v>
      </c>
      <c r="I2256">
        <v>21592325000</v>
      </c>
      <c r="J2256">
        <v>24345283000</v>
      </c>
      <c r="K2256">
        <v>25998188000</v>
      </c>
      <c r="L2256">
        <v>25251287000</v>
      </c>
      <c r="M2256">
        <v>25152963000</v>
      </c>
      <c r="N2256">
        <v>21393257000</v>
      </c>
      <c r="O2256">
        <v>22068176000</v>
      </c>
      <c r="P2256">
        <v>3203</v>
      </c>
      <c r="Q2256" t="s">
        <v>4839</v>
      </c>
    </row>
    <row r="2257" spans="1:17" x14ac:dyDescent="0.3">
      <c r="A2257" t="s">
        <v>4729</v>
      </c>
      <c r="B2257" t="str">
        <f>"000065"</f>
        <v>000065</v>
      </c>
      <c r="C2257" t="s">
        <v>4840</v>
      </c>
      <c r="D2257" t="s">
        <v>1893</v>
      </c>
      <c r="F2257">
        <v>3799013589</v>
      </c>
      <c r="G2257">
        <v>3153480819</v>
      </c>
      <c r="H2257">
        <v>4323248383</v>
      </c>
      <c r="I2257">
        <v>2376561744</v>
      </c>
      <c r="J2257">
        <v>2147522413</v>
      </c>
      <c r="K2257">
        <v>2419202123</v>
      </c>
      <c r="L2257">
        <v>733221249</v>
      </c>
      <c r="M2257">
        <v>607093488</v>
      </c>
      <c r="N2257">
        <v>702135909</v>
      </c>
      <c r="O2257">
        <v>750640755</v>
      </c>
      <c r="P2257">
        <v>394</v>
      </c>
      <c r="Q2257" t="s">
        <v>4841</v>
      </c>
    </row>
    <row r="2258" spans="1:17" x14ac:dyDescent="0.3">
      <c r="A2258" t="s">
        <v>4729</v>
      </c>
      <c r="B2258" t="str">
        <f>"000066"</f>
        <v>000066</v>
      </c>
      <c r="C2258" t="s">
        <v>4842</v>
      </c>
      <c r="D2258" t="s">
        <v>236</v>
      </c>
      <c r="F2258">
        <v>4745526341</v>
      </c>
      <c r="G2258">
        <v>3710144480</v>
      </c>
      <c r="H2258">
        <v>3012407025</v>
      </c>
      <c r="I2258">
        <v>2967217579</v>
      </c>
      <c r="J2258">
        <v>2171671958</v>
      </c>
      <c r="K2258">
        <v>657297124</v>
      </c>
      <c r="L2258">
        <v>11310055769</v>
      </c>
      <c r="M2258">
        <v>12326981442</v>
      </c>
      <c r="N2258">
        <v>13090591206</v>
      </c>
      <c r="O2258">
        <v>13097472561</v>
      </c>
      <c r="P2258">
        <v>712</v>
      </c>
      <c r="Q2258" t="s">
        <v>4843</v>
      </c>
    </row>
    <row r="2259" spans="1:17" x14ac:dyDescent="0.3">
      <c r="A2259" t="s">
        <v>4729</v>
      </c>
      <c r="B2259" t="str">
        <f>"000068"</f>
        <v>000068</v>
      </c>
      <c r="C2259" t="s">
        <v>4844</v>
      </c>
      <c r="D2259" t="s">
        <v>3575</v>
      </c>
      <c r="F2259">
        <v>467991301</v>
      </c>
      <c r="G2259">
        <v>160488359</v>
      </c>
      <c r="H2259">
        <v>216342787</v>
      </c>
      <c r="I2259">
        <v>195117909</v>
      </c>
      <c r="J2259">
        <v>246353286</v>
      </c>
      <c r="K2259">
        <v>124166094</v>
      </c>
      <c r="L2259">
        <v>112260815</v>
      </c>
      <c r="M2259">
        <v>66040030</v>
      </c>
      <c r="N2259">
        <v>322979401</v>
      </c>
      <c r="O2259">
        <v>70092716</v>
      </c>
      <c r="P2259">
        <v>144</v>
      </c>
      <c r="Q2259" t="s">
        <v>4845</v>
      </c>
    </row>
    <row r="2260" spans="1:17" x14ac:dyDescent="0.3">
      <c r="A2260" t="s">
        <v>4729</v>
      </c>
      <c r="B2260" t="str">
        <f>"000069"</f>
        <v>000069</v>
      </c>
      <c r="C2260" t="s">
        <v>4846</v>
      </c>
      <c r="D2260" t="s">
        <v>30</v>
      </c>
      <c r="F2260">
        <v>3069858851</v>
      </c>
      <c r="G2260">
        <v>1144340791</v>
      </c>
      <c r="H2260">
        <v>286138350</v>
      </c>
      <c r="I2260">
        <v>346487001</v>
      </c>
      <c r="J2260">
        <v>484270726</v>
      </c>
      <c r="K2260">
        <v>385847388</v>
      </c>
      <c r="L2260">
        <v>485007345</v>
      </c>
      <c r="M2260">
        <v>524247100</v>
      </c>
      <c r="N2260">
        <v>388369988</v>
      </c>
      <c r="O2260">
        <v>376831808</v>
      </c>
      <c r="P2260">
        <v>3953</v>
      </c>
      <c r="Q2260" t="s">
        <v>4847</v>
      </c>
    </row>
    <row r="2261" spans="1:17" x14ac:dyDescent="0.3">
      <c r="A2261" t="s">
        <v>4729</v>
      </c>
      <c r="B2261" t="str">
        <f>"000070"</f>
        <v>000070</v>
      </c>
      <c r="C2261" t="s">
        <v>4848</v>
      </c>
      <c r="D2261" t="s">
        <v>250</v>
      </c>
      <c r="F2261">
        <v>2065442210</v>
      </c>
      <c r="G2261">
        <v>2189682948</v>
      </c>
      <c r="H2261">
        <v>2507191199</v>
      </c>
      <c r="I2261">
        <v>2485026290</v>
      </c>
      <c r="J2261">
        <v>2062965564</v>
      </c>
      <c r="K2261">
        <v>1423428689</v>
      </c>
      <c r="L2261">
        <v>1042445574</v>
      </c>
      <c r="M2261">
        <v>731557816</v>
      </c>
      <c r="N2261">
        <v>577321646</v>
      </c>
      <c r="O2261">
        <v>443748426</v>
      </c>
      <c r="P2261">
        <v>334</v>
      </c>
      <c r="Q2261" t="s">
        <v>4849</v>
      </c>
    </row>
    <row r="2262" spans="1:17" x14ac:dyDescent="0.3">
      <c r="A2262" t="s">
        <v>4729</v>
      </c>
      <c r="B2262" t="str">
        <f>"000078"</f>
        <v>000078</v>
      </c>
      <c r="C2262" t="s">
        <v>4850</v>
      </c>
      <c r="D2262" t="s">
        <v>125</v>
      </c>
      <c r="F2262">
        <v>18991962453</v>
      </c>
      <c r="G2262">
        <v>16732926362</v>
      </c>
      <c r="H2262">
        <v>18052942674</v>
      </c>
      <c r="I2262">
        <v>18953146417</v>
      </c>
      <c r="J2262">
        <v>14011802870</v>
      </c>
      <c r="K2262">
        <v>7208046589</v>
      </c>
      <c r="L2262">
        <v>5373252022</v>
      </c>
      <c r="M2262">
        <v>4137717980</v>
      </c>
      <c r="N2262">
        <v>3221490269</v>
      </c>
      <c r="O2262">
        <v>2163585837</v>
      </c>
      <c r="P2262">
        <v>291</v>
      </c>
      <c r="Q2262" t="s">
        <v>4851</v>
      </c>
    </row>
    <row r="2263" spans="1:17" x14ac:dyDescent="0.3">
      <c r="A2263" t="s">
        <v>4729</v>
      </c>
      <c r="B2263" t="str">
        <f>"000088"</f>
        <v>000088</v>
      </c>
      <c r="C2263" t="s">
        <v>4852</v>
      </c>
      <c r="D2263" t="s">
        <v>51</v>
      </c>
      <c r="F2263">
        <v>40419277</v>
      </c>
      <c r="G2263">
        <v>30321702</v>
      </c>
      <c r="H2263">
        <v>39238935</v>
      </c>
      <c r="I2263">
        <v>31857097</v>
      </c>
      <c r="J2263">
        <v>27635055</v>
      </c>
      <c r="K2263">
        <v>27280987</v>
      </c>
      <c r="L2263">
        <v>30407625</v>
      </c>
      <c r="M2263">
        <v>26389037</v>
      </c>
      <c r="N2263">
        <v>25144570</v>
      </c>
      <c r="O2263">
        <v>20640236</v>
      </c>
      <c r="P2263">
        <v>170</v>
      </c>
      <c r="Q2263" t="s">
        <v>4853</v>
      </c>
    </row>
    <row r="2264" spans="1:17" x14ac:dyDescent="0.3">
      <c r="A2264" t="s">
        <v>4729</v>
      </c>
      <c r="B2264" t="str">
        <f>"000089"</f>
        <v>000089</v>
      </c>
      <c r="C2264" t="s">
        <v>4854</v>
      </c>
      <c r="D2264" t="s">
        <v>22</v>
      </c>
      <c r="F2264">
        <v>545293101</v>
      </c>
      <c r="G2264">
        <v>455496521</v>
      </c>
      <c r="H2264">
        <v>520826003</v>
      </c>
      <c r="I2264">
        <v>382795932</v>
      </c>
      <c r="J2264">
        <v>384171406</v>
      </c>
      <c r="K2264">
        <v>310875192</v>
      </c>
      <c r="L2264">
        <v>312705507</v>
      </c>
      <c r="M2264">
        <v>393175831</v>
      </c>
      <c r="N2264">
        <v>337400147</v>
      </c>
      <c r="O2264">
        <v>291288624</v>
      </c>
      <c r="P2264">
        <v>665</v>
      </c>
      <c r="Q2264" t="s">
        <v>4855</v>
      </c>
    </row>
    <row r="2265" spans="1:17" x14ac:dyDescent="0.3">
      <c r="A2265" t="s">
        <v>4729</v>
      </c>
      <c r="B2265" t="str">
        <f>"000090"</f>
        <v>000090</v>
      </c>
      <c r="C2265" t="s">
        <v>4856</v>
      </c>
      <c r="D2265" t="s">
        <v>104</v>
      </c>
      <c r="F2265">
        <v>3368192448</v>
      </c>
      <c r="G2265">
        <v>2705493124</v>
      </c>
      <c r="H2265">
        <v>2177195031</v>
      </c>
      <c r="I2265">
        <v>1993711089</v>
      </c>
      <c r="J2265">
        <v>1408682047</v>
      </c>
      <c r="K2265">
        <v>637782830</v>
      </c>
      <c r="L2265">
        <v>482275525</v>
      </c>
      <c r="M2265">
        <v>390837115</v>
      </c>
      <c r="N2265">
        <v>284474796</v>
      </c>
      <c r="O2265">
        <v>272134973</v>
      </c>
      <c r="P2265">
        <v>424</v>
      </c>
      <c r="Q2265" t="s">
        <v>4857</v>
      </c>
    </row>
    <row r="2266" spans="1:17" x14ac:dyDescent="0.3">
      <c r="A2266" t="s">
        <v>4729</v>
      </c>
      <c r="B2266" t="str">
        <f>"000096"</f>
        <v>000096</v>
      </c>
      <c r="C2266" t="s">
        <v>4858</v>
      </c>
      <c r="D2266" t="s">
        <v>584</v>
      </c>
      <c r="F2266">
        <v>29653511</v>
      </c>
      <c r="G2266">
        <v>3385624</v>
      </c>
      <c r="H2266">
        <v>2988777</v>
      </c>
      <c r="I2266">
        <v>5629127</v>
      </c>
      <c r="J2266">
        <v>6848753</v>
      </c>
      <c r="K2266">
        <v>3494072</v>
      </c>
      <c r="L2266">
        <v>2316707</v>
      </c>
      <c r="M2266">
        <v>2601837</v>
      </c>
      <c r="N2266">
        <v>1758093</v>
      </c>
      <c r="O2266">
        <v>3246603</v>
      </c>
      <c r="P2266">
        <v>86</v>
      </c>
      <c r="Q2266" t="s">
        <v>4859</v>
      </c>
    </row>
    <row r="2267" spans="1:17" x14ac:dyDescent="0.3">
      <c r="A2267" t="s">
        <v>4729</v>
      </c>
      <c r="B2267" t="str">
        <f>"000099"</f>
        <v>000099</v>
      </c>
      <c r="C2267" t="s">
        <v>4860</v>
      </c>
      <c r="D2267" t="s">
        <v>77</v>
      </c>
      <c r="F2267">
        <v>831274684</v>
      </c>
      <c r="G2267">
        <v>884617139</v>
      </c>
      <c r="H2267">
        <v>676952740</v>
      </c>
      <c r="I2267">
        <v>637316012</v>
      </c>
      <c r="J2267">
        <v>426998143</v>
      </c>
      <c r="K2267">
        <v>442361568</v>
      </c>
      <c r="L2267">
        <v>402043819</v>
      </c>
      <c r="M2267">
        <v>291389837</v>
      </c>
      <c r="N2267">
        <v>250911424</v>
      </c>
      <c r="O2267">
        <v>229570102</v>
      </c>
      <c r="P2267">
        <v>166</v>
      </c>
      <c r="Q2267" t="s">
        <v>4861</v>
      </c>
    </row>
    <row r="2268" spans="1:17" x14ac:dyDescent="0.3">
      <c r="A2268" t="s">
        <v>4729</v>
      </c>
      <c r="B2268" t="str">
        <f>"000100"</f>
        <v>000100</v>
      </c>
      <c r="C2268" t="s">
        <v>4862</v>
      </c>
      <c r="D2268" t="s">
        <v>1117</v>
      </c>
      <c r="F2268">
        <v>18238782247</v>
      </c>
      <c r="G2268">
        <v>12557614000</v>
      </c>
      <c r="H2268">
        <v>8340353992</v>
      </c>
      <c r="I2268">
        <v>13651444917</v>
      </c>
      <c r="J2268">
        <v>14793671898</v>
      </c>
      <c r="K2268">
        <v>13946765971</v>
      </c>
      <c r="L2268">
        <v>13534960580</v>
      </c>
      <c r="M2268">
        <v>13599191536</v>
      </c>
      <c r="N2268">
        <v>10648375394</v>
      </c>
      <c r="O2268">
        <v>8204592460</v>
      </c>
      <c r="P2268">
        <v>2194</v>
      </c>
      <c r="Q2268" t="s">
        <v>4863</v>
      </c>
    </row>
    <row r="2269" spans="1:17" x14ac:dyDescent="0.3">
      <c r="A2269" t="s">
        <v>4729</v>
      </c>
      <c r="B2269" t="str">
        <f>"000150"</f>
        <v>000150</v>
      </c>
      <c r="C2269" t="s">
        <v>4864</v>
      </c>
      <c r="D2269" t="s">
        <v>1147</v>
      </c>
      <c r="F2269">
        <v>371427268</v>
      </c>
      <c r="G2269">
        <v>492171512</v>
      </c>
      <c r="H2269">
        <v>994942234</v>
      </c>
      <c r="I2269">
        <v>1031370823</v>
      </c>
      <c r="J2269">
        <v>852936377</v>
      </c>
      <c r="K2269">
        <v>280899057</v>
      </c>
      <c r="L2269">
        <v>232636332</v>
      </c>
      <c r="M2269">
        <v>2065504</v>
      </c>
      <c r="N2269">
        <v>40481763</v>
      </c>
      <c r="O2269">
        <v>13606689</v>
      </c>
      <c r="P2269">
        <v>184</v>
      </c>
      <c r="Q2269" t="s">
        <v>4865</v>
      </c>
    </row>
    <row r="2270" spans="1:17" x14ac:dyDescent="0.3">
      <c r="A2270" t="s">
        <v>4729</v>
      </c>
      <c r="B2270" t="str">
        <f>"000151"</f>
        <v>000151</v>
      </c>
      <c r="C2270" t="s">
        <v>4866</v>
      </c>
      <c r="D2270" t="s">
        <v>131</v>
      </c>
      <c r="F2270">
        <v>386010188</v>
      </c>
      <c r="G2270">
        <v>26769405</v>
      </c>
      <c r="H2270">
        <v>45148826</v>
      </c>
      <c r="I2270">
        <v>56456798</v>
      </c>
      <c r="J2270">
        <v>89615468</v>
      </c>
      <c r="K2270">
        <v>37106956</v>
      </c>
      <c r="L2270">
        <v>49289372</v>
      </c>
      <c r="M2270">
        <v>106059299</v>
      </c>
      <c r="N2270">
        <v>5845444</v>
      </c>
      <c r="O2270">
        <v>22942643</v>
      </c>
      <c r="P2270">
        <v>95</v>
      </c>
      <c r="Q2270" t="s">
        <v>4867</v>
      </c>
    </row>
    <row r="2271" spans="1:17" x14ac:dyDescent="0.3">
      <c r="A2271" t="s">
        <v>4729</v>
      </c>
      <c r="B2271" t="str">
        <f>"000153"</f>
        <v>000153</v>
      </c>
      <c r="C2271" t="s">
        <v>4868</v>
      </c>
      <c r="D2271" t="s">
        <v>143</v>
      </c>
      <c r="F2271">
        <v>653484277</v>
      </c>
      <c r="G2271">
        <v>678108437</v>
      </c>
      <c r="H2271">
        <v>675952488</v>
      </c>
      <c r="I2271">
        <v>639129067</v>
      </c>
      <c r="J2271">
        <v>628693866</v>
      </c>
      <c r="K2271">
        <v>553277020</v>
      </c>
      <c r="L2271">
        <v>390651185</v>
      </c>
      <c r="M2271">
        <v>408139606</v>
      </c>
      <c r="N2271">
        <v>314423635</v>
      </c>
      <c r="O2271">
        <v>260727809</v>
      </c>
      <c r="P2271">
        <v>118</v>
      </c>
      <c r="Q2271" t="s">
        <v>4869</v>
      </c>
    </row>
    <row r="2272" spans="1:17" x14ac:dyDescent="0.3">
      <c r="A2272" t="s">
        <v>4729</v>
      </c>
      <c r="B2272" t="str">
        <f>"000155"</f>
        <v>000155</v>
      </c>
      <c r="C2272" t="s">
        <v>4870</v>
      </c>
      <c r="D2272" t="s">
        <v>383</v>
      </c>
      <c r="F2272">
        <v>2312759287</v>
      </c>
      <c r="G2272">
        <v>1284565131</v>
      </c>
      <c r="H2272">
        <v>1115411127</v>
      </c>
      <c r="I2272">
        <v>1265622754</v>
      </c>
      <c r="J2272">
        <v>1183328548</v>
      </c>
      <c r="K2272">
        <v>594312821</v>
      </c>
      <c r="L2272">
        <v>36589688</v>
      </c>
      <c r="M2272">
        <v>34032289</v>
      </c>
      <c r="N2272">
        <v>49921759</v>
      </c>
      <c r="O2272">
        <v>41984897</v>
      </c>
      <c r="P2272">
        <v>309</v>
      </c>
      <c r="Q2272" t="s">
        <v>4871</v>
      </c>
    </row>
    <row r="2273" spans="1:17" x14ac:dyDescent="0.3">
      <c r="A2273" t="s">
        <v>4729</v>
      </c>
      <c r="B2273" t="str">
        <f>"000156"</f>
        <v>000156</v>
      </c>
      <c r="C2273" t="s">
        <v>4872</v>
      </c>
      <c r="D2273" t="s">
        <v>95</v>
      </c>
      <c r="F2273">
        <v>1378734085</v>
      </c>
      <c r="G2273">
        <v>1273839384</v>
      </c>
      <c r="H2273">
        <v>710873639</v>
      </c>
      <c r="I2273">
        <v>685171351</v>
      </c>
      <c r="J2273">
        <v>624974530</v>
      </c>
      <c r="K2273">
        <v>513051597</v>
      </c>
      <c r="L2273">
        <v>471110942</v>
      </c>
      <c r="M2273">
        <v>322263665</v>
      </c>
      <c r="N2273">
        <v>284432048</v>
      </c>
      <c r="O2273">
        <v>225009910</v>
      </c>
      <c r="P2273">
        <v>309</v>
      </c>
      <c r="Q2273" t="s">
        <v>4873</v>
      </c>
    </row>
    <row r="2274" spans="1:17" x14ac:dyDescent="0.3">
      <c r="A2274" t="s">
        <v>4729</v>
      </c>
      <c r="B2274" t="str">
        <f>"000157"</f>
        <v>000157</v>
      </c>
      <c r="C2274" t="s">
        <v>4874</v>
      </c>
      <c r="D2274" t="s">
        <v>83</v>
      </c>
      <c r="F2274">
        <v>43026693282</v>
      </c>
      <c r="G2274">
        <v>32715406718</v>
      </c>
      <c r="H2274">
        <v>25403952987</v>
      </c>
      <c r="I2274">
        <v>22944173509</v>
      </c>
      <c r="J2274">
        <v>21631335419</v>
      </c>
      <c r="K2274">
        <v>30116268198</v>
      </c>
      <c r="L2274">
        <v>29744509324</v>
      </c>
      <c r="M2274">
        <v>30439389651</v>
      </c>
      <c r="N2274">
        <v>27806307709</v>
      </c>
      <c r="O2274">
        <v>18900350000</v>
      </c>
      <c r="P2274">
        <v>1683</v>
      </c>
      <c r="Q2274" t="s">
        <v>4875</v>
      </c>
    </row>
    <row r="2275" spans="1:17" x14ac:dyDescent="0.3">
      <c r="A2275" t="s">
        <v>4729</v>
      </c>
      <c r="B2275" t="str">
        <f>"000158"</f>
        <v>000158</v>
      </c>
      <c r="C2275" t="s">
        <v>4876</v>
      </c>
      <c r="D2275" t="s">
        <v>316</v>
      </c>
      <c r="F2275">
        <v>2641114740</v>
      </c>
      <c r="G2275">
        <v>1794586849</v>
      </c>
      <c r="H2275">
        <v>2544000354</v>
      </c>
      <c r="I2275">
        <v>2519619666</v>
      </c>
      <c r="J2275">
        <v>2323068424</v>
      </c>
      <c r="K2275">
        <v>1871240111</v>
      </c>
      <c r="L2275">
        <v>1270123414</v>
      </c>
      <c r="M2275">
        <v>41258208</v>
      </c>
      <c r="N2275">
        <v>110571519</v>
      </c>
      <c r="O2275">
        <v>62562173</v>
      </c>
      <c r="P2275">
        <v>295</v>
      </c>
      <c r="Q2275" t="s">
        <v>4877</v>
      </c>
    </row>
    <row r="2276" spans="1:17" x14ac:dyDescent="0.3">
      <c r="A2276" t="s">
        <v>4729</v>
      </c>
      <c r="B2276" t="str">
        <f>"000159"</f>
        <v>000159</v>
      </c>
      <c r="C2276" t="s">
        <v>4878</v>
      </c>
      <c r="D2276" t="s">
        <v>584</v>
      </c>
      <c r="F2276">
        <v>301284317</v>
      </c>
      <c r="G2276">
        <v>25353271</v>
      </c>
      <c r="H2276">
        <v>14694890</v>
      </c>
      <c r="I2276">
        <v>31550433</v>
      </c>
      <c r="J2276">
        <v>107034032</v>
      </c>
      <c r="K2276">
        <v>111431378</v>
      </c>
      <c r="L2276">
        <v>116379586</v>
      </c>
      <c r="M2276">
        <v>130407736</v>
      </c>
      <c r="N2276">
        <v>164980237</v>
      </c>
      <c r="O2276">
        <v>81785836</v>
      </c>
      <c r="P2276">
        <v>100</v>
      </c>
      <c r="Q2276" t="s">
        <v>4879</v>
      </c>
    </row>
    <row r="2277" spans="1:17" x14ac:dyDescent="0.3">
      <c r="A2277" t="s">
        <v>4729</v>
      </c>
      <c r="B2277" t="str">
        <f>"000166"</f>
        <v>000166</v>
      </c>
      <c r="C2277" t="s">
        <v>4880</v>
      </c>
      <c r="D2277" t="s">
        <v>80</v>
      </c>
      <c r="F2277">
        <v>4093736594</v>
      </c>
      <c r="G2277">
        <v>3088616076</v>
      </c>
      <c r="H2277">
        <v>1968152226</v>
      </c>
      <c r="I2277">
        <v>1237589849</v>
      </c>
      <c r="J2277">
        <v>1525437335</v>
      </c>
      <c r="K2277">
        <v>1466674505</v>
      </c>
      <c r="L2277">
        <v>1903371127.78</v>
      </c>
      <c r="M2277">
        <v>0</v>
      </c>
      <c r="N2277">
        <v>0</v>
      </c>
      <c r="O2277">
        <v>0</v>
      </c>
      <c r="P2277">
        <v>2819</v>
      </c>
      <c r="Q2277" t="s">
        <v>4881</v>
      </c>
    </row>
    <row r="2278" spans="1:17" x14ac:dyDescent="0.3">
      <c r="A2278" t="s">
        <v>4729</v>
      </c>
      <c r="B2278" t="str">
        <f>"000301"</f>
        <v>000301</v>
      </c>
      <c r="C2278" t="s">
        <v>4882</v>
      </c>
      <c r="D2278" t="s">
        <v>74</v>
      </c>
      <c r="F2278">
        <v>531097627</v>
      </c>
      <c r="G2278">
        <v>213094461</v>
      </c>
      <c r="H2278">
        <v>254452347</v>
      </c>
      <c r="I2278">
        <v>189214113</v>
      </c>
      <c r="J2278">
        <v>43452498</v>
      </c>
      <c r="K2278">
        <v>40207115</v>
      </c>
      <c r="L2278">
        <v>40202546</v>
      </c>
      <c r="M2278">
        <v>41697260</v>
      </c>
      <c r="N2278">
        <v>37790863</v>
      </c>
      <c r="O2278">
        <v>36658594</v>
      </c>
      <c r="P2278">
        <v>397</v>
      </c>
      <c r="Q2278" t="s">
        <v>4883</v>
      </c>
    </row>
    <row r="2279" spans="1:17" x14ac:dyDescent="0.3">
      <c r="A2279" t="s">
        <v>4729</v>
      </c>
      <c r="B2279" t="str">
        <f>"000333"</f>
        <v>000333</v>
      </c>
      <c r="C2279" t="s">
        <v>4884</v>
      </c>
      <c r="D2279" t="s">
        <v>1727</v>
      </c>
      <c r="F2279">
        <v>24636440000</v>
      </c>
      <c r="G2279">
        <v>22978363000</v>
      </c>
      <c r="H2279">
        <v>18663819000</v>
      </c>
      <c r="I2279">
        <v>19390174000</v>
      </c>
      <c r="J2279">
        <v>17528717000</v>
      </c>
      <c r="K2279">
        <v>13454511000</v>
      </c>
      <c r="L2279">
        <v>10371718000</v>
      </c>
      <c r="M2279">
        <v>9362102750</v>
      </c>
      <c r="N2279">
        <v>7928438250</v>
      </c>
      <c r="O2279">
        <v>9864573620</v>
      </c>
      <c r="P2279">
        <v>25066</v>
      </c>
      <c r="Q2279" t="s">
        <v>4885</v>
      </c>
    </row>
    <row r="2280" spans="1:17" x14ac:dyDescent="0.3">
      <c r="A2280" t="s">
        <v>4729</v>
      </c>
      <c r="B2280" t="str">
        <f>"000338"</f>
        <v>000338</v>
      </c>
      <c r="C2280" t="s">
        <v>4886</v>
      </c>
      <c r="D2280" t="s">
        <v>348</v>
      </c>
      <c r="F2280">
        <v>18190789561</v>
      </c>
      <c r="G2280">
        <v>15421878611</v>
      </c>
      <c r="H2280">
        <v>14285262297</v>
      </c>
      <c r="I2280">
        <v>13155363494</v>
      </c>
      <c r="J2280">
        <v>13572535350</v>
      </c>
      <c r="K2280">
        <v>11336192972</v>
      </c>
      <c r="L2280">
        <v>8976615257</v>
      </c>
      <c r="M2280">
        <v>9660031603</v>
      </c>
      <c r="N2280">
        <v>4440534340</v>
      </c>
      <c r="O2280">
        <v>4168525397</v>
      </c>
      <c r="P2280">
        <v>3423</v>
      </c>
      <c r="Q2280" t="s">
        <v>4887</v>
      </c>
    </row>
    <row r="2281" spans="1:17" x14ac:dyDescent="0.3">
      <c r="A2281" t="s">
        <v>4729</v>
      </c>
      <c r="B2281" t="str">
        <f>"000400"</f>
        <v>000400</v>
      </c>
      <c r="C2281" t="s">
        <v>4888</v>
      </c>
      <c r="D2281" t="s">
        <v>610</v>
      </c>
      <c r="F2281">
        <v>6091356093</v>
      </c>
      <c r="G2281">
        <v>7948943144</v>
      </c>
      <c r="H2281">
        <v>8089253997</v>
      </c>
      <c r="I2281">
        <v>8427731024</v>
      </c>
      <c r="J2281">
        <v>9123515849</v>
      </c>
      <c r="K2281">
        <v>7797013527</v>
      </c>
      <c r="L2281">
        <v>7542359658</v>
      </c>
      <c r="M2281">
        <v>6261604734</v>
      </c>
      <c r="N2281">
        <v>3687191344</v>
      </c>
      <c r="O2281">
        <v>3363015296</v>
      </c>
      <c r="P2281">
        <v>688</v>
      </c>
      <c r="Q2281" t="s">
        <v>4889</v>
      </c>
    </row>
    <row r="2282" spans="1:17" x14ac:dyDescent="0.3">
      <c r="A2282" t="s">
        <v>4729</v>
      </c>
      <c r="B2282" t="str">
        <f>"000401"</f>
        <v>000401</v>
      </c>
      <c r="C2282" t="s">
        <v>4890</v>
      </c>
      <c r="D2282" t="s">
        <v>731</v>
      </c>
      <c r="F2282">
        <v>1387642330</v>
      </c>
      <c r="G2282">
        <v>1972242331</v>
      </c>
      <c r="H2282">
        <v>2025943635</v>
      </c>
      <c r="I2282">
        <v>2232228770</v>
      </c>
      <c r="J2282">
        <v>1160119133</v>
      </c>
      <c r="K2282">
        <v>1385375436</v>
      </c>
      <c r="L2282">
        <v>1562036323</v>
      </c>
      <c r="M2282">
        <v>1684602006</v>
      </c>
      <c r="N2282">
        <v>1163689055</v>
      </c>
      <c r="O2282">
        <v>939531935</v>
      </c>
      <c r="P2282">
        <v>826</v>
      </c>
      <c r="Q2282" t="s">
        <v>4891</v>
      </c>
    </row>
    <row r="2283" spans="1:17" x14ac:dyDescent="0.3">
      <c r="A2283" t="s">
        <v>4729</v>
      </c>
      <c r="B2283" t="str">
        <f>"000402"</f>
        <v>000402</v>
      </c>
      <c r="C2283" t="s">
        <v>4892</v>
      </c>
      <c r="D2283" t="s">
        <v>30</v>
      </c>
      <c r="F2283">
        <v>721800068</v>
      </c>
      <c r="G2283">
        <v>431487743</v>
      </c>
      <c r="H2283">
        <v>2438331425</v>
      </c>
      <c r="I2283">
        <v>307674846</v>
      </c>
      <c r="J2283">
        <v>331138194</v>
      </c>
      <c r="K2283">
        <v>960400069</v>
      </c>
      <c r="L2283">
        <v>827999631</v>
      </c>
      <c r="M2283">
        <v>1679963076</v>
      </c>
      <c r="N2283">
        <v>388209904</v>
      </c>
      <c r="O2283">
        <v>241286712</v>
      </c>
      <c r="P2283">
        <v>974</v>
      </c>
      <c r="Q2283" t="s">
        <v>4893</v>
      </c>
    </row>
    <row r="2284" spans="1:17" x14ac:dyDescent="0.3">
      <c r="A2284" t="s">
        <v>4729</v>
      </c>
      <c r="B2284" t="str">
        <f>"000403"</f>
        <v>000403</v>
      </c>
      <c r="C2284" t="s">
        <v>4894</v>
      </c>
      <c r="D2284" t="s">
        <v>378</v>
      </c>
      <c r="F2284">
        <v>535379160</v>
      </c>
      <c r="G2284">
        <v>277491449</v>
      </c>
      <c r="H2284">
        <v>204772991</v>
      </c>
      <c r="I2284">
        <v>130124640</v>
      </c>
      <c r="J2284">
        <v>100183803</v>
      </c>
      <c r="K2284">
        <v>47769508</v>
      </c>
      <c r="L2284">
        <v>1420193</v>
      </c>
      <c r="M2284">
        <v>1974481</v>
      </c>
      <c r="N2284">
        <v>1265851</v>
      </c>
      <c r="O2284">
        <v>5108785</v>
      </c>
      <c r="P2284">
        <v>294</v>
      </c>
      <c r="Q2284" t="s">
        <v>4895</v>
      </c>
    </row>
    <row r="2285" spans="1:17" x14ac:dyDescent="0.3">
      <c r="A2285" t="s">
        <v>4729</v>
      </c>
      <c r="B2285" t="str">
        <f>"000404"</f>
        <v>000404</v>
      </c>
      <c r="C2285" t="s">
        <v>4896</v>
      </c>
      <c r="D2285" t="s">
        <v>1253</v>
      </c>
      <c r="F2285">
        <v>1120536889</v>
      </c>
      <c r="G2285">
        <v>991071617</v>
      </c>
      <c r="H2285">
        <v>1502619649</v>
      </c>
      <c r="I2285">
        <v>1435708018</v>
      </c>
      <c r="J2285">
        <v>1126680237</v>
      </c>
      <c r="K2285">
        <v>1215189270</v>
      </c>
      <c r="L2285">
        <v>1364812360</v>
      </c>
      <c r="M2285">
        <v>1200895143</v>
      </c>
      <c r="N2285">
        <v>922946146</v>
      </c>
      <c r="O2285">
        <v>860882237</v>
      </c>
      <c r="P2285">
        <v>113</v>
      </c>
      <c r="Q2285" t="s">
        <v>4897</v>
      </c>
    </row>
    <row r="2286" spans="1:17" x14ac:dyDescent="0.3">
      <c r="A2286" t="s">
        <v>4729</v>
      </c>
      <c r="B2286" t="str">
        <f>"000405"</f>
        <v>000405</v>
      </c>
      <c r="C2286" t="s">
        <v>4898</v>
      </c>
      <c r="K2286">
        <v>1200000</v>
      </c>
      <c r="L2286">
        <v>2828324.19</v>
      </c>
      <c r="M2286">
        <v>124103</v>
      </c>
      <c r="N2286">
        <v>0</v>
      </c>
      <c r="O2286">
        <v>0</v>
      </c>
      <c r="P2286">
        <v>3</v>
      </c>
      <c r="Q2286" t="s">
        <v>4899</v>
      </c>
    </row>
    <row r="2287" spans="1:17" x14ac:dyDescent="0.3">
      <c r="A2287" t="s">
        <v>4729</v>
      </c>
      <c r="B2287" t="str">
        <f>"000407"</f>
        <v>000407</v>
      </c>
      <c r="C2287" t="s">
        <v>4900</v>
      </c>
      <c r="D2287" t="s">
        <v>749</v>
      </c>
      <c r="F2287">
        <v>368235677</v>
      </c>
      <c r="G2287">
        <v>382618984</v>
      </c>
      <c r="H2287">
        <v>417963503</v>
      </c>
      <c r="I2287">
        <v>320224324</v>
      </c>
      <c r="J2287">
        <v>312310275</v>
      </c>
      <c r="K2287">
        <v>281217359</v>
      </c>
      <c r="L2287">
        <v>297157251</v>
      </c>
      <c r="M2287">
        <v>317237313</v>
      </c>
      <c r="N2287">
        <v>313788192</v>
      </c>
      <c r="O2287">
        <v>320031646</v>
      </c>
      <c r="P2287">
        <v>113</v>
      </c>
      <c r="Q2287" t="s">
        <v>4901</v>
      </c>
    </row>
    <row r="2288" spans="1:17" x14ac:dyDescent="0.3">
      <c r="A2288" t="s">
        <v>4729</v>
      </c>
      <c r="B2288" t="str">
        <f>"000408"</f>
        <v>000408</v>
      </c>
      <c r="C2288" t="s">
        <v>4902</v>
      </c>
      <c r="D2288" t="s">
        <v>3458</v>
      </c>
      <c r="F2288">
        <v>89494840</v>
      </c>
      <c r="G2288">
        <v>36741587</v>
      </c>
      <c r="H2288">
        <v>482313744</v>
      </c>
      <c r="I2288">
        <v>938420131</v>
      </c>
      <c r="J2288">
        <v>682731648</v>
      </c>
      <c r="K2288">
        <v>172974038</v>
      </c>
      <c r="L2288">
        <v>86230287</v>
      </c>
      <c r="M2288">
        <v>112634613</v>
      </c>
      <c r="N2288">
        <v>24818108</v>
      </c>
      <c r="O2288">
        <v>18939778</v>
      </c>
      <c r="P2288">
        <v>188</v>
      </c>
      <c r="Q2288" t="s">
        <v>4903</v>
      </c>
    </row>
    <row r="2289" spans="1:17" x14ac:dyDescent="0.3">
      <c r="A2289" t="s">
        <v>4729</v>
      </c>
      <c r="B2289" t="str">
        <f>"000409"</f>
        <v>000409</v>
      </c>
      <c r="C2289" t="s">
        <v>4904</v>
      </c>
      <c r="D2289" t="s">
        <v>110</v>
      </c>
      <c r="F2289">
        <v>388232223</v>
      </c>
      <c r="G2289">
        <v>301061376</v>
      </c>
      <c r="H2289">
        <v>264287482</v>
      </c>
      <c r="I2289">
        <v>305446277</v>
      </c>
      <c r="J2289">
        <v>432320350</v>
      </c>
      <c r="K2289">
        <v>381005037</v>
      </c>
      <c r="L2289">
        <v>234728354</v>
      </c>
      <c r="M2289">
        <v>49459829</v>
      </c>
      <c r="N2289">
        <v>89117201</v>
      </c>
      <c r="O2289">
        <v>48701794</v>
      </c>
      <c r="P2289">
        <v>75</v>
      </c>
      <c r="Q2289" t="s">
        <v>4905</v>
      </c>
    </row>
    <row r="2290" spans="1:17" x14ac:dyDescent="0.3">
      <c r="A2290" t="s">
        <v>4729</v>
      </c>
      <c r="B2290" t="str">
        <f>"000410"</f>
        <v>000410</v>
      </c>
      <c r="C2290" t="s">
        <v>4906</v>
      </c>
      <c r="D2290" t="s">
        <v>2321</v>
      </c>
      <c r="F2290">
        <v>284999735</v>
      </c>
      <c r="G2290">
        <v>579187403</v>
      </c>
      <c r="H2290">
        <v>745201708</v>
      </c>
      <c r="I2290">
        <v>4754372494</v>
      </c>
      <c r="J2290">
        <v>4909867813</v>
      </c>
      <c r="K2290">
        <v>7897612897</v>
      </c>
      <c r="L2290">
        <v>7909868640</v>
      </c>
      <c r="M2290">
        <v>7551598691</v>
      </c>
      <c r="N2290">
        <v>5619327915</v>
      </c>
      <c r="O2290">
        <v>4212426649</v>
      </c>
      <c r="P2290">
        <v>101</v>
      </c>
      <c r="Q2290" t="s">
        <v>4907</v>
      </c>
    </row>
    <row r="2291" spans="1:17" x14ac:dyDescent="0.3">
      <c r="A2291" t="s">
        <v>4729</v>
      </c>
      <c r="B2291" t="str">
        <f>"000411"</f>
        <v>000411</v>
      </c>
      <c r="C2291" t="s">
        <v>4908</v>
      </c>
      <c r="D2291" t="s">
        <v>125</v>
      </c>
      <c r="F2291">
        <v>5369126945</v>
      </c>
      <c r="G2291">
        <v>5018054784</v>
      </c>
      <c r="H2291">
        <v>4833502925</v>
      </c>
      <c r="I2291">
        <v>3849147532</v>
      </c>
      <c r="J2291">
        <v>3734104863</v>
      </c>
      <c r="K2291">
        <v>3247006224</v>
      </c>
      <c r="L2291">
        <v>2707280762</v>
      </c>
      <c r="M2291">
        <v>2388004805</v>
      </c>
      <c r="N2291">
        <v>2183972951</v>
      </c>
      <c r="O2291">
        <v>1743097419</v>
      </c>
      <c r="P2291">
        <v>236</v>
      </c>
      <c r="Q2291" t="s">
        <v>4909</v>
      </c>
    </row>
    <row r="2292" spans="1:17" x14ac:dyDescent="0.3">
      <c r="A2292" t="s">
        <v>4729</v>
      </c>
      <c r="B2292" t="str">
        <f>"000413"</f>
        <v>000413</v>
      </c>
      <c r="C2292" t="s">
        <v>4910</v>
      </c>
      <c r="D2292" t="s">
        <v>1117</v>
      </c>
      <c r="F2292">
        <v>8151516064</v>
      </c>
      <c r="G2292">
        <v>8828941455</v>
      </c>
      <c r="H2292">
        <v>11615016593</v>
      </c>
      <c r="I2292">
        <v>14352781895</v>
      </c>
      <c r="J2292">
        <v>7912616303</v>
      </c>
      <c r="K2292">
        <v>1652714641</v>
      </c>
      <c r="L2292">
        <v>1042538313</v>
      </c>
      <c r="M2292">
        <v>638809800</v>
      </c>
      <c r="N2292">
        <v>943285462</v>
      </c>
      <c r="O2292">
        <v>573874457</v>
      </c>
      <c r="P2292">
        <v>525</v>
      </c>
      <c r="Q2292" t="s">
        <v>4911</v>
      </c>
    </row>
    <row r="2293" spans="1:17" x14ac:dyDescent="0.3">
      <c r="A2293" t="s">
        <v>4729</v>
      </c>
      <c r="B2293" t="str">
        <f>"000415"</f>
        <v>000415</v>
      </c>
      <c r="C2293" t="s">
        <v>4912</v>
      </c>
      <c r="D2293" t="s">
        <v>336</v>
      </c>
      <c r="F2293">
        <v>2254672000</v>
      </c>
      <c r="G2293">
        <v>4563260000</v>
      </c>
      <c r="H2293">
        <v>3102492000</v>
      </c>
      <c r="I2293">
        <v>2539463000</v>
      </c>
      <c r="J2293">
        <v>1944028000</v>
      </c>
      <c r="K2293">
        <v>1503770000</v>
      </c>
      <c r="L2293">
        <v>1173441000</v>
      </c>
      <c r="M2293">
        <v>621593000</v>
      </c>
      <c r="N2293">
        <v>588788000</v>
      </c>
      <c r="O2293">
        <v>195725887</v>
      </c>
      <c r="P2293">
        <v>256</v>
      </c>
      <c r="Q2293" t="s">
        <v>4913</v>
      </c>
    </row>
    <row r="2294" spans="1:17" x14ac:dyDescent="0.3">
      <c r="A2294" t="s">
        <v>4729</v>
      </c>
      <c r="B2294" t="str">
        <f>"000416"</f>
        <v>000416</v>
      </c>
      <c r="C2294" t="s">
        <v>4914</v>
      </c>
      <c r="D2294" t="s">
        <v>140</v>
      </c>
      <c r="F2294">
        <v>8571130</v>
      </c>
      <c r="G2294">
        <v>11752092</v>
      </c>
      <c r="H2294">
        <v>7583752</v>
      </c>
      <c r="I2294">
        <v>10441954</v>
      </c>
      <c r="J2294">
        <v>7530385</v>
      </c>
      <c r="K2294">
        <v>2512890</v>
      </c>
      <c r="L2294">
        <v>6682408</v>
      </c>
      <c r="M2294">
        <v>397324</v>
      </c>
      <c r="N2294">
        <v>3507462</v>
      </c>
      <c r="O2294">
        <v>88247</v>
      </c>
      <c r="P2294">
        <v>119</v>
      </c>
      <c r="Q2294" t="s">
        <v>4915</v>
      </c>
    </row>
    <row r="2295" spans="1:17" x14ac:dyDescent="0.3">
      <c r="A2295" t="s">
        <v>4729</v>
      </c>
      <c r="B2295" t="str">
        <f>"000417"</f>
        <v>000417</v>
      </c>
      <c r="C2295" t="s">
        <v>4916</v>
      </c>
      <c r="D2295" t="s">
        <v>633</v>
      </c>
      <c r="F2295">
        <v>132942477</v>
      </c>
      <c r="G2295">
        <v>85561696</v>
      </c>
      <c r="H2295">
        <v>86777534</v>
      </c>
      <c r="I2295">
        <v>85939142</v>
      </c>
      <c r="J2295">
        <v>75880092</v>
      </c>
      <c r="K2295">
        <v>59189955</v>
      </c>
      <c r="L2295">
        <v>46694668</v>
      </c>
      <c r="M2295">
        <v>42122705</v>
      </c>
      <c r="N2295">
        <v>26213447</v>
      </c>
      <c r="O2295">
        <v>18472975</v>
      </c>
      <c r="P2295">
        <v>145</v>
      </c>
      <c r="Q2295" t="s">
        <v>4917</v>
      </c>
    </row>
    <row r="2296" spans="1:17" x14ac:dyDescent="0.3">
      <c r="A2296" t="s">
        <v>4729</v>
      </c>
      <c r="B2296" t="str">
        <f>"000418"</f>
        <v>000418</v>
      </c>
      <c r="C2296" t="s">
        <v>4918</v>
      </c>
      <c r="I2296">
        <v>1957583475</v>
      </c>
      <c r="J2296">
        <v>1736724496</v>
      </c>
      <c r="K2296">
        <v>1465654498</v>
      </c>
      <c r="L2296">
        <v>896075475.63</v>
      </c>
      <c r="M2296">
        <v>856343229.70000005</v>
      </c>
      <c r="N2296">
        <v>777744132.32000005</v>
      </c>
      <c r="O2296">
        <v>722198904.65999997</v>
      </c>
      <c r="P2296">
        <v>653</v>
      </c>
      <c r="Q2296" t="s">
        <v>4919</v>
      </c>
    </row>
    <row r="2297" spans="1:17" x14ac:dyDescent="0.3">
      <c r="A2297" t="s">
        <v>4729</v>
      </c>
      <c r="B2297" t="str">
        <f>"000419"</f>
        <v>000419</v>
      </c>
      <c r="C2297" t="s">
        <v>4920</v>
      </c>
      <c r="D2297" t="s">
        <v>1404</v>
      </c>
      <c r="F2297">
        <v>7967145</v>
      </c>
      <c r="G2297">
        <v>10878810</v>
      </c>
      <c r="H2297">
        <v>10703889</v>
      </c>
      <c r="I2297">
        <v>10334032</v>
      </c>
      <c r="J2297">
        <v>12558274</v>
      </c>
      <c r="K2297">
        <v>12884523</v>
      </c>
      <c r="L2297">
        <v>10981166</v>
      </c>
      <c r="M2297">
        <v>9713201</v>
      </c>
      <c r="N2297">
        <v>14500837</v>
      </c>
      <c r="O2297">
        <v>25287251</v>
      </c>
      <c r="P2297">
        <v>115</v>
      </c>
      <c r="Q2297" t="s">
        <v>4921</v>
      </c>
    </row>
    <row r="2298" spans="1:17" x14ac:dyDescent="0.3">
      <c r="A2298" t="s">
        <v>4729</v>
      </c>
      <c r="B2298" t="str">
        <f>"000420"</f>
        <v>000420</v>
      </c>
      <c r="C2298" t="s">
        <v>4922</v>
      </c>
      <c r="D2298" t="s">
        <v>888</v>
      </c>
      <c r="G2298">
        <v>436577362</v>
      </c>
      <c r="H2298">
        <v>369345003</v>
      </c>
      <c r="I2298">
        <v>254385300</v>
      </c>
      <c r="J2298">
        <v>134788070</v>
      </c>
      <c r="K2298">
        <v>118810134</v>
      </c>
      <c r="L2298">
        <v>91532914</v>
      </c>
      <c r="M2298">
        <v>93462630</v>
      </c>
      <c r="N2298">
        <v>97837380</v>
      </c>
      <c r="O2298">
        <v>101098564</v>
      </c>
      <c r="P2298">
        <v>101</v>
      </c>
      <c r="Q2298" t="s">
        <v>4923</v>
      </c>
    </row>
    <row r="2299" spans="1:17" x14ac:dyDescent="0.3">
      <c r="A2299" t="s">
        <v>4729</v>
      </c>
      <c r="B2299" t="str">
        <f>"000421"</f>
        <v>000421</v>
      </c>
      <c r="C2299" t="s">
        <v>4924</v>
      </c>
      <c r="D2299" t="s">
        <v>749</v>
      </c>
      <c r="F2299">
        <v>483337858</v>
      </c>
      <c r="G2299">
        <v>383317971</v>
      </c>
      <c r="H2299">
        <v>307005139</v>
      </c>
      <c r="I2299">
        <v>305563891</v>
      </c>
      <c r="J2299">
        <v>386870880</v>
      </c>
      <c r="K2299">
        <v>211812910</v>
      </c>
      <c r="L2299">
        <v>182168031</v>
      </c>
      <c r="M2299">
        <v>186478076</v>
      </c>
      <c r="N2299">
        <v>56473599</v>
      </c>
      <c r="O2299">
        <v>52606342</v>
      </c>
      <c r="P2299">
        <v>159</v>
      </c>
      <c r="Q2299" t="s">
        <v>4925</v>
      </c>
    </row>
    <row r="2300" spans="1:17" x14ac:dyDescent="0.3">
      <c r="A2300" t="s">
        <v>4729</v>
      </c>
      <c r="B2300" t="str">
        <f>"000422"</f>
        <v>000422</v>
      </c>
      <c r="C2300" t="s">
        <v>4926</v>
      </c>
      <c r="D2300" t="s">
        <v>175</v>
      </c>
      <c r="F2300">
        <v>172690115</v>
      </c>
      <c r="G2300">
        <v>284005701</v>
      </c>
      <c r="H2300">
        <v>139868022</v>
      </c>
      <c r="I2300">
        <v>150309170</v>
      </c>
      <c r="J2300">
        <v>256369355</v>
      </c>
      <c r="K2300">
        <v>516817482</v>
      </c>
      <c r="L2300">
        <v>483232040</v>
      </c>
      <c r="M2300">
        <v>790595574</v>
      </c>
      <c r="N2300">
        <v>752660577</v>
      </c>
      <c r="O2300">
        <v>570941639</v>
      </c>
      <c r="P2300">
        <v>257</v>
      </c>
      <c r="Q2300" t="s">
        <v>4927</v>
      </c>
    </row>
    <row r="2301" spans="1:17" x14ac:dyDescent="0.3">
      <c r="A2301" t="s">
        <v>4729</v>
      </c>
      <c r="B2301" t="str">
        <f>"000423"</f>
        <v>000423</v>
      </c>
      <c r="C2301" t="s">
        <v>4928</v>
      </c>
      <c r="D2301" t="s">
        <v>188</v>
      </c>
      <c r="F2301">
        <v>325768679</v>
      </c>
      <c r="G2301">
        <v>469028451</v>
      </c>
      <c r="H2301">
        <v>1263014300</v>
      </c>
      <c r="I2301">
        <v>902278131</v>
      </c>
      <c r="J2301">
        <v>504726198</v>
      </c>
      <c r="K2301">
        <v>386290781</v>
      </c>
      <c r="L2301">
        <v>307662873</v>
      </c>
      <c r="M2301">
        <v>116546247</v>
      </c>
      <c r="N2301">
        <v>179929411</v>
      </c>
      <c r="O2301">
        <v>103675381</v>
      </c>
      <c r="P2301">
        <v>24620</v>
      </c>
      <c r="Q2301" t="s">
        <v>4929</v>
      </c>
    </row>
    <row r="2302" spans="1:17" x14ac:dyDescent="0.3">
      <c r="A2302" t="s">
        <v>4729</v>
      </c>
      <c r="B2302" t="str">
        <f>"000425"</f>
        <v>000425</v>
      </c>
      <c r="C2302" t="s">
        <v>4930</v>
      </c>
      <c r="D2302" t="s">
        <v>83</v>
      </c>
      <c r="F2302">
        <v>31287945370</v>
      </c>
      <c r="G2302">
        <v>25779960954</v>
      </c>
      <c r="H2302">
        <v>26086982343</v>
      </c>
      <c r="I2302">
        <v>18055057742</v>
      </c>
      <c r="J2302">
        <v>14485967918</v>
      </c>
      <c r="K2302">
        <v>15414085056</v>
      </c>
      <c r="L2302">
        <v>18029200661</v>
      </c>
      <c r="M2302">
        <v>20034543874</v>
      </c>
      <c r="N2302">
        <v>20792438379</v>
      </c>
      <c r="O2302">
        <v>17739672177</v>
      </c>
      <c r="P2302">
        <v>961</v>
      </c>
      <c r="Q2302" t="s">
        <v>4931</v>
      </c>
    </row>
    <row r="2303" spans="1:17" x14ac:dyDescent="0.3">
      <c r="A2303" t="s">
        <v>4729</v>
      </c>
      <c r="B2303" t="str">
        <f>"000426"</f>
        <v>000426</v>
      </c>
      <c r="C2303" t="s">
        <v>4932</v>
      </c>
      <c r="D2303" t="s">
        <v>744</v>
      </c>
      <c r="F2303">
        <v>7660987</v>
      </c>
      <c r="G2303">
        <v>56007973</v>
      </c>
      <c r="H2303">
        <v>71470971</v>
      </c>
      <c r="I2303">
        <v>88940226</v>
      </c>
      <c r="J2303">
        <v>1757297</v>
      </c>
      <c r="K2303">
        <v>1170017</v>
      </c>
      <c r="L2303">
        <v>116459402</v>
      </c>
      <c r="M2303">
        <v>54337939</v>
      </c>
      <c r="N2303">
        <v>31251271</v>
      </c>
      <c r="O2303">
        <v>20520235</v>
      </c>
      <c r="P2303">
        <v>202</v>
      </c>
      <c r="Q2303" t="s">
        <v>4933</v>
      </c>
    </row>
    <row r="2304" spans="1:17" x14ac:dyDescent="0.3">
      <c r="A2304" t="s">
        <v>4729</v>
      </c>
      <c r="B2304" t="str">
        <f>"000428"</f>
        <v>000428</v>
      </c>
      <c r="C2304" t="s">
        <v>4934</v>
      </c>
      <c r="D2304" t="s">
        <v>590</v>
      </c>
      <c r="F2304">
        <v>18887516</v>
      </c>
      <c r="G2304">
        <v>22207500</v>
      </c>
      <c r="H2304">
        <v>34183515</v>
      </c>
      <c r="I2304">
        <v>40566275</v>
      </c>
      <c r="J2304">
        <v>44089178</v>
      </c>
      <c r="K2304">
        <v>49137515</v>
      </c>
      <c r="L2304">
        <v>101030375</v>
      </c>
      <c r="M2304">
        <v>79050425</v>
      </c>
      <c r="N2304">
        <v>76313386</v>
      </c>
      <c r="O2304">
        <v>84662123</v>
      </c>
      <c r="P2304">
        <v>104</v>
      </c>
      <c r="Q2304" t="s">
        <v>4935</v>
      </c>
    </row>
    <row r="2305" spans="1:17" x14ac:dyDescent="0.3">
      <c r="A2305" t="s">
        <v>4729</v>
      </c>
      <c r="B2305" t="str">
        <f>"000429"</f>
        <v>000429</v>
      </c>
      <c r="C2305" t="s">
        <v>4936</v>
      </c>
      <c r="D2305" t="s">
        <v>44</v>
      </c>
      <c r="F2305">
        <v>159053400</v>
      </c>
      <c r="G2305">
        <v>168907518</v>
      </c>
      <c r="H2305">
        <v>125343725</v>
      </c>
      <c r="I2305">
        <v>91076995</v>
      </c>
      <c r="J2305">
        <v>92642625</v>
      </c>
      <c r="K2305">
        <v>40681197</v>
      </c>
      <c r="L2305">
        <v>48147336</v>
      </c>
      <c r="M2305">
        <v>23621958</v>
      </c>
      <c r="N2305">
        <v>27898415</v>
      </c>
      <c r="O2305">
        <v>22057104</v>
      </c>
      <c r="P2305">
        <v>1026</v>
      </c>
      <c r="Q2305" t="s">
        <v>4937</v>
      </c>
    </row>
    <row r="2306" spans="1:17" x14ac:dyDescent="0.3">
      <c r="A2306" t="s">
        <v>4729</v>
      </c>
      <c r="B2306" t="str">
        <f>"000430"</f>
        <v>000430</v>
      </c>
      <c r="C2306" t="s">
        <v>4938</v>
      </c>
      <c r="D2306" t="s">
        <v>119</v>
      </c>
      <c r="F2306">
        <v>607964</v>
      </c>
      <c r="G2306">
        <v>1360006</v>
      </c>
      <c r="H2306">
        <v>1415184</v>
      </c>
      <c r="I2306">
        <v>664442</v>
      </c>
      <c r="J2306">
        <v>4135115</v>
      </c>
      <c r="K2306">
        <v>3612482</v>
      </c>
      <c r="L2306">
        <v>4498506</v>
      </c>
      <c r="M2306">
        <v>1059051</v>
      </c>
      <c r="N2306">
        <v>1673832</v>
      </c>
      <c r="O2306">
        <v>503177</v>
      </c>
      <c r="P2306">
        <v>109</v>
      </c>
      <c r="Q2306" t="s">
        <v>4939</v>
      </c>
    </row>
    <row r="2307" spans="1:17" x14ac:dyDescent="0.3">
      <c r="A2307" t="s">
        <v>4729</v>
      </c>
      <c r="B2307" t="str">
        <f>"000488"</f>
        <v>000488</v>
      </c>
      <c r="C2307" t="s">
        <v>4940</v>
      </c>
      <c r="D2307" t="s">
        <v>694</v>
      </c>
      <c r="F2307">
        <v>2656517150</v>
      </c>
      <c r="G2307">
        <v>1984931666</v>
      </c>
      <c r="H2307">
        <v>2525083311</v>
      </c>
      <c r="I2307">
        <v>3404487005</v>
      </c>
      <c r="J2307">
        <v>3665865577</v>
      </c>
      <c r="K2307">
        <v>3974065104</v>
      </c>
      <c r="L2307">
        <v>3951287979</v>
      </c>
      <c r="M2307">
        <v>3489409369</v>
      </c>
      <c r="N2307">
        <v>3102643084</v>
      </c>
      <c r="O2307">
        <v>3602955051</v>
      </c>
      <c r="P2307">
        <v>1270</v>
      </c>
      <c r="Q2307" t="s">
        <v>4941</v>
      </c>
    </row>
    <row r="2308" spans="1:17" x14ac:dyDescent="0.3">
      <c r="A2308" t="s">
        <v>4729</v>
      </c>
      <c r="B2308" t="str">
        <f>"000498"</f>
        <v>000498</v>
      </c>
      <c r="C2308" t="s">
        <v>4942</v>
      </c>
      <c r="D2308" t="s">
        <v>101</v>
      </c>
      <c r="F2308">
        <v>8627906398</v>
      </c>
      <c r="G2308">
        <v>6178886809</v>
      </c>
      <c r="H2308">
        <v>5580142554</v>
      </c>
      <c r="I2308">
        <v>4664613335</v>
      </c>
      <c r="J2308">
        <v>4839139567</v>
      </c>
      <c r="K2308">
        <v>3577716181</v>
      </c>
      <c r="L2308">
        <v>3603193087</v>
      </c>
      <c r="M2308">
        <v>2753706032</v>
      </c>
      <c r="N2308">
        <v>2145075236</v>
      </c>
      <c r="O2308">
        <v>1957059146</v>
      </c>
      <c r="P2308">
        <v>276</v>
      </c>
      <c r="Q2308" t="s">
        <v>4943</v>
      </c>
    </row>
    <row r="2309" spans="1:17" x14ac:dyDescent="0.3">
      <c r="A2309" t="s">
        <v>4729</v>
      </c>
      <c r="B2309" t="str">
        <f>"000501"</f>
        <v>000501</v>
      </c>
      <c r="C2309" t="s">
        <v>4944</v>
      </c>
      <c r="D2309" t="s">
        <v>633</v>
      </c>
      <c r="F2309">
        <v>29153021</v>
      </c>
      <c r="G2309">
        <v>22125646</v>
      </c>
      <c r="H2309">
        <v>13127307</v>
      </c>
      <c r="I2309">
        <v>11552888</v>
      </c>
      <c r="J2309">
        <v>9351500</v>
      </c>
      <c r="K2309">
        <v>7976414</v>
      </c>
      <c r="L2309">
        <v>9246827</v>
      </c>
      <c r="M2309">
        <v>10782056</v>
      </c>
      <c r="N2309">
        <v>8959434</v>
      </c>
      <c r="O2309">
        <v>8005404</v>
      </c>
      <c r="P2309">
        <v>6225</v>
      </c>
      <c r="Q2309" t="s">
        <v>4945</v>
      </c>
    </row>
    <row r="2310" spans="1:17" x14ac:dyDescent="0.3">
      <c r="A2310" t="s">
        <v>4729</v>
      </c>
      <c r="B2310" t="str">
        <f>"000502"</f>
        <v>000502</v>
      </c>
      <c r="C2310" t="s">
        <v>4946</v>
      </c>
      <c r="D2310" t="s">
        <v>2975</v>
      </c>
      <c r="F2310">
        <v>27434027</v>
      </c>
      <c r="G2310">
        <v>2398361</v>
      </c>
      <c r="H2310">
        <v>2115757</v>
      </c>
      <c r="I2310">
        <v>2033158</v>
      </c>
      <c r="J2310">
        <v>2375523</v>
      </c>
      <c r="K2310">
        <v>5124013</v>
      </c>
      <c r="L2310">
        <v>1728510</v>
      </c>
      <c r="M2310">
        <v>4403148</v>
      </c>
      <c r="N2310">
        <v>2881653</v>
      </c>
      <c r="O2310">
        <v>1816111</v>
      </c>
      <c r="P2310">
        <v>85</v>
      </c>
      <c r="Q2310" t="s">
        <v>4947</v>
      </c>
    </row>
    <row r="2311" spans="1:17" x14ac:dyDescent="0.3">
      <c r="A2311" t="s">
        <v>4729</v>
      </c>
      <c r="B2311" t="str">
        <f>"000503"</f>
        <v>000503</v>
      </c>
      <c r="C2311" t="s">
        <v>4948</v>
      </c>
      <c r="D2311" t="s">
        <v>945</v>
      </c>
      <c r="F2311">
        <v>77084509</v>
      </c>
      <c r="G2311">
        <v>55329301</v>
      </c>
      <c r="H2311">
        <v>20683571</v>
      </c>
      <c r="I2311">
        <v>7563026</v>
      </c>
      <c r="J2311">
        <v>2805967</v>
      </c>
      <c r="K2311">
        <v>6800887</v>
      </c>
      <c r="L2311">
        <v>3896810</v>
      </c>
      <c r="M2311">
        <v>2080121</v>
      </c>
      <c r="N2311">
        <v>2239171</v>
      </c>
      <c r="O2311">
        <v>1801319</v>
      </c>
      <c r="P2311">
        <v>174</v>
      </c>
      <c r="Q2311" t="s">
        <v>4949</v>
      </c>
    </row>
    <row r="2312" spans="1:17" x14ac:dyDescent="0.3">
      <c r="A2312" t="s">
        <v>4729</v>
      </c>
      <c r="B2312" t="str">
        <f>"000504"</f>
        <v>000504</v>
      </c>
      <c r="C2312" t="s">
        <v>4950</v>
      </c>
      <c r="D2312" t="s">
        <v>4237</v>
      </c>
      <c r="F2312">
        <v>196118661</v>
      </c>
      <c r="G2312">
        <v>188790739</v>
      </c>
      <c r="H2312">
        <v>37432846</v>
      </c>
      <c r="I2312">
        <v>26139610</v>
      </c>
      <c r="J2312">
        <v>5215761</v>
      </c>
      <c r="K2312">
        <v>37090134</v>
      </c>
      <c r="L2312">
        <v>6144563</v>
      </c>
      <c r="M2312">
        <v>8634340</v>
      </c>
      <c r="N2312">
        <v>13270472</v>
      </c>
      <c r="O2312">
        <v>31699411</v>
      </c>
      <c r="P2312">
        <v>85</v>
      </c>
      <c r="Q2312" t="s">
        <v>4951</v>
      </c>
    </row>
    <row r="2313" spans="1:17" x14ac:dyDescent="0.3">
      <c r="A2313" t="s">
        <v>4729</v>
      </c>
      <c r="B2313" t="str">
        <f>"000505"</f>
        <v>000505</v>
      </c>
      <c r="C2313" t="s">
        <v>4952</v>
      </c>
      <c r="D2313" t="s">
        <v>306</v>
      </c>
      <c r="F2313">
        <v>82694095</v>
      </c>
      <c r="G2313">
        <v>92245668</v>
      </c>
      <c r="H2313">
        <v>80743987</v>
      </c>
      <c r="I2313">
        <v>97775710</v>
      </c>
      <c r="J2313">
        <v>75165127</v>
      </c>
      <c r="K2313">
        <v>16084139</v>
      </c>
      <c r="L2313">
        <v>17161982</v>
      </c>
      <c r="M2313">
        <v>12378292</v>
      </c>
      <c r="N2313">
        <v>13143175</v>
      </c>
      <c r="O2313">
        <v>9889337</v>
      </c>
      <c r="P2313">
        <v>193</v>
      </c>
      <c r="Q2313" t="s">
        <v>4953</v>
      </c>
    </row>
    <row r="2314" spans="1:17" x14ac:dyDescent="0.3">
      <c r="A2314" t="s">
        <v>4729</v>
      </c>
      <c r="B2314" t="str">
        <f>"000506"</f>
        <v>000506</v>
      </c>
      <c r="C2314" t="s">
        <v>4954</v>
      </c>
      <c r="D2314" t="s">
        <v>104</v>
      </c>
      <c r="F2314">
        <v>4982211</v>
      </c>
      <c r="G2314">
        <v>1972240</v>
      </c>
      <c r="H2314">
        <v>11144542</v>
      </c>
      <c r="I2314">
        <v>4505365</v>
      </c>
      <c r="J2314">
        <v>9366921</v>
      </c>
      <c r="K2314">
        <v>7828885</v>
      </c>
      <c r="L2314">
        <v>30492099</v>
      </c>
      <c r="M2314">
        <v>23143849</v>
      </c>
      <c r="N2314">
        <v>16041787</v>
      </c>
      <c r="O2314">
        <v>31031503</v>
      </c>
      <c r="P2314">
        <v>85</v>
      </c>
      <c r="Q2314" t="s">
        <v>4955</v>
      </c>
    </row>
    <row r="2315" spans="1:17" x14ac:dyDescent="0.3">
      <c r="A2315" t="s">
        <v>4729</v>
      </c>
      <c r="B2315" t="str">
        <f>"000507"</f>
        <v>000507</v>
      </c>
      <c r="C2315" t="s">
        <v>4956</v>
      </c>
      <c r="D2315" t="s">
        <v>51</v>
      </c>
      <c r="F2315">
        <v>1425716115</v>
      </c>
      <c r="G2315">
        <v>574890629</v>
      </c>
      <c r="H2315">
        <v>449855252</v>
      </c>
      <c r="I2315">
        <v>430012935</v>
      </c>
      <c r="J2315">
        <v>355115099</v>
      </c>
      <c r="K2315">
        <v>322865070</v>
      </c>
      <c r="L2315">
        <v>278498701</v>
      </c>
      <c r="M2315">
        <v>247635775</v>
      </c>
      <c r="N2315">
        <v>120760181</v>
      </c>
      <c r="O2315">
        <v>107319244</v>
      </c>
      <c r="P2315">
        <v>185</v>
      </c>
      <c r="Q2315" t="s">
        <v>4957</v>
      </c>
    </row>
    <row r="2316" spans="1:17" x14ac:dyDescent="0.3">
      <c r="A2316" t="s">
        <v>4729</v>
      </c>
      <c r="B2316" t="str">
        <f>"000509"</f>
        <v>000509</v>
      </c>
      <c r="C2316" t="s">
        <v>4958</v>
      </c>
      <c r="D2316" t="s">
        <v>1147</v>
      </c>
      <c r="F2316">
        <v>67486362</v>
      </c>
      <c r="G2316">
        <v>8121541</v>
      </c>
      <c r="H2316">
        <v>7918214</v>
      </c>
      <c r="I2316">
        <v>50657096</v>
      </c>
      <c r="J2316">
        <v>55126006</v>
      </c>
      <c r="K2316">
        <v>10279042</v>
      </c>
      <c r="L2316">
        <v>48724591</v>
      </c>
      <c r="M2316">
        <v>59796325</v>
      </c>
      <c r="N2316">
        <v>48394742</v>
      </c>
      <c r="O2316">
        <v>52501249</v>
      </c>
      <c r="P2316">
        <v>84</v>
      </c>
      <c r="Q2316" t="s">
        <v>4959</v>
      </c>
    </row>
    <row r="2317" spans="1:17" x14ac:dyDescent="0.3">
      <c r="A2317" t="s">
        <v>4729</v>
      </c>
      <c r="B2317" t="str">
        <f>"000510"</f>
        <v>000510</v>
      </c>
      <c r="C2317" t="s">
        <v>4960</v>
      </c>
      <c r="D2317" t="s">
        <v>175</v>
      </c>
      <c r="F2317">
        <v>9112371</v>
      </c>
      <c r="G2317">
        <v>19748345</v>
      </c>
      <c r="H2317">
        <v>4893085</v>
      </c>
      <c r="I2317">
        <v>6433194</v>
      </c>
      <c r="J2317">
        <v>5930947</v>
      </c>
      <c r="K2317">
        <v>6020286</v>
      </c>
      <c r="L2317">
        <v>4596832</v>
      </c>
      <c r="M2317">
        <v>22626938</v>
      </c>
      <c r="N2317">
        <v>5979447</v>
      </c>
      <c r="O2317">
        <v>3150749</v>
      </c>
      <c r="P2317">
        <v>128</v>
      </c>
      <c r="Q2317" t="s">
        <v>4961</v>
      </c>
    </row>
    <row r="2318" spans="1:17" x14ac:dyDescent="0.3">
      <c r="A2318" t="s">
        <v>4729</v>
      </c>
      <c r="B2318" t="str">
        <f>"000511"</f>
        <v>000511</v>
      </c>
      <c r="C2318" t="s">
        <v>4962</v>
      </c>
      <c r="J2318">
        <v>340729234</v>
      </c>
      <c r="K2318">
        <v>13180148</v>
      </c>
      <c r="L2318">
        <v>18146392.57</v>
      </c>
      <c r="M2318">
        <v>127680551.75</v>
      </c>
      <c r="N2318">
        <v>40859966.460000001</v>
      </c>
      <c r="O2318">
        <v>53814159.520000003</v>
      </c>
      <c r="P2318">
        <v>14</v>
      </c>
      <c r="Q2318" t="s">
        <v>4963</v>
      </c>
    </row>
    <row r="2319" spans="1:17" x14ac:dyDescent="0.3">
      <c r="A2319" t="s">
        <v>4729</v>
      </c>
      <c r="B2319" t="str">
        <f>"000513"</f>
        <v>000513</v>
      </c>
      <c r="C2319" t="s">
        <v>4964</v>
      </c>
      <c r="D2319" t="s">
        <v>143</v>
      </c>
      <c r="F2319">
        <v>1951898111</v>
      </c>
      <c r="G2319">
        <v>1743148037</v>
      </c>
      <c r="H2319">
        <v>1472438936</v>
      </c>
      <c r="I2319">
        <v>1381706956</v>
      </c>
      <c r="J2319">
        <v>1356773152</v>
      </c>
      <c r="K2319">
        <v>1464366230</v>
      </c>
      <c r="L2319">
        <v>1256094264</v>
      </c>
      <c r="M2319">
        <v>1072890517</v>
      </c>
      <c r="N2319">
        <v>1053350427</v>
      </c>
      <c r="O2319">
        <v>774021471</v>
      </c>
      <c r="P2319">
        <v>1622</v>
      </c>
      <c r="Q2319" t="s">
        <v>4965</v>
      </c>
    </row>
    <row r="2320" spans="1:17" x14ac:dyDescent="0.3">
      <c r="A2320" t="s">
        <v>4729</v>
      </c>
      <c r="B2320" t="str">
        <f>"000514"</f>
        <v>000514</v>
      </c>
      <c r="C2320" t="s">
        <v>4966</v>
      </c>
      <c r="D2320" t="s">
        <v>104</v>
      </c>
      <c r="F2320">
        <v>117752248</v>
      </c>
      <c r="G2320">
        <v>11356228</v>
      </c>
      <c r="H2320">
        <v>12218231</v>
      </c>
      <c r="I2320">
        <v>11408232</v>
      </c>
      <c r="J2320">
        <v>9478344</v>
      </c>
      <c r="K2320">
        <v>6894730</v>
      </c>
      <c r="L2320">
        <v>24626704</v>
      </c>
      <c r="M2320">
        <v>72083425</v>
      </c>
      <c r="N2320">
        <v>94180158</v>
      </c>
      <c r="O2320">
        <v>115570557</v>
      </c>
      <c r="P2320">
        <v>113</v>
      </c>
      <c r="Q2320" t="s">
        <v>4967</v>
      </c>
    </row>
    <row r="2321" spans="1:17" x14ac:dyDescent="0.3">
      <c r="A2321" t="s">
        <v>4729</v>
      </c>
      <c r="B2321" t="str">
        <f>"000516"</f>
        <v>000516</v>
      </c>
      <c r="C2321" t="s">
        <v>4968</v>
      </c>
      <c r="D2321" t="s">
        <v>1147</v>
      </c>
      <c r="F2321">
        <v>365883073</v>
      </c>
      <c r="G2321">
        <v>260127750</v>
      </c>
      <c r="H2321">
        <v>115241142</v>
      </c>
      <c r="I2321">
        <v>74716207</v>
      </c>
      <c r="J2321">
        <v>63737070</v>
      </c>
      <c r="K2321">
        <v>55556378</v>
      </c>
      <c r="L2321">
        <v>48784258</v>
      </c>
      <c r="M2321">
        <v>39188490</v>
      </c>
      <c r="N2321">
        <v>36636861</v>
      </c>
      <c r="O2321">
        <v>24651779</v>
      </c>
      <c r="P2321">
        <v>405</v>
      </c>
      <c r="Q2321" t="s">
        <v>4969</v>
      </c>
    </row>
    <row r="2322" spans="1:17" x14ac:dyDescent="0.3">
      <c r="A2322" t="s">
        <v>4729</v>
      </c>
      <c r="B2322" t="str">
        <f>"000517"</f>
        <v>000517</v>
      </c>
      <c r="C2322" t="s">
        <v>4970</v>
      </c>
      <c r="D2322" t="s">
        <v>104</v>
      </c>
      <c r="F2322">
        <v>192259580</v>
      </c>
      <c r="G2322">
        <v>203856669</v>
      </c>
      <c r="H2322">
        <v>76167151</v>
      </c>
      <c r="I2322">
        <v>67294750</v>
      </c>
      <c r="J2322">
        <v>39911975</v>
      </c>
      <c r="K2322">
        <v>54136754</v>
      </c>
      <c r="L2322">
        <v>50428794</v>
      </c>
      <c r="M2322">
        <v>25480367</v>
      </c>
      <c r="N2322">
        <v>14915966</v>
      </c>
      <c r="O2322">
        <v>15371045</v>
      </c>
      <c r="P2322">
        <v>312</v>
      </c>
      <c r="Q2322" t="s">
        <v>4971</v>
      </c>
    </row>
    <row r="2323" spans="1:17" x14ac:dyDescent="0.3">
      <c r="A2323" t="s">
        <v>4729</v>
      </c>
      <c r="B2323" t="str">
        <f>"000518"</f>
        <v>000518</v>
      </c>
      <c r="C2323" t="s">
        <v>4972</v>
      </c>
      <c r="D2323" t="s">
        <v>1379</v>
      </c>
      <c r="F2323">
        <v>119306868</v>
      </c>
      <c r="G2323">
        <v>134187647</v>
      </c>
      <c r="H2323">
        <v>126931673</v>
      </c>
      <c r="I2323">
        <v>129560502</v>
      </c>
      <c r="J2323">
        <v>112408617</v>
      </c>
      <c r="K2323">
        <v>117083335</v>
      </c>
      <c r="L2323">
        <v>99281419</v>
      </c>
      <c r="M2323">
        <v>84334453</v>
      </c>
      <c r="N2323">
        <v>72718442</v>
      </c>
      <c r="O2323">
        <v>94241956</v>
      </c>
      <c r="P2323">
        <v>171</v>
      </c>
      <c r="Q2323" t="s">
        <v>4973</v>
      </c>
    </row>
    <row r="2324" spans="1:17" x14ac:dyDescent="0.3">
      <c r="A2324" t="s">
        <v>4729</v>
      </c>
      <c r="B2324" t="str">
        <f>"000519"</f>
        <v>000519</v>
      </c>
      <c r="C2324" t="s">
        <v>4974</v>
      </c>
      <c r="D2324" t="s">
        <v>428</v>
      </c>
      <c r="F2324">
        <v>797581779</v>
      </c>
      <c r="G2324">
        <v>370732718</v>
      </c>
      <c r="H2324">
        <v>470759823</v>
      </c>
      <c r="I2324">
        <v>620653253</v>
      </c>
      <c r="J2324">
        <v>922614048</v>
      </c>
      <c r="K2324">
        <v>1014595477</v>
      </c>
      <c r="L2324">
        <v>575194582</v>
      </c>
      <c r="M2324">
        <v>415953012</v>
      </c>
      <c r="N2324">
        <v>283631712</v>
      </c>
      <c r="O2324">
        <v>75321955</v>
      </c>
      <c r="P2324">
        <v>336</v>
      </c>
      <c r="Q2324" t="s">
        <v>4975</v>
      </c>
    </row>
    <row r="2325" spans="1:17" x14ac:dyDescent="0.3">
      <c r="A2325" t="s">
        <v>4729</v>
      </c>
      <c r="B2325" t="str">
        <f>"000520"</f>
        <v>000520</v>
      </c>
      <c r="C2325" t="s">
        <v>4976</v>
      </c>
      <c r="D2325" t="s">
        <v>69</v>
      </c>
      <c r="F2325">
        <v>52808372</v>
      </c>
      <c r="G2325">
        <v>33233376</v>
      </c>
      <c r="H2325">
        <v>24364647</v>
      </c>
      <c r="I2325">
        <v>39530278</v>
      </c>
      <c r="J2325">
        <v>108785711</v>
      </c>
      <c r="K2325">
        <v>169726266</v>
      </c>
      <c r="L2325">
        <v>198025350</v>
      </c>
      <c r="M2325">
        <v>152251139</v>
      </c>
      <c r="N2325">
        <v>160787965</v>
      </c>
      <c r="O2325">
        <v>297623616</v>
      </c>
      <c r="P2325">
        <v>110</v>
      </c>
      <c r="Q2325" t="s">
        <v>4977</v>
      </c>
    </row>
    <row r="2326" spans="1:17" x14ac:dyDescent="0.3">
      <c r="A2326" t="s">
        <v>4729</v>
      </c>
      <c r="B2326" t="str">
        <f>"000521"</f>
        <v>000521</v>
      </c>
      <c r="C2326" t="s">
        <v>4978</v>
      </c>
      <c r="D2326" t="s">
        <v>754</v>
      </c>
      <c r="F2326">
        <v>1440874691</v>
      </c>
      <c r="G2326">
        <v>1130275781</v>
      </c>
      <c r="H2326">
        <v>1387961982</v>
      </c>
      <c r="I2326">
        <v>1670988645</v>
      </c>
      <c r="J2326">
        <v>1780416509</v>
      </c>
      <c r="K2326">
        <v>1118960552</v>
      </c>
      <c r="L2326">
        <v>1335857544</v>
      </c>
      <c r="M2326">
        <v>1160192277</v>
      </c>
      <c r="N2326">
        <v>855264087</v>
      </c>
      <c r="O2326">
        <v>753762081</v>
      </c>
      <c r="P2326">
        <v>181</v>
      </c>
      <c r="Q2326" t="s">
        <v>4979</v>
      </c>
    </row>
    <row r="2327" spans="1:17" x14ac:dyDescent="0.3">
      <c r="A2327" t="s">
        <v>4729</v>
      </c>
      <c r="B2327" t="str">
        <f>"000522"</f>
        <v>000522</v>
      </c>
      <c r="C2327" t="s">
        <v>4980</v>
      </c>
      <c r="N2327">
        <v>973184749.11000001</v>
      </c>
      <c r="O2327">
        <v>207757501.36000001</v>
      </c>
      <c r="P2327">
        <v>63</v>
      </c>
      <c r="Q2327" t="s">
        <v>4981</v>
      </c>
    </row>
    <row r="2328" spans="1:17" x14ac:dyDescent="0.3">
      <c r="A2328" t="s">
        <v>4729</v>
      </c>
      <c r="B2328" t="str">
        <f>"000523"</f>
        <v>000523</v>
      </c>
      <c r="C2328" t="s">
        <v>4982</v>
      </c>
      <c r="D2328" t="s">
        <v>569</v>
      </c>
      <c r="F2328">
        <v>274841422</v>
      </c>
      <c r="G2328">
        <v>381040740</v>
      </c>
      <c r="H2328">
        <v>3445511413</v>
      </c>
      <c r="I2328">
        <v>3009078086</v>
      </c>
      <c r="J2328">
        <v>2241185692</v>
      </c>
      <c r="K2328">
        <v>1756363129</v>
      </c>
      <c r="L2328">
        <v>1307970519</v>
      </c>
      <c r="M2328">
        <v>910946191</v>
      </c>
      <c r="N2328">
        <v>644863139</v>
      </c>
      <c r="O2328">
        <v>382070853</v>
      </c>
      <c r="P2328">
        <v>97</v>
      </c>
      <c r="Q2328" t="s">
        <v>4983</v>
      </c>
    </row>
    <row r="2329" spans="1:17" x14ac:dyDescent="0.3">
      <c r="A2329" t="s">
        <v>4729</v>
      </c>
      <c r="B2329" t="str">
        <f>"000524"</f>
        <v>000524</v>
      </c>
      <c r="C2329" t="s">
        <v>4984</v>
      </c>
      <c r="D2329" t="s">
        <v>1120</v>
      </c>
      <c r="F2329">
        <v>71411883</v>
      </c>
      <c r="G2329">
        <v>94913051</v>
      </c>
      <c r="H2329">
        <v>175332349</v>
      </c>
      <c r="I2329">
        <v>176241560</v>
      </c>
      <c r="J2329">
        <v>123799420</v>
      </c>
      <c r="K2329">
        <v>19194822</v>
      </c>
      <c r="L2329">
        <v>14804653</v>
      </c>
      <c r="M2329">
        <v>14280921</v>
      </c>
      <c r="N2329">
        <v>6799106</v>
      </c>
      <c r="O2329">
        <v>6886320</v>
      </c>
      <c r="P2329">
        <v>156</v>
      </c>
      <c r="Q2329" t="s">
        <v>4985</v>
      </c>
    </row>
    <row r="2330" spans="1:17" x14ac:dyDescent="0.3">
      <c r="A2330" t="s">
        <v>4729</v>
      </c>
      <c r="B2330" t="str">
        <f>"000525"</f>
        <v>000525</v>
      </c>
      <c r="C2330" t="s">
        <v>4986</v>
      </c>
      <c r="D2330" t="s">
        <v>853</v>
      </c>
      <c r="F2330">
        <v>834304899</v>
      </c>
      <c r="G2330">
        <v>630001171</v>
      </c>
      <c r="H2330">
        <v>1209890681</v>
      </c>
      <c r="I2330">
        <v>1863392711</v>
      </c>
      <c r="J2330">
        <v>1221850228</v>
      </c>
      <c r="K2330">
        <v>1117693671</v>
      </c>
      <c r="L2330">
        <v>605116592</v>
      </c>
      <c r="M2330">
        <v>619280726</v>
      </c>
      <c r="N2330">
        <v>446097832</v>
      </c>
      <c r="O2330">
        <v>263227048</v>
      </c>
      <c r="P2330">
        <v>150</v>
      </c>
      <c r="Q2330" t="s">
        <v>4987</v>
      </c>
    </row>
    <row r="2331" spans="1:17" x14ac:dyDescent="0.3">
      <c r="A2331" t="s">
        <v>4729</v>
      </c>
      <c r="B2331" t="str">
        <f>"000526"</f>
        <v>000526</v>
      </c>
      <c r="C2331" t="s">
        <v>4988</v>
      </c>
      <c r="D2331" t="s">
        <v>1336</v>
      </c>
      <c r="F2331">
        <v>29815733</v>
      </c>
      <c r="G2331">
        <v>37707569</v>
      </c>
      <c r="H2331">
        <v>38681536</v>
      </c>
      <c r="I2331">
        <v>31247482</v>
      </c>
      <c r="J2331">
        <v>18925315</v>
      </c>
      <c r="K2331">
        <v>36503520</v>
      </c>
      <c r="L2331">
        <v>18370958</v>
      </c>
      <c r="M2331">
        <v>5345646</v>
      </c>
      <c r="N2331">
        <v>2477142</v>
      </c>
      <c r="O2331">
        <v>54994284</v>
      </c>
      <c r="P2331">
        <v>201</v>
      </c>
      <c r="Q2331" t="s">
        <v>4989</v>
      </c>
    </row>
    <row r="2332" spans="1:17" x14ac:dyDescent="0.3">
      <c r="A2332" t="s">
        <v>4729</v>
      </c>
      <c r="B2332" t="str">
        <f>"000527"</f>
        <v>000527</v>
      </c>
      <c r="C2332" t="s">
        <v>4990</v>
      </c>
      <c r="O2332">
        <v>6071276010</v>
      </c>
      <c r="P2332">
        <v>296</v>
      </c>
      <c r="Q2332" t="s">
        <v>4991</v>
      </c>
    </row>
    <row r="2333" spans="1:17" x14ac:dyDescent="0.3">
      <c r="A2333" t="s">
        <v>4729</v>
      </c>
      <c r="B2333" t="str">
        <f>"000528"</f>
        <v>000528</v>
      </c>
      <c r="C2333" t="s">
        <v>4992</v>
      </c>
      <c r="D2333" t="s">
        <v>83</v>
      </c>
      <c r="F2333">
        <v>6266992275</v>
      </c>
      <c r="G2333">
        <v>4639429563</v>
      </c>
      <c r="H2333">
        <v>3953280189</v>
      </c>
      <c r="I2333">
        <v>3532724321</v>
      </c>
      <c r="J2333">
        <v>2805132568</v>
      </c>
      <c r="K2333">
        <v>2619024988</v>
      </c>
      <c r="L2333">
        <v>3150769551</v>
      </c>
      <c r="M2333">
        <v>3469236870</v>
      </c>
      <c r="N2333">
        <v>2786900926</v>
      </c>
      <c r="O2333">
        <v>2160122614</v>
      </c>
      <c r="P2333">
        <v>481</v>
      </c>
      <c r="Q2333" t="s">
        <v>4993</v>
      </c>
    </row>
    <row r="2334" spans="1:17" x14ac:dyDescent="0.3">
      <c r="A2334" t="s">
        <v>4729</v>
      </c>
      <c r="B2334" t="str">
        <f>"000529"</f>
        <v>000529</v>
      </c>
      <c r="C2334" t="s">
        <v>4994</v>
      </c>
      <c r="D2334" t="s">
        <v>1536</v>
      </c>
      <c r="F2334">
        <v>225138202</v>
      </c>
      <c r="G2334">
        <v>215934264</v>
      </c>
      <c r="H2334">
        <v>167738229</v>
      </c>
      <c r="I2334">
        <v>109923994</v>
      </c>
      <c r="J2334">
        <v>122924180</v>
      </c>
      <c r="K2334">
        <v>20065251</v>
      </c>
      <c r="L2334">
        <v>18878633</v>
      </c>
      <c r="M2334">
        <v>22532623</v>
      </c>
      <c r="N2334">
        <v>36684672</v>
      </c>
      <c r="O2334">
        <v>29628249</v>
      </c>
      <c r="P2334">
        <v>298</v>
      </c>
      <c r="Q2334" t="s">
        <v>4995</v>
      </c>
    </row>
    <row r="2335" spans="1:17" x14ac:dyDescent="0.3">
      <c r="A2335" t="s">
        <v>4729</v>
      </c>
      <c r="B2335" t="str">
        <f>"000530"</f>
        <v>000530</v>
      </c>
      <c r="C2335" t="s">
        <v>4996</v>
      </c>
      <c r="D2335" t="s">
        <v>988</v>
      </c>
      <c r="F2335">
        <v>821548679</v>
      </c>
      <c r="G2335">
        <v>817011956</v>
      </c>
      <c r="H2335">
        <v>1030342542</v>
      </c>
      <c r="I2335">
        <v>1107546588</v>
      </c>
      <c r="J2335">
        <v>1036255896</v>
      </c>
      <c r="K2335">
        <v>759053299</v>
      </c>
      <c r="L2335">
        <v>671423837</v>
      </c>
      <c r="M2335">
        <v>438880830</v>
      </c>
      <c r="N2335">
        <v>369712747</v>
      </c>
      <c r="O2335">
        <v>352261727</v>
      </c>
      <c r="P2335">
        <v>129</v>
      </c>
      <c r="Q2335" t="s">
        <v>4997</v>
      </c>
    </row>
    <row r="2336" spans="1:17" x14ac:dyDescent="0.3">
      <c r="A2336" t="s">
        <v>4729</v>
      </c>
      <c r="B2336" t="str">
        <f>"000531"</f>
        <v>000531</v>
      </c>
      <c r="C2336" t="s">
        <v>4998</v>
      </c>
      <c r="D2336" t="s">
        <v>41</v>
      </c>
      <c r="F2336">
        <v>443051753</v>
      </c>
      <c r="G2336">
        <v>363587364</v>
      </c>
      <c r="H2336">
        <v>384895142</v>
      </c>
      <c r="I2336">
        <v>305884677</v>
      </c>
      <c r="J2336">
        <v>313956978</v>
      </c>
      <c r="K2336">
        <v>349603852</v>
      </c>
      <c r="L2336">
        <v>168871920</v>
      </c>
      <c r="M2336">
        <v>191580715</v>
      </c>
      <c r="N2336">
        <v>304281694</v>
      </c>
      <c r="O2336">
        <v>319812071</v>
      </c>
      <c r="P2336">
        <v>277</v>
      </c>
      <c r="Q2336" t="s">
        <v>4999</v>
      </c>
    </row>
    <row r="2337" spans="1:17" x14ac:dyDescent="0.3">
      <c r="A2337" t="s">
        <v>4729</v>
      </c>
      <c r="B2337" t="str">
        <f>"000532"</f>
        <v>000532</v>
      </c>
      <c r="C2337" t="s">
        <v>5000</v>
      </c>
      <c r="D2337" t="s">
        <v>116</v>
      </c>
      <c r="F2337">
        <v>163280260</v>
      </c>
      <c r="G2337">
        <v>114806541</v>
      </c>
      <c r="H2337">
        <v>122071885</v>
      </c>
      <c r="I2337">
        <v>194005059</v>
      </c>
      <c r="J2337">
        <v>148599443</v>
      </c>
      <c r="K2337">
        <v>94182379</v>
      </c>
      <c r="L2337">
        <v>65234490</v>
      </c>
      <c r="M2337">
        <v>57962861</v>
      </c>
      <c r="N2337">
        <v>76662222</v>
      </c>
      <c r="O2337">
        <v>62824134</v>
      </c>
      <c r="P2337">
        <v>140</v>
      </c>
      <c r="Q2337" t="s">
        <v>5001</v>
      </c>
    </row>
    <row r="2338" spans="1:17" x14ac:dyDescent="0.3">
      <c r="A2338" t="s">
        <v>4729</v>
      </c>
      <c r="B2338" t="str">
        <f>"000533"</f>
        <v>000533</v>
      </c>
      <c r="C2338" t="s">
        <v>5002</v>
      </c>
      <c r="D2338" t="s">
        <v>210</v>
      </c>
      <c r="F2338">
        <v>1031689365</v>
      </c>
      <c r="G2338">
        <v>1007933935</v>
      </c>
      <c r="H2338">
        <v>1060499558</v>
      </c>
      <c r="I2338">
        <v>1137887337</v>
      </c>
      <c r="J2338">
        <v>1280719586</v>
      </c>
      <c r="K2338">
        <v>1235887211</v>
      </c>
      <c r="L2338">
        <v>1275270353</v>
      </c>
      <c r="M2338">
        <v>1042328056</v>
      </c>
      <c r="N2338">
        <v>955076656</v>
      </c>
      <c r="O2338">
        <v>259813019</v>
      </c>
      <c r="P2338">
        <v>101</v>
      </c>
      <c r="Q2338" t="s">
        <v>5003</v>
      </c>
    </row>
    <row r="2339" spans="1:17" x14ac:dyDescent="0.3">
      <c r="A2339" t="s">
        <v>4729</v>
      </c>
      <c r="B2339" t="str">
        <f>"000534"</f>
        <v>000534</v>
      </c>
      <c r="C2339" t="s">
        <v>5004</v>
      </c>
      <c r="D2339" t="s">
        <v>1379</v>
      </c>
      <c r="F2339">
        <v>128991112</v>
      </c>
      <c r="G2339">
        <v>122401000</v>
      </c>
      <c r="H2339">
        <v>107857745</v>
      </c>
      <c r="I2339">
        <v>8064169</v>
      </c>
      <c r="J2339">
        <v>21245406</v>
      </c>
      <c r="K2339">
        <v>34829623</v>
      </c>
      <c r="L2339">
        <v>2227459</v>
      </c>
      <c r="M2339">
        <v>6108451</v>
      </c>
      <c r="N2339">
        <v>279600783</v>
      </c>
      <c r="O2339">
        <v>133451773</v>
      </c>
      <c r="P2339">
        <v>120</v>
      </c>
      <c r="Q2339" t="s">
        <v>5005</v>
      </c>
    </row>
    <row r="2340" spans="1:17" x14ac:dyDescent="0.3">
      <c r="A2340" t="s">
        <v>4729</v>
      </c>
      <c r="B2340" t="str">
        <f>"000536"</f>
        <v>000536</v>
      </c>
      <c r="C2340" t="s">
        <v>5006</v>
      </c>
      <c r="D2340" t="s">
        <v>1117</v>
      </c>
      <c r="F2340">
        <v>353574607</v>
      </c>
      <c r="G2340">
        <v>228404480</v>
      </c>
      <c r="H2340">
        <v>243777226</v>
      </c>
      <c r="I2340">
        <v>433909399</v>
      </c>
      <c r="J2340">
        <v>2154000317</v>
      </c>
      <c r="K2340">
        <v>1901607978</v>
      </c>
      <c r="L2340">
        <v>1823231784</v>
      </c>
      <c r="M2340">
        <v>3031091313</v>
      </c>
      <c r="N2340">
        <v>3288367273</v>
      </c>
      <c r="O2340">
        <v>803111208</v>
      </c>
      <c r="P2340">
        <v>142</v>
      </c>
      <c r="Q2340" t="s">
        <v>5007</v>
      </c>
    </row>
    <row r="2341" spans="1:17" x14ac:dyDescent="0.3">
      <c r="A2341" t="s">
        <v>4729</v>
      </c>
      <c r="B2341" t="str">
        <f>"000537"</f>
        <v>000537</v>
      </c>
      <c r="C2341" t="s">
        <v>5008</v>
      </c>
      <c r="D2341" t="s">
        <v>104</v>
      </c>
      <c r="F2341">
        <v>2761644</v>
      </c>
      <c r="G2341">
        <v>15032359</v>
      </c>
      <c r="H2341">
        <v>12939084</v>
      </c>
      <c r="I2341">
        <v>11667602</v>
      </c>
      <c r="J2341">
        <v>6715511</v>
      </c>
      <c r="K2341">
        <v>0</v>
      </c>
      <c r="L2341">
        <v>1430</v>
      </c>
      <c r="M2341">
        <v>5190</v>
      </c>
      <c r="N2341">
        <v>35169</v>
      </c>
      <c r="O2341">
        <v>549023</v>
      </c>
      <c r="P2341">
        <v>604</v>
      </c>
      <c r="Q2341" t="s">
        <v>5009</v>
      </c>
    </row>
    <row r="2342" spans="1:17" x14ac:dyDescent="0.3">
      <c r="A2342" t="s">
        <v>4729</v>
      </c>
      <c r="B2342" t="str">
        <f>"000538"</f>
        <v>000538</v>
      </c>
      <c r="C2342" t="s">
        <v>5010</v>
      </c>
      <c r="D2342" t="s">
        <v>188</v>
      </c>
      <c r="F2342">
        <v>7184433954</v>
      </c>
      <c r="G2342">
        <v>3554161411</v>
      </c>
      <c r="H2342">
        <v>2037970725</v>
      </c>
      <c r="I2342">
        <v>1853377809</v>
      </c>
      <c r="J2342">
        <v>1233810339</v>
      </c>
      <c r="K2342">
        <v>1012036372</v>
      </c>
      <c r="L2342">
        <v>1057735076</v>
      </c>
      <c r="M2342">
        <v>554880113</v>
      </c>
      <c r="N2342">
        <v>536467060</v>
      </c>
      <c r="O2342">
        <v>461109820</v>
      </c>
      <c r="P2342">
        <v>30717</v>
      </c>
      <c r="Q2342" t="s">
        <v>5011</v>
      </c>
    </row>
    <row r="2343" spans="1:17" x14ac:dyDescent="0.3">
      <c r="A2343" t="s">
        <v>4729</v>
      </c>
      <c r="B2343" t="str">
        <f>"000539"</f>
        <v>000539</v>
      </c>
      <c r="C2343" t="s">
        <v>5012</v>
      </c>
      <c r="D2343" t="s">
        <v>41</v>
      </c>
      <c r="F2343">
        <v>7030685357</v>
      </c>
      <c r="G2343">
        <v>4332149033</v>
      </c>
      <c r="H2343">
        <v>3197690464</v>
      </c>
      <c r="I2343">
        <v>3358331949</v>
      </c>
      <c r="J2343">
        <v>2826237259</v>
      </c>
      <c r="K2343">
        <v>2776061909</v>
      </c>
      <c r="L2343">
        <v>2484683890</v>
      </c>
      <c r="M2343">
        <v>2580733823</v>
      </c>
      <c r="N2343">
        <v>3266445752</v>
      </c>
      <c r="O2343">
        <v>3059549427</v>
      </c>
      <c r="P2343">
        <v>203</v>
      </c>
      <c r="Q2343" t="s">
        <v>5013</v>
      </c>
    </row>
    <row r="2344" spans="1:17" x14ac:dyDescent="0.3">
      <c r="A2344" t="s">
        <v>4729</v>
      </c>
      <c r="B2344" t="str">
        <f>"000540"</f>
        <v>000540</v>
      </c>
      <c r="C2344" t="s">
        <v>5014</v>
      </c>
      <c r="D2344" t="s">
        <v>104</v>
      </c>
      <c r="F2344">
        <v>524530935</v>
      </c>
      <c r="G2344">
        <v>2039565848</v>
      </c>
      <c r="H2344">
        <v>1231831392</v>
      </c>
      <c r="I2344">
        <v>1780707664</v>
      </c>
      <c r="J2344">
        <v>4428082749</v>
      </c>
      <c r="K2344">
        <v>2507910591</v>
      </c>
      <c r="L2344">
        <v>1223059348</v>
      </c>
      <c r="M2344">
        <v>853757630</v>
      </c>
      <c r="N2344">
        <v>941513174</v>
      </c>
      <c r="O2344">
        <v>51920651</v>
      </c>
      <c r="P2344">
        <v>5239</v>
      </c>
      <c r="Q2344" t="s">
        <v>5015</v>
      </c>
    </row>
    <row r="2345" spans="1:17" x14ac:dyDescent="0.3">
      <c r="A2345" t="s">
        <v>4729</v>
      </c>
      <c r="B2345" t="str">
        <f>"000541"</f>
        <v>000541</v>
      </c>
      <c r="C2345" t="s">
        <v>5016</v>
      </c>
      <c r="D2345" t="s">
        <v>598</v>
      </c>
      <c r="F2345">
        <v>1452728276</v>
      </c>
      <c r="G2345">
        <v>1134233236</v>
      </c>
      <c r="H2345">
        <v>712175267</v>
      </c>
      <c r="I2345">
        <v>834420596</v>
      </c>
      <c r="J2345">
        <v>756291433</v>
      </c>
      <c r="K2345">
        <v>595257954</v>
      </c>
      <c r="L2345">
        <v>366401131</v>
      </c>
      <c r="M2345">
        <v>322951674</v>
      </c>
      <c r="N2345">
        <v>390216736</v>
      </c>
      <c r="O2345">
        <v>334006892</v>
      </c>
      <c r="P2345">
        <v>437</v>
      </c>
      <c r="Q2345" t="s">
        <v>5017</v>
      </c>
    </row>
    <row r="2346" spans="1:17" x14ac:dyDescent="0.3">
      <c r="A2346" t="s">
        <v>4729</v>
      </c>
      <c r="B2346" t="str">
        <f>"000543"</f>
        <v>000543</v>
      </c>
      <c r="C2346" t="s">
        <v>5018</v>
      </c>
      <c r="D2346" t="s">
        <v>41</v>
      </c>
      <c r="F2346">
        <v>1735717841</v>
      </c>
      <c r="G2346">
        <v>1711260894</v>
      </c>
      <c r="H2346">
        <v>1568877559</v>
      </c>
      <c r="I2346">
        <v>1493609380</v>
      </c>
      <c r="J2346">
        <v>1239195037</v>
      </c>
      <c r="K2346">
        <v>1383799813</v>
      </c>
      <c r="L2346">
        <v>1138230949</v>
      </c>
      <c r="M2346">
        <v>1201918670</v>
      </c>
      <c r="N2346">
        <v>1394795515</v>
      </c>
      <c r="O2346">
        <v>928742668</v>
      </c>
      <c r="P2346">
        <v>322</v>
      </c>
      <c r="Q2346" t="s">
        <v>5019</v>
      </c>
    </row>
    <row r="2347" spans="1:17" x14ac:dyDescent="0.3">
      <c r="A2347" t="s">
        <v>4729</v>
      </c>
      <c r="B2347" t="str">
        <f>"000544"</f>
        <v>000544</v>
      </c>
      <c r="C2347" t="s">
        <v>5020</v>
      </c>
      <c r="D2347" t="s">
        <v>33</v>
      </c>
      <c r="F2347">
        <v>665947769</v>
      </c>
      <c r="G2347">
        <v>458195547</v>
      </c>
      <c r="H2347">
        <v>373550055</v>
      </c>
      <c r="I2347">
        <v>549578095</v>
      </c>
      <c r="J2347">
        <v>551153941</v>
      </c>
      <c r="K2347">
        <v>219735269</v>
      </c>
      <c r="L2347">
        <v>61343284</v>
      </c>
      <c r="M2347">
        <v>383447872</v>
      </c>
      <c r="N2347">
        <v>347852349</v>
      </c>
      <c r="O2347">
        <v>283921470</v>
      </c>
      <c r="P2347">
        <v>247</v>
      </c>
      <c r="Q2347" t="s">
        <v>5021</v>
      </c>
    </row>
    <row r="2348" spans="1:17" x14ac:dyDescent="0.3">
      <c r="A2348" t="s">
        <v>4729</v>
      </c>
      <c r="B2348" t="str">
        <f>"000545"</f>
        <v>000545</v>
      </c>
      <c r="C2348" t="s">
        <v>5022</v>
      </c>
      <c r="D2348" t="s">
        <v>1474</v>
      </c>
      <c r="F2348">
        <v>171644714</v>
      </c>
      <c r="G2348">
        <v>94991717</v>
      </c>
      <c r="H2348">
        <v>88073104</v>
      </c>
      <c r="I2348">
        <v>67104395</v>
      </c>
      <c r="J2348">
        <v>66951060</v>
      </c>
      <c r="K2348">
        <v>36568685</v>
      </c>
      <c r="L2348">
        <v>30679161</v>
      </c>
      <c r="M2348">
        <v>34956776</v>
      </c>
      <c r="N2348">
        <v>34988874</v>
      </c>
      <c r="O2348">
        <v>43001017</v>
      </c>
      <c r="P2348">
        <v>106</v>
      </c>
      <c r="Q2348" t="s">
        <v>5023</v>
      </c>
    </row>
    <row r="2349" spans="1:17" x14ac:dyDescent="0.3">
      <c r="A2349" t="s">
        <v>4729</v>
      </c>
      <c r="B2349" t="str">
        <f>"000546"</f>
        <v>000546</v>
      </c>
      <c r="C2349" t="s">
        <v>5024</v>
      </c>
      <c r="D2349" t="s">
        <v>731</v>
      </c>
      <c r="F2349">
        <v>969978118</v>
      </c>
      <c r="G2349">
        <v>1090040774</v>
      </c>
      <c r="H2349">
        <v>1031136947</v>
      </c>
      <c r="I2349">
        <v>979274779</v>
      </c>
      <c r="J2349">
        <v>1002832860</v>
      </c>
      <c r="K2349">
        <v>987577649</v>
      </c>
      <c r="L2349">
        <v>512882904</v>
      </c>
      <c r="M2349">
        <v>31697790</v>
      </c>
      <c r="N2349">
        <v>9128</v>
      </c>
      <c r="O2349">
        <v>4133837</v>
      </c>
      <c r="P2349">
        <v>181</v>
      </c>
      <c r="Q2349" t="s">
        <v>5025</v>
      </c>
    </row>
    <row r="2350" spans="1:17" x14ac:dyDescent="0.3">
      <c r="A2350" t="s">
        <v>4729</v>
      </c>
      <c r="B2350" t="str">
        <f>"000547"</f>
        <v>000547</v>
      </c>
      <c r="C2350" t="s">
        <v>5026</v>
      </c>
      <c r="D2350" t="s">
        <v>1136</v>
      </c>
      <c r="F2350">
        <v>2803494467</v>
      </c>
      <c r="G2350">
        <v>2049093468</v>
      </c>
      <c r="H2350">
        <v>1815595746</v>
      </c>
      <c r="I2350">
        <v>1399453924</v>
      </c>
      <c r="J2350">
        <v>1012195430</v>
      </c>
      <c r="K2350">
        <v>712236121</v>
      </c>
      <c r="L2350">
        <v>555973007</v>
      </c>
      <c r="M2350">
        <v>427077800</v>
      </c>
      <c r="N2350">
        <v>360417549</v>
      </c>
      <c r="O2350">
        <v>254279667</v>
      </c>
      <c r="P2350">
        <v>612</v>
      </c>
      <c r="Q2350" t="s">
        <v>5027</v>
      </c>
    </row>
    <row r="2351" spans="1:17" x14ac:dyDescent="0.3">
      <c r="A2351" t="s">
        <v>4729</v>
      </c>
      <c r="B2351" t="str">
        <f>"000548"</f>
        <v>000548</v>
      </c>
      <c r="C2351" t="s">
        <v>5028</v>
      </c>
      <c r="D2351" t="s">
        <v>44</v>
      </c>
      <c r="F2351">
        <v>22648939</v>
      </c>
      <c r="G2351">
        <v>18167730</v>
      </c>
      <c r="H2351">
        <v>16543347</v>
      </c>
      <c r="I2351">
        <v>15702504</v>
      </c>
      <c r="J2351">
        <v>31009621</v>
      </c>
      <c r="K2351">
        <v>22865158</v>
      </c>
      <c r="L2351">
        <v>21170099</v>
      </c>
      <c r="M2351">
        <v>33659032</v>
      </c>
      <c r="N2351">
        <v>28446818</v>
      </c>
      <c r="O2351">
        <v>60457478</v>
      </c>
      <c r="P2351">
        <v>90</v>
      </c>
      <c r="Q2351" t="s">
        <v>5029</v>
      </c>
    </row>
    <row r="2352" spans="1:17" x14ac:dyDescent="0.3">
      <c r="A2352" t="s">
        <v>4729</v>
      </c>
      <c r="B2352" t="str">
        <f>"000550"</f>
        <v>000550</v>
      </c>
      <c r="C2352" t="s">
        <v>5030</v>
      </c>
      <c r="D2352" t="s">
        <v>27</v>
      </c>
      <c r="F2352">
        <v>2994798227</v>
      </c>
      <c r="G2352">
        <v>2999883212</v>
      </c>
      <c r="H2352">
        <v>2208236620</v>
      </c>
      <c r="I2352">
        <v>2674649718</v>
      </c>
      <c r="J2352">
        <v>2307118419</v>
      </c>
      <c r="K2352">
        <v>1172147513</v>
      </c>
      <c r="L2352">
        <v>1456417092</v>
      </c>
      <c r="M2352">
        <v>689338291</v>
      </c>
      <c r="N2352">
        <v>466331635</v>
      </c>
      <c r="O2352">
        <v>367038955</v>
      </c>
      <c r="P2352">
        <v>595</v>
      </c>
      <c r="Q2352" t="s">
        <v>5031</v>
      </c>
    </row>
    <row r="2353" spans="1:17" x14ac:dyDescent="0.3">
      <c r="A2353" t="s">
        <v>4729</v>
      </c>
      <c r="B2353" t="str">
        <f>"000551"</f>
        <v>000551</v>
      </c>
      <c r="C2353" t="s">
        <v>5032</v>
      </c>
      <c r="D2353" t="s">
        <v>1070</v>
      </c>
      <c r="F2353">
        <v>565986157</v>
      </c>
      <c r="G2353">
        <v>566779915</v>
      </c>
      <c r="H2353">
        <v>690502973</v>
      </c>
      <c r="I2353">
        <v>551510704</v>
      </c>
      <c r="J2353">
        <v>530495213</v>
      </c>
      <c r="K2353">
        <v>504492207</v>
      </c>
      <c r="L2353">
        <v>563422090</v>
      </c>
      <c r="M2353">
        <v>476642187</v>
      </c>
      <c r="N2353">
        <v>468007464</v>
      </c>
      <c r="O2353">
        <v>465633301</v>
      </c>
      <c r="P2353">
        <v>122</v>
      </c>
      <c r="Q2353" t="s">
        <v>5033</v>
      </c>
    </row>
    <row r="2354" spans="1:17" x14ac:dyDescent="0.3">
      <c r="A2354" t="s">
        <v>4729</v>
      </c>
      <c r="B2354" t="str">
        <f>"000552"</f>
        <v>000552</v>
      </c>
      <c r="C2354" t="s">
        <v>5034</v>
      </c>
      <c r="D2354" t="s">
        <v>292</v>
      </c>
      <c r="F2354">
        <v>291878149</v>
      </c>
      <c r="G2354">
        <v>492035852</v>
      </c>
      <c r="H2354">
        <v>917077584</v>
      </c>
      <c r="I2354">
        <v>289169786</v>
      </c>
      <c r="J2354">
        <v>417638936</v>
      </c>
      <c r="K2354">
        <v>700036822</v>
      </c>
      <c r="L2354">
        <v>868721332</v>
      </c>
      <c r="M2354">
        <v>664644898</v>
      </c>
      <c r="N2354">
        <v>461704416</v>
      </c>
      <c r="O2354">
        <v>494334711</v>
      </c>
      <c r="P2354">
        <v>263</v>
      </c>
      <c r="Q2354" t="s">
        <v>5035</v>
      </c>
    </row>
    <row r="2355" spans="1:17" x14ac:dyDescent="0.3">
      <c r="A2355" t="s">
        <v>4729</v>
      </c>
      <c r="B2355" t="str">
        <f>"000553"</f>
        <v>000553</v>
      </c>
      <c r="C2355" t="s">
        <v>5036</v>
      </c>
      <c r="D2355" t="s">
        <v>853</v>
      </c>
      <c r="F2355">
        <v>8362493000</v>
      </c>
      <c r="G2355">
        <v>8766869000</v>
      </c>
      <c r="H2355">
        <v>8004157000</v>
      </c>
      <c r="I2355">
        <v>6516912000</v>
      </c>
      <c r="J2355">
        <v>5056850000</v>
      </c>
      <c r="K2355">
        <v>208608356</v>
      </c>
      <c r="L2355">
        <v>180450532</v>
      </c>
      <c r="M2355">
        <v>195635913</v>
      </c>
      <c r="N2355">
        <v>209166447</v>
      </c>
      <c r="O2355">
        <v>180964378</v>
      </c>
      <c r="P2355">
        <v>227</v>
      </c>
      <c r="Q2355" t="s">
        <v>5037</v>
      </c>
    </row>
    <row r="2356" spans="1:17" x14ac:dyDescent="0.3">
      <c r="A2356" t="s">
        <v>4729</v>
      </c>
      <c r="B2356" t="str">
        <f>"000554"</f>
        <v>000554</v>
      </c>
      <c r="C2356" t="s">
        <v>5038</v>
      </c>
      <c r="D2356" t="s">
        <v>584</v>
      </c>
      <c r="F2356">
        <v>3162559</v>
      </c>
      <c r="G2356">
        <v>228297</v>
      </c>
      <c r="H2356">
        <v>280937</v>
      </c>
      <c r="I2356">
        <v>304116</v>
      </c>
      <c r="J2356">
        <v>110</v>
      </c>
      <c r="K2356">
        <v>0</v>
      </c>
      <c r="L2356">
        <v>19040502</v>
      </c>
      <c r="M2356">
        <v>29145069</v>
      </c>
      <c r="N2356">
        <v>3000000</v>
      </c>
      <c r="O2356">
        <v>5811526</v>
      </c>
      <c r="P2356">
        <v>112</v>
      </c>
      <c r="Q2356" t="s">
        <v>5039</v>
      </c>
    </row>
    <row r="2357" spans="1:17" x14ac:dyDescent="0.3">
      <c r="A2357" t="s">
        <v>4729</v>
      </c>
      <c r="B2357" t="str">
        <f>"000555"</f>
        <v>000555</v>
      </c>
      <c r="C2357" t="s">
        <v>5040</v>
      </c>
      <c r="D2357" t="s">
        <v>316</v>
      </c>
      <c r="F2357">
        <v>1913076204</v>
      </c>
      <c r="G2357">
        <v>1946829284</v>
      </c>
      <c r="H2357">
        <v>3304302974</v>
      </c>
      <c r="I2357">
        <v>3006436880</v>
      </c>
      <c r="J2357">
        <v>3188662845</v>
      </c>
      <c r="K2357">
        <v>2629646763</v>
      </c>
      <c r="L2357">
        <v>2406062171</v>
      </c>
      <c r="M2357">
        <v>2239454592</v>
      </c>
      <c r="N2357">
        <v>2665912022</v>
      </c>
      <c r="O2357">
        <v>0</v>
      </c>
      <c r="P2357">
        <v>374</v>
      </c>
      <c r="Q2357" t="s">
        <v>5041</v>
      </c>
    </row>
    <row r="2358" spans="1:17" x14ac:dyDescent="0.3">
      <c r="A2358" t="s">
        <v>4729</v>
      </c>
      <c r="B2358" t="str">
        <f>"000556"</f>
        <v>000556</v>
      </c>
      <c r="C2358" t="s">
        <v>5042</v>
      </c>
      <c r="K2358">
        <v>37585464.770000003</v>
      </c>
      <c r="L2358">
        <v>30249492.5</v>
      </c>
      <c r="M2358">
        <v>0</v>
      </c>
      <c r="N2358">
        <v>0</v>
      </c>
      <c r="O2358">
        <v>0</v>
      </c>
      <c r="P2358">
        <v>4</v>
      </c>
      <c r="Q2358" t="s">
        <v>5043</v>
      </c>
    </row>
    <row r="2359" spans="1:17" x14ac:dyDescent="0.3">
      <c r="A2359" t="s">
        <v>4729</v>
      </c>
      <c r="B2359" t="str">
        <f>"000557"</f>
        <v>000557</v>
      </c>
      <c r="C2359" t="s">
        <v>5044</v>
      </c>
      <c r="D2359" t="s">
        <v>301</v>
      </c>
      <c r="F2359">
        <v>166685625</v>
      </c>
      <c r="G2359">
        <v>110857620</v>
      </c>
      <c r="H2359">
        <v>123571511</v>
      </c>
      <c r="I2359">
        <v>120323109</v>
      </c>
      <c r="J2359">
        <v>81976002</v>
      </c>
      <c r="K2359">
        <v>91282806</v>
      </c>
      <c r="L2359">
        <v>927751</v>
      </c>
      <c r="M2359">
        <v>812233</v>
      </c>
      <c r="N2359">
        <v>59325</v>
      </c>
      <c r="O2359">
        <v>173198</v>
      </c>
      <c r="P2359">
        <v>103</v>
      </c>
      <c r="Q2359" t="s">
        <v>5045</v>
      </c>
    </row>
    <row r="2360" spans="1:17" x14ac:dyDescent="0.3">
      <c r="A2360" t="s">
        <v>4729</v>
      </c>
      <c r="B2360" t="str">
        <f>"000558"</f>
        <v>000558</v>
      </c>
      <c r="C2360" t="s">
        <v>5046</v>
      </c>
      <c r="D2360" t="s">
        <v>104</v>
      </c>
      <c r="F2360">
        <v>10959548</v>
      </c>
      <c r="G2360">
        <v>9573191</v>
      </c>
      <c r="H2360">
        <v>16439565</v>
      </c>
      <c r="I2360">
        <v>50790497</v>
      </c>
      <c r="J2360">
        <v>15385492</v>
      </c>
      <c r="K2360">
        <v>36447785</v>
      </c>
      <c r="L2360">
        <v>32064586</v>
      </c>
      <c r="M2360">
        <v>15809524</v>
      </c>
      <c r="N2360">
        <v>12843350</v>
      </c>
      <c r="O2360">
        <v>2790499</v>
      </c>
      <c r="P2360">
        <v>118</v>
      </c>
      <c r="Q2360" t="s">
        <v>5047</v>
      </c>
    </row>
    <row r="2361" spans="1:17" x14ac:dyDescent="0.3">
      <c r="A2361" t="s">
        <v>4729</v>
      </c>
      <c r="B2361" t="str">
        <f>"000559"</f>
        <v>000559</v>
      </c>
      <c r="C2361" t="s">
        <v>5048</v>
      </c>
      <c r="D2361" t="s">
        <v>348</v>
      </c>
      <c r="F2361">
        <v>1854141190</v>
      </c>
      <c r="G2361">
        <v>1864104737</v>
      </c>
      <c r="H2361">
        <v>1929203348</v>
      </c>
      <c r="I2361">
        <v>1840880851</v>
      </c>
      <c r="J2361">
        <v>1916247432</v>
      </c>
      <c r="K2361">
        <v>2016219770</v>
      </c>
      <c r="L2361">
        <v>2038638770</v>
      </c>
      <c r="M2361">
        <v>1769140531</v>
      </c>
      <c r="N2361">
        <v>1642361189</v>
      </c>
      <c r="O2361">
        <v>1438217628</v>
      </c>
      <c r="P2361">
        <v>414</v>
      </c>
      <c r="Q2361" t="s">
        <v>5049</v>
      </c>
    </row>
    <row r="2362" spans="1:17" x14ac:dyDescent="0.3">
      <c r="A2362" t="s">
        <v>4729</v>
      </c>
      <c r="B2362" t="str">
        <f>"000560"</f>
        <v>000560</v>
      </c>
      <c r="C2362" t="s">
        <v>5050</v>
      </c>
      <c r="D2362" t="s">
        <v>5051</v>
      </c>
      <c r="F2362">
        <v>1204635398</v>
      </c>
      <c r="G2362">
        <v>1339798215</v>
      </c>
      <c r="H2362">
        <v>1338161014</v>
      </c>
      <c r="I2362">
        <v>1081203757</v>
      </c>
      <c r="J2362">
        <v>1096358507</v>
      </c>
      <c r="K2362">
        <v>41987380</v>
      </c>
      <c r="L2362">
        <v>36505873</v>
      </c>
      <c r="M2362">
        <v>32364169</v>
      </c>
      <c r="N2362">
        <v>33901398</v>
      </c>
      <c r="O2362">
        <v>10363692</v>
      </c>
      <c r="P2362">
        <v>206</v>
      </c>
      <c r="Q2362" t="s">
        <v>5052</v>
      </c>
    </row>
    <row r="2363" spans="1:17" x14ac:dyDescent="0.3">
      <c r="A2363" t="s">
        <v>4729</v>
      </c>
      <c r="B2363" t="str">
        <f>"000561"</f>
        <v>000561</v>
      </c>
      <c r="C2363" t="s">
        <v>5053</v>
      </c>
      <c r="D2363" t="s">
        <v>98</v>
      </c>
      <c r="F2363">
        <v>1097441852</v>
      </c>
      <c r="G2363">
        <v>917982709</v>
      </c>
      <c r="H2363">
        <v>771638420</v>
      </c>
      <c r="I2363">
        <v>692385729</v>
      </c>
      <c r="J2363">
        <v>649877604</v>
      </c>
      <c r="K2363">
        <v>637357689</v>
      </c>
      <c r="L2363">
        <v>593676459</v>
      </c>
      <c r="M2363">
        <v>554922879</v>
      </c>
      <c r="N2363">
        <v>505590825</v>
      </c>
      <c r="O2363">
        <v>593794852</v>
      </c>
      <c r="P2363">
        <v>134</v>
      </c>
      <c r="Q2363" t="s">
        <v>5054</v>
      </c>
    </row>
    <row r="2364" spans="1:17" x14ac:dyDescent="0.3">
      <c r="A2364" t="s">
        <v>4729</v>
      </c>
      <c r="B2364" t="str">
        <f>"000562"</f>
        <v>000562</v>
      </c>
      <c r="C2364" t="s">
        <v>5055</v>
      </c>
      <c r="N2364">
        <v>89430016.569999993</v>
      </c>
      <c r="O2364">
        <v>0</v>
      </c>
      <c r="P2364">
        <v>18</v>
      </c>
      <c r="Q2364" t="s">
        <v>5056</v>
      </c>
    </row>
    <row r="2365" spans="1:17" x14ac:dyDescent="0.3">
      <c r="A2365" t="s">
        <v>4729</v>
      </c>
      <c r="B2365" t="str">
        <f>"000563"</f>
        <v>000563</v>
      </c>
      <c r="C2365" t="s">
        <v>5057</v>
      </c>
      <c r="D2365" t="s">
        <v>1651</v>
      </c>
      <c r="P2365">
        <v>205</v>
      </c>
      <c r="Q2365" t="s">
        <v>5058</v>
      </c>
    </row>
    <row r="2366" spans="1:17" x14ac:dyDescent="0.3">
      <c r="A2366" t="s">
        <v>4729</v>
      </c>
      <c r="B2366" t="str">
        <f>"000564"</f>
        <v>000564</v>
      </c>
      <c r="C2366" t="s">
        <v>5059</v>
      </c>
      <c r="D2366" t="s">
        <v>633</v>
      </c>
      <c r="F2366">
        <v>154847853</v>
      </c>
      <c r="G2366">
        <v>106428964</v>
      </c>
      <c r="H2366">
        <v>659186842</v>
      </c>
      <c r="I2366">
        <v>540158093</v>
      </c>
      <c r="J2366">
        <v>1430391843</v>
      </c>
      <c r="K2366">
        <v>244648761</v>
      </c>
      <c r="L2366">
        <v>20325239</v>
      </c>
      <c r="M2366">
        <v>16407108</v>
      </c>
      <c r="N2366">
        <v>23031026</v>
      </c>
      <c r="O2366">
        <v>33574854</v>
      </c>
      <c r="P2366">
        <v>187</v>
      </c>
      <c r="Q2366" t="s">
        <v>5060</v>
      </c>
    </row>
    <row r="2367" spans="1:17" x14ac:dyDescent="0.3">
      <c r="A2367" t="s">
        <v>4729</v>
      </c>
      <c r="B2367" t="str">
        <f>"000565"</f>
        <v>000565</v>
      </c>
      <c r="C2367" t="s">
        <v>5061</v>
      </c>
      <c r="D2367" t="s">
        <v>2585</v>
      </c>
      <c r="F2367">
        <v>73938850</v>
      </c>
      <c r="G2367">
        <v>75618358</v>
      </c>
      <c r="H2367">
        <v>112497109</v>
      </c>
      <c r="I2367">
        <v>97543761</v>
      </c>
      <c r="J2367">
        <v>99964767</v>
      </c>
      <c r="K2367">
        <v>125142844</v>
      </c>
      <c r="L2367">
        <v>101794107</v>
      </c>
      <c r="M2367">
        <v>70771937</v>
      </c>
      <c r="N2367">
        <v>79971321</v>
      </c>
      <c r="O2367">
        <v>48764677</v>
      </c>
      <c r="P2367">
        <v>79</v>
      </c>
      <c r="Q2367" t="s">
        <v>5062</v>
      </c>
    </row>
    <row r="2368" spans="1:17" x14ac:dyDescent="0.3">
      <c r="A2368" t="s">
        <v>4729</v>
      </c>
      <c r="B2368" t="str">
        <f>"000566"</f>
        <v>000566</v>
      </c>
      <c r="C2368" t="s">
        <v>5063</v>
      </c>
      <c r="D2368" t="s">
        <v>143</v>
      </c>
      <c r="F2368">
        <v>482946084</v>
      </c>
      <c r="G2368">
        <v>707181270</v>
      </c>
      <c r="H2368">
        <v>582238597</v>
      </c>
      <c r="I2368">
        <v>735591705</v>
      </c>
      <c r="J2368">
        <v>595533677</v>
      </c>
      <c r="K2368">
        <v>502741236</v>
      </c>
      <c r="L2368">
        <v>376277483</v>
      </c>
      <c r="M2368">
        <v>212007702</v>
      </c>
      <c r="N2368">
        <v>194372691</v>
      </c>
      <c r="O2368">
        <v>171433215</v>
      </c>
      <c r="P2368">
        <v>195</v>
      </c>
      <c r="Q2368" t="s">
        <v>5064</v>
      </c>
    </row>
    <row r="2369" spans="1:17" x14ac:dyDescent="0.3">
      <c r="A2369" t="s">
        <v>4729</v>
      </c>
      <c r="B2369" t="str">
        <f>"000567"</f>
        <v>000567</v>
      </c>
      <c r="C2369" t="s">
        <v>5065</v>
      </c>
      <c r="D2369" t="s">
        <v>116</v>
      </c>
      <c r="F2369">
        <v>73150000</v>
      </c>
      <c r="G2369">
        <v>0</v>
      </c>
      <c r="H2369">
        <v>0</v>
      </c>
      <c r="I2369">
        <v>0</v>
      </c>
      <c r="J2369">
        <v>28500000</v>
      </c>
      <c r="K2369">
        <v>906300</v>
      </c>
      <c r="L2369">
        <v>0</v>
      </c>
      <c r="M2369">
        <v>0</v>
      </c>
      <c r="N2369">
        <v>3800000</v>
      </c>
      <c r="O2369">
        <v>753449</v>
      </c>
      <c r="P2369">
        <v>117</v>
      </c>
      <c r="Q2369" t="s">
        <v>5066</v>
      </c>
    </row>
    <row r="2370" spans="1:17" x14ac:dyDescent="0.3">
      <c r="A2370" t="s">
        <v>4729</v>
      </c>
      <c r="B2370" t="str">
        <f>"000568"</f>
        <v>000568</v>
      </c>
      <c r="C2370" t="s">
        <v>5067</v>
      </c>
      <c r="D2370" t="s">
        <v>458</v>
      </c>
      <c r="F2370">
        <v>1628249</v>
      </c>
      <c r="G2370">
        <v>1507852</v>
      </c>
      <c r="H2370">
        <v>18293914</v>
      </c>
      <c r="I2370">
        <v>10333729</v>
      </c>
      <c r="J2370">
        <v>8008857</v>
      </c>
      <c r="K2370">
        <v>3898677</v>
      </c>
      <c r="L2370">
        <v>12226329</v>
      </c>
      <c r="M2370">
        <v>4705568</v>
      </c>
      <c r="N2370">
        <v>10092949</v>
      </c>
      <c r="O2370">
        <v>80473365</v>
      </c>
      <c r="P2370">
        <v>6440</v>
      </c>
      <c r="Q2370" t="s">
        <v>5068</v>
      </c>
    </row>
    <row r="2371" spans="1:17" x14ac:dyDescent="0.3">
      <c r="A2371" t="s">
        <v>4729</v>
      </c>
      <c r="B2371" t="str">
        <f>"000570"</f>
        <v>000570</v>
      </c>
      <c r="C2371" t="s">
        <v>5069</v>
      </c>
      <c r="D2371" t="s">
        <v>348</v>
      </c>
      <c r="F2371">
        <v>375209126</v>
      </c>
      <c r="G2371">
        <v>397154016</v>
      </c>
      <c r="H2371">
        <v>419302057</v>
      </c>
      <c r="I2371">
        <v>379010080</v>
      </c>
      <c r="J2371">
        <v>392171977</v>
      </c>
      <c r="K2371">
        <v>359279822</v>
      </c>
      <c r="L2371">
        <v>308596921</v>
      </c>
      <c r="M2371">
        <v>374335355</v>
      </c>
      <c r="N2371">
        <v>317295375</v>
      </c>
      <c r="O2371">
        <v>299208279</v>
      </c>
      <c r="P2371">
        <v>81</v>
      </c>
      <c r="Q2371" t="s">
        <v>5070</v>
      </c>
    </row>
    <row r="2372" spans="1:17" x14ac:dyDescent="0.3">
      <c r="A2372" t="s">
        <v>4729</v>
      </c>
      <c r="B2372" t="str">
        <f>"000571"</f>
        <v>000571</v>
      </c>
      <c r="C2372" t="s">
        <v>5071</v>
      </c>
      <c r="D2372" t="s">
        <v>292</v>
      </c>
      <c r="F2372">
        <v>11772764</v>
      </c>
      <c r="G2372">
        <v>14423246</v>
      </c>
      <c r="H2372">
        <v>237306193</v>
      </c>
      <c r="I2372">
        <v>303241895</v>
      </c>
      <c r="J2372">
        <v>320134385</v>
      </c>
      <c r="K2372">
        <v>158125095</v>
      </c>
      <c r="L2372">
        <v>236620939</v>
      </c>
      <c r="M2372">
        <v>158326990</v>
      </c>
      <c r="N2372">
        <v>69653580</v>
      </c>
      <c r="O2372">
        <v>62851436</v>
      </c>
      <c r="P2372">
        <v>72</v>
      </c>
      <c r="Q2372" t="s">
        <v>5072</v>
      </c>
    </row>
    <row r="2373" spans="1:17" x14ac:dyDescent="0.3">
      <c r="A2373" t="s">
        <v>4729</v>
      </c>
      <c r="B2373" t="str">
        <f>"000572"</f>
        <v>000572</v>
      </c>
      <c r="C2373" t="s">
        <v>5073</v>
      </c>
      <c r="D2373" t="s">
        <v>247</v>
      </c>
      <c r="F2373">
        <v>282881198</v>
      </c>
      <c r="G2373">
        <v>254156206</v>
      </c>
      <c r="H2373">
        <v>455941874</v>
      </c>
      <c r="I2373">
        <v>1349967096</v>
      </c>
      <c r="J2373">
        <v>1085608466</v>
      </c>
      <c r="K2373">
        <v>257950897</v>
      </c>
      <c r="L2373">
        <v>55209400</v>
      </c>
      <c r="M2373">
        <v>29633227</v>
      </c>
      <c r="N2373">
        <v>35293385</v>
      </c>
      <c r="O2373">
        <v>78805245</v>
      </c>
      <c r="P2373">
        <v>151</v>
      </c>
      <c r="Q2373" t="s">
        <v>5074</v>
      </c>
    </row>
    <row r="2374" spans="1:17" x14ac:dyDescent="0.3">
      <c r="A2374" t="s">
        <v>4729</v>
      </c>
      <c r="B2374" t="str">
        <f>"000573"</f>
        <v>000573</v>
      </c>
      <c r="C2374" t="s">
        <v>5075</v>
      </c>
      <c r="D2374" t="s">
        <v>104</v>
      </c>
      <c r="F2374">
        <v>58990432</v>
      </c>
      <c r="G2374">
        <v>20505428</v>
      </c>
      <c r="H2374">
        <v>14686409</v>
      </c>
      <c r="I2374">
        <v>2307191</v>
      </c>
      <c r="J2374">
        <v>14460278</v>
      </c>
      <c r="K2374">
        <v>34003896</v>
      </c>
      <c r="L2374">
        <v>32235501</v>
      </c>
      <c r="M2374">
        <v>63829185</v>
      </c>
      <c r="N2374">
        <v>63517020</v>
      </c>
      <c r="O2374">
        <v>94153332</v>
      </c>
      <c r="P2374">
        <v>130</v>
      </c>
      <c r="Q2374" t="s">
        <v>5076</v>
      </c>
    </row>
    <row r="2375" spans="1:17" x14ac:dyDescent="0.3">
      <c r="A2375" t="s">
        <v>4729</v>
      </c>
      <c r="B2375" t="str">
        <f>"000576"</f>
        <v>000576</v>
      </c>
      <c r="C2375" t="s">
        <v>5077</v>
      </c>
      <c r="D2375" t="s">
        <v>428</v>
      </c>
      <c r="F2375">
        <v>93657627</v>
      </c>
      <c r="G2375">
        <v>64215754</v>
      </c>
      <c r="H2375">
        <v>43723007</v>
      </c>
      <c r="I2375">
        <v>24972386</v>
      </c>
      <c r="J2375">
        <v>23500821</v>
      </c>
      <c r="K2375">
        <v>58392241</v>
      </c>
      <c r="L2375">
        <v>87137452</v>
      </c>
      <c r="M2375">
        <v>98950963</v>
      </c>
      <c r="N2375">
        <v>75655309</v>
      </c>
      <c r="O2375">
        <v>83803836</v>
      </c>
      <c r="P2375">
        <v>161</v>
      </c>
      <c r="Q2375" t="s">
        <v>5078</v>
      </c>
    </row>
    <row r="2376" spans="1:17" x14ac:dyDescent="0.3">
      <c r="A2376" t="s">
        <v>4729</v>
      </c>
      <c r="B2376" t="str">
        <f>"000578"</f>
        <v>000578</v>
      </c>
      <c r="C2376" t="s">
        <v>5079</v>
      </c>
      <c r="N2376">
        <v>295967809.60000002</v>
      </c>
      <c r="O2376">
        <v>150376490.93000001</v>
      </c>
      <c r="P2376">
        <v>12</v>
      </c>
      <c r="Q2376" t="s">
        <v>5080</v>
      </c>
    </row>
    <row r="2377" spans="1:17" x14ac:dyDescent="0.3">
      <c r="A2377" t="s">
        <v>4729</v>
      </c>
      <c r="B2377" t="str">
        <f>"000581"</f>
        <v>000581</v>
      </c>
      <c r="C2377" t="s">
        <v>5081</v>
      </c>
      <c r="D2377" t="s">
        <v>348</v>
      </c>
      <c r="F2377">
        <v>2053800294</v>
      </c>
      <c r="G2377">
        <v>2824780352</v>
      </c>
      <c r="H2377">
        <v>2310666476</v>
      </c>
      <c r="I2377">
        <v>1919793267</v>
      </c>
      <c r="J2377">
        <v>1995577831</v>
      </c>
      <c r="K2377">
        <v>1324703543</v>
      </c>
      <c r="L2377">
        <v>1261163185</v>
      </c>
      <c r="M2377">
        <v>1206105237</v>
      </c>
      <c r="N2377">
        <v>1132835466</v>
      </c>
      <c r="O2377">
        <v>1036392701</v>
      </c>
      <c r="P2377">
        <v>1711</v>
      </c>
      <c r="Q2377" t="s">
        <v>5082</v>
      </c>
    </row>
    <row r="2378" spans="1:17" x14ac:dyDescent="0.3">
      <c r="A2378" t="s">
        <v>4729</v>
      </c>
      <c r="B2378" t="str">
        <f>"000582"</f>
        <v>000582</v>
      </c>
      <c r="C2378" t="s">
        <v>5083</v>
      </c>
      <c r="D2378" t="s">
        <v>51</v>
      </c>
      <c r="F2378">
        <v>425023453</v>
      </c>
      <c r="G2378">
        <v>402773998</v>
      </c>
      <c r="H2378">
        <v>385241087</v>
      </c>
      <c r="I2378">
        <v>310578451</v>
      </c>
      <c r="J2378">
        <v>403115865</v>
      </c>
      <c r="K2378">
        <v>373452735</v>
      </c>
      <c r="L2378">
        <v>524096641</v>
      </c>
      <c r="M2378">
        <v>306091284</v>
      </c>
      <c r="N2378">
        <v>168270449</v>
      </c>
      <c r="O2378">
        <v>38643842</v>
      </c>
      <c r="P2378">
        <v>227</v>
      </c>
      <c r="Q2378" t="s">
        <v>5084</v>
      </c>
    </row>
    <row r="2379" spans="1:17" x14ac:dyDescent="0.3">
      <c r="A2379" t="s">
        <v>4729</v>
      </c>
      <c r="B2379" t="str">
        <f>"000583"</f>
        <v>000583</v>
      </c>
      <c r="C2379" t="s">
        <v>5085</v>
      </c>
      <c r="K2379">
        <v>0</v>
      </c>
      <c r="L2379">
        <v>0</v>
      </c>
      <c r="M2379">
        <v>4029523.41</v>
      </c>
      <c r="N2379">
        <v>4029523.41</v>
      </c>
      <c r="O2379">
        <v>4029523.41</v>
      </c>
      <c r="P2379">
        <v>3</v>
      </c>
      <c r="Q2379" t="s">
        <v>5086</v>
      </c>
    </row>
    <row r="2380" spans="1:17" x14ac:dyDescent="0.3">
      <c r="A2380" t="s">
        <v>4729</v>
      </c>
      <c r="B2380" t="str">
        <f>"000584"</f>
        <v>000584</v>
      </c>
      <c r="C2380" t="s">
        <v>5087</v>
      </c>
      <c r="D2380" t="s">
        <v>2938</v>
      </c>
      <c r="F2380">
        <v>393320168</v>
      </c>
      <c r="G2380">
        <v>421543626</v>
      </c>
      <c r="H2380">
        <v>588458852</v>
      </c>
      <c r="I2380">
        <v>335410392</v>
      </c>
      <c r="J2380">
        <v>207475373</v>
      </c>
      <c r="K2380">
        <v>9168033</v>
      </c>
      <c r="L2380">
        <v>10744038</v>
      </c>
      <c r="M2380">
        <v>11831492</v>
      </c>
      <c r="N2380">
        <v>13667853</v>
      </c>
      <c r="O2380">
        <v>21063332</v>
      </c>
      <c r="P2380">
        <v>134</v>
      </c>
      <c r="Q2380" t="s">
        <v>5088</v>
      </c>
    </row>
    <row r="2381" spans="1:17" x14ac:dyDescent="0.3">
      <c r="A2381" t="s">
        <v>4729</v>
      </c>
      <c r="B2381" t="str">
        <f>"000585"</f>
        <v>000585</v>
      </c>
      <c r="C2381" t="s">
        <v>5089</v>
      </c>
      <c r="D2381" t="s">
        <v>210</v>
      </c>
      <c r="F2381">
        <v>55336307</v>
      </c>
      <c r="G2381">
        <v>32293932</v>
      </c>
      <c r="H2381">
        <v>27140493</v>
      </c>
      <c r="I2381">
        <v>21774633</v>
      </c>
      <c r="J2381">
        <v>76253769</v>
      </c>
      <c r="K2381">
        <v>136074792</v>
      </c>
      <c r="L2381">
        <v>134014154</v>
      </c>
      <c r="M2381">
        <v>123555551</v>
      </c>
      <c r="N2381">
        <v>121290113</v>
      </c>
      <c r="O2381">
        <v>152791169</v>
      </c>
      <c r="P2381">
        <v>73</v>
      </c>
      <c r="Q2381" t="s">
        <v>5090</v>
      </c>
    </row>
    <row r="2382" spans="1:17" x14ac:dyDescent="0.3">
      <c r="A2382" t="s">
        <v>4729</v>
      </c>
      <c r="B2382" t="str">
        <f>"000586"</f>
        <v>000586</v>
      </c>
      <c r="C2382" t="s">
        <v>5091</v>
      </c>
      <c r="D2382" t="s">
        <v>250</v>
      </c>
      <c r="F2382">
        <v>226185306</v>
      </c>
      <c r="G2382">
        <v>218121589</v>
      </c>
      <c r="H2382">
        <v>277186284</v>
      </c>
      <c r="I2382">
        <v>261827945</v>
      </c>
      <c r="J2382">
        <v>201566239</v>
      </c>
      <c r="K2382">
        <v>199949965</v>
      </c>
      <c r="L2382">
        <v>198923766</v>
      </c>
      <c r="M2382">
        <v>174831249</v>
      </c>
      <c r="N2382">
        <v>153532692</v>
      </c>
      <c r="O2382">
        <v>166068579</v>
      </c>
      <c r="P2382">
        <v>145</v>
      </c>
      <c r="Q2382" t="s">
        <v>5092</v>
      </c>
    </row>
    <row r="2383" spans="1:17" x14ac:dyDescent="0.3">
      <c r="A2383" t="s">
        <v>4729</v>
      </c>
      <c r="B2383" t="str">
        <f>"000587"</f>
        <v>000587</v>
      </c>
      <c r="C2383" t="s">
        <v>5093</v>
      </c>
      <c r="D2383" t="s">
        <v>1238</v>
      </c>
      <c r="F2383">
        <v>0</v>
      </c>
      <c r="G2383">
        <v>3156984460</v>
      </c>
      <c r="H2383">
        <v>3783519121</v>
      </c>
      <c r="I2383">
        <v>1396896963</v>
      </c>
      <c r="J2383">
        <v>2607769589</v>
      </c>
      <c r="K2383">
        <v>2139487690</v>
      </c>
      <c r="L2383">
        <v>330898878</v>
      </c>
      <c r="M2383">
        <v>353860955</v>
      </c>
      <c r="N2383">
        <v>89732485</v>
      </c>
      <c r="O2383">
        <v>473062791</v>
      </c>
      <c r="P2383">
        <v>114</v>
      </c>
      <c r="Q2383" t="s">
        <v>5094</v>
      </c>
    </row>
    <row r="2384" spans="1:17" x14ac:dyDescent="0.3">
      <c r="A2384" t="s">
        <v>4729</v>
      </c>
      <c r="B2384" t="str">
        <f>"000588"</f>
        <v>000588</v>
      </c>
      <c r="C2384" t="s">
        <v>5095</v>
      </c>
      <c r="K2384">
        <v>29179983.25</v>
      </c>
      <c r="L2384">
        <v>54593954.119999997</v>
      </c>
      <c r="M2384">
        <v>0</v>
      </c>
      <c r="P2384">
        <v>5</v>
      </c>
      <c r="Q2384" t="s">
        <v>5096</v>
      </c>
    </row>
    <row r="2385" spans="1:17" x14ac:dyDescent="0.3">
      <c r="A2385" t="s">
        <v>4729</v>
      </c>
      <c r="B2385" t="str">
        <f>"000589"</f>
        <v>000589</v>
      </c>
      <c r="C2385" t="s">
        <v>5097</v>
      </c>
      <c r="D2385" t="s">
        <v>422</v>
      </c>
      <c r="F2385">
        <v>972970208</v>
      </c>
      <c r="G2385">
        <v>728946634</v>
      </c>
      <c r="H2385">
        <v>753156694</v>
      </c>
      <c r="I2385">
        <v>890071558</v>
      </c>
      <c r="J2385">
        <v>1143983536</v>
      </c>
      <c r="K2385">
        <v>1171260315</v>
      </c>
      <c r="L2385">
        <v>1286423440</v>
      </c>
      <c r="M2385">
        <v>1399576574</v>
      </c>
      <c r="N2385">
        <v>1162688263</v>
      </c>
      <c r="O2385">
        <v>1188619496</v>
      </c>
      <c r="P2385">
        <v>208</v>
      </c>
      <c r="Q2385" t="s">
        <v>5098</v>
      </c>
    </row>
    <row r="2386" spans="1:17" x14ac:dyDescent="0.3">
      <c r="A2386" t="s">
        <v>4729</v>
      </c>
      <c r="B2386" t="str">
        <f>"000590"</f>
        <v>000590</v>
      </c>
      <c r="C2386" t="s">
        <v>5099</v>
      </c>
      <c r="D2386" t="s">
        <v>188</v>
      </c>
      <c r="F2386">
        <v>228645</v>
      </c>
      <c r="G2386">
        <v>1944572</v>
      </c>
      <c r="H2386">
        <v>5953983</v>
      </c>
      <c r="I2386">
        <v>16745056</v>
      </c>
      <c r="J2386">
        <v>15470391</v>
      </c>
      <c r="K2386">
        <v>3746173</v>
      </c>
      <c r="L2386">
        <v>12112971</v>
      </c>
      <c r="M2386">
        <v>10528989</v>
      </c>
      <c r="N2386">
        <v>27925444</v>
      </c>
      <c r="O2386">
        <v>29674026</v>
      </c>
      <c r="P2386">
        <v>148</v>
      </c>
      <c r="Q2386" t="s">
        <v>5100</v>
      </c>
    </row>
    <row r="2387" spans="1:17" x14ac:dyDescent="0.3">
      <c r="A2387" t="s">
        <v>4729</v>
      </c>
      <c r="B2387" t="str">
        <f>"000591"</f>
        <v>000591</v>
      </c>
      <c r="C2387" t="s">
        <v>5101</v>
      </c>
      <c r="D2387" t="s">
        <v>86</v>
      </c>
      <c r="F2387">
        <v>9909407017</v>
      </c>
      <c r="G2387">
        <v>8420234036</v>
      </c>
      <c r="H2387">
        <v>7114290187</v>
      </c>
      <c r="I2387">
        <v>5985293446</v>
      </c>
      <c r="J2387">
        <v>4548821432</v>
      </c>
      <c r="K2387">
        <v>3863949286</v>
      </c>
      <c r="L2387">
        <v>2845608252</v>
      </c>
      <c r="M2387">
        <v>598826875</v>
      </c>
      <c r="N2387">
        <v>520000011</v>
      </c>
      <c r="O2387">
        <v>453991474</v>
      </c>
      <c r="P2387">
        <v>664</v>
      </c>
      <c r="Q2387" t="s">
        <v>5102</v>
      </c>
    </row>
    <row r="2388" spans="1:17" x14ac:dyDescent="0.3">
      <c r="A2388" t="s">
        <v>4729</v>
      </c>
      <c r="B2388" t="str">
        <f>"000592"</f>
        <v>000592</v>
      </c>
      <c r="C2388" t="s">
        <v>5103</v>
      </c>
      <c r="D2388" t="s">
        <v>603</v>
      </c>
      <c r="F2388">
        <v>291938424</v>
      </c>
      <c r="G2388">
        <v>245611308</v>
      </c>
      <c r="H2388">
        <v>120275277</v>
      </c>
      <c r="I2388">
        <v>98052472</v>
      </c>
      <c r="J2388">
        <v>230579438</v>
      </c>
      <c r="K2388">
        <v>258244574</v>
      </c>
      <c r="L2388">
        <v>281905655</v>
      </c>
      <c r="M2388">
        <v>171403113</v>
      </c>
      <c r="N2388">
        <v>181941997</v>
      </c>
      <c r="O2388">
        <v>83579652</v>
      </c>
      <c r="P2388">
        <v>150</v>
      </c>
      <c r="Q2388" t="s">
        <v>5104</v>
      </c>
    </row>
    <row r="2389" spans="1:17" x14ac:dyDescent="0.3">
      <c r="A2389" t="s">
        <v>4729</v>
      </c>
      <c r="B2389" t="str">
        <f>"000593"</f>
        <v>000593</v>
      </c>
      <c r="C2389" t="s">
        <v>5105</v>
      </c>
      <c r="D2389" t="s">
        <v>749</v>
      </c>
      <c r="F2389">
        <v>96965821</v>
      </c>
      <c r="G2389">
        <v>116031100</v>
      </c>
      <c r="H2389">
        <v>182818420</v>
      </c>
      <c r="I2389">
        <v>117377962</v>
      </c>
      <c r="J2389">
        <v>77009360</v>
      </c>
      <c r="K2389">
        <v>96668041</v>
      </c>
      <c r="L2389">
        <v>10929014</v>
      </c>
      <c r="M2389">
        <v>12555743</v>
      </c>
      <c r="N2389">
        <v>11768612</v>
      </c>
      <c r="O2389">
        <v>13006232</v>
      </c>
      <c r="P2389">
        <v>80</v>
      </c>
      <c r="Q2389" t="s">
        <v>5106</v>
      </c>
    </row>
    <row r="2390" spans="1:17" x14ac:dyDescent="0.3">
      <c r="A2390" t="s">
        <v>4729</v>
      </c>
      <c r="B2390" t="str">
        <f>"000594"</f>
        <v>000594</v>
      </c>
      <c r="C2390" t="s">
        <v>5107</v>
      </c>
      <c r="L2390">
        <v>122363245.22</v>
      </c>
      <c r="M2390">
        <v>353506959.63999999</v>
      </c>
      <c r="N2390">
        <v>282629523.19999999</v>
      </c>
      <c r="O2390">
        <v>268579432.25</v>
      </c>
      <c r="P2390">
        <v>3</v>
      </c>
      <c r="Q2390" t="s">
        <v>5108</v>
      </c>
    </row>
    <row r="2391" spans="1:17" x14ac:dyDescent="0.3">
      <c r="A2391" t="s">
        <v>4729</v>
      </c>
      <c r="B2391" t="str">
        <f>"000595"</f>
        <v>000595</v>
      </c>
      <c r="C2391" t="s">
        <v>5109</v>
      </c>
      <c r="D2391" t="s">
        <v>274</v>
      </c>
      <c r="F2391">
        <v>105486959</v>
      </c>
      <c r="G2391">
        <v>120192619</v>
      </c>
      <c r="H2391">
        <v>259898936</v>
      </c>
      <c r="I2391">
        <v>409457610</v>
      </c>
      <c r="J2391">
        <v>494902449</v>
      </c>
      <c r="K2391">
        <v>298626875</v>
      </c>
      <c r="L2391">
        <v>281718358</v>
      </c>
      <c r="M2391">
        <v>360915487</v>
      </c>
      <c r="N2391">
        <v>314420065</v>
      </c>
      <c r="O2391">
        <v>308895927</v>
      </c>
      <c r="P2391">
        <v>98</v>
      </c>
      <c r="Q2391" t="s">
        <v>5110</v>
      </c>
    </row>
    <row r="2392" spans="1:17" x14ac:dyDescent="0.3">
      <c r="A2392" t="s">
        <v>4729</v>
      </c>
      <c r="B2392" t="str">
        <f>"000596"</f>
        <v>000596</v>
      </c>
      <c r="C2392" t="s">
        <v>5111</v>
      </c>
      <c r="D2392" t="s">
        <v>458</v>
      </c>
      <c r="F2392">
        <v>89005804</v>
      </c>
      <c r="G2392">
        <v>67933736</v>
      </c>
      <c r="H2392">
        <v>40776568</v>
      </c>
      <c r="I2392">
        <v>29748069</v>
      </c>
      <c r="J2392">
        <v>22466143</v>
      </c>
      <c r="K2392">
        <v>12287263</v>
      </c>
      <c r="L2392">
        <v>4948075</v>
      </c>
      <c r="M2392">
        <v>4337953</v>
      </c>
      <c r="N2392">
        <v>6374470</v>
      </c>
      <c r="O2392">
        <v>7887007</v>
      </c>
      <c r="P2392">
        <v>53678</v>
      </c>
      <c r="Q2392" t="s">
        <v>5112</v>
      </c>
    </row>
    <row r="2393" spans="1:17" x14ac:dyDescent="0.3">
      <c r="A2393" t="s">
        <v>4729</v>
      </c>
      <c r="B2393" t="str">
        <f>"000597"</f>
        <v>000597</v>
      </c>
      <c r="C2393" t="s">
        <v>5113</v>
      </c>
      <c r="D2393" t="s">
        <v>143</v>
      </c>
      <c r="F2393">
        <v>1845399868</v>
      </c>
      <c r="G2393">
        <v>1715332688</v>
      </c>
      <c r="H2393">
        <v>1819035411</v>
      </c>
      <c r="I2393">
        <v>1848038270</v>
      </c>
      <c r="J2393">
        <v>1417645247</v>
      </c>
      <c r="K2393">
        <v>1078465899</v>
      </c>
      <c r="L2393">
        <v>733722858</v>
      </c>
      <c r="M2393">
        <v>711426783</v>
      </c>
      <c r="N2393">
        <v>572568984</v>
      </c>
      <c r="O2393">
        <v>515376462</v>
      </c>
      <c r="P2393">
        <v>131</v>
      </c>
      <c r="Q2393" t="s">
        <v>5114</v>
      </c>
    </row>
    <row r="2394" spans="1:17" x14ac:dyDescent="0.3">
      <c r="A2394" t="s">
        <v>4729</v>
      </c>
      <c r="B2394" t="str">
        <f>"000598"</f>
        <v>000598</v>
      </c>
      <c r="C2394" t="s">
        <v>5115</v>
      </c>
      <c r="D2394" t="s">
        <v>33</v>
      </c>
      <c r="F2394">
        <v>1782474268</v>
      </c>
      <c r="G2394">
        <v>1250132864</v>
      </c>
      <c r="H2394">
        <v>1094930840</v>
      </c>
      <c r="I2394">
        <v>814022994</v>
      </c>
      <c r="J2394">
        <v>738125316</v>
      </c>
      <c r="K2394">
        <v>516333652</v>
      </c>
      <c r="L2394">
        <v>465291885</v>
      </c>
      <c r="M2394">
        <v>450474845</v>
      </c>
      <c r="N2394">
        <v>399321052</v>
      </c>
      <c r="O2394">
        <v>360430471</v>
      </c>
      <c r="P2394">
        <v>444</v>
      </c>
      <c r="Q2394" t="s">
        <v>5116</v>
      </c>
    </row>
    <row r="2395" spans="1:17" x14ac:dyDescent="0.3">
      <c r="A2395" t="s">
        <v>4729</v>
      </c>
      <c r="B2395" t="str">
        <f>"000599"</f>
        <v>000599</v>
      </c>
      <c r="C2395" t="s">
        <v>5117</v>
      </c>
      <c r="D2395" t="s">
        <v>422</v>
      </c>
      <c r="F2395">
        <v>732545534</v>
      </c>
      <c r="G2395">
        <v>951048799</v>
      </c>
      <c r="H2395">
        <v>878178778</v>
      </c>
      <c r="I2395">
        <v>1137270486</v>
      </c>
      <c r="J2395">
        <v>1293604150</v>
      </c>
      <c r="K2395">
        <v>1149018958</v>
      </c>
      <c r="L2395">
        <v>770476980</v>
      </c>
      <c r="M2395">
        <v>739360159</v>
      </c>
      <c r="N2395">
        <v>839444099</v>
      </c>
      <c r="O2395">
        <v>858767515</v>
      </c>
      <c r="P2395">
        <v>119</v>
      </c>
      <c r="Q2395" t="s">
        <v>5118</v>
      </c>
    </row>
    <row r="2396" spans="1:17" x14ac:dyDescent="0.3">
      <c r="A2396" t="s">
        <v>4729</v>
      </c>
      <c r="B2396" t="str">
        <f>"000600"</f>
        <v>000600</v>
      </c>
      <c r="C2396" t="s">
        <v>5119</v>
      </c>
      <c r="D2396" t="s">
        <v>41</v>
      </c>
      <c r="F2396">
        <v>2083171048</v>
      </c>
      <c r="G2396">
        <v>2060210245</v>
      </c>
      <c r="H2396">
        <v>1743214364</v>
      </c>
      <c r="I2396">
        <v>1869567247</v>
      </c>
      <c r="J2396">
        <v>1750752151</v>
      </c>
      <c r="K2396">
        <v>1103975629</v>
      </c>
      <c r="L2396">
        <v>1218430733</v>
      </c>
      <c r="M2396">
        <v>664830717</v>
      </c>
      <c r="N2396">
        <v>793191672</v>
      </c>
      <c r="O2396">
        <v>765027691</v>
      </c>
      <c r="P2396">
        <v>312</v>
      </c>
      <c r="Q2396" t="s">
        <v>5120</v>
      </c>
    </row>
    <row r="2397" spans="1:17" x14ac:dyDescent="0.3">
      <c r="A2397" t="s">
        <v>4729</v>
      </c>
      <c r="B2397" t="str">
        <f>"000601"</f>
        <v>000601</v>
      </c>
      <c r="C2397" t="s">
        <v>5121</v>
      </c>
      <c r="D2397" t="s">
        <v>66</v>
      </c>
      <c r="F2397">
        <v>1703987367</v>
      </c>
      <c r="G2397">
        <v>1381854371</v>
      </c>
      <c r="H2397">
        <v>878493390</v>
      </c>
      <c r="I2397">
        <v>524997831</v>
      </c>
      <c r="J2397">
        <v>420160314</v>
      </c>
      <c r="K2397">
        <v>265644199</v>
      </c>
      <c r="L2397">
        <v>318369397</v>
      </c>
      <c r="M2397">
        <v>268884932</v>
      </c>
      <c r="N2397">
        <v>244816582</v>
      </c>
      <c r="O2397">
        <v>220766206</v>
      </c>
      <c r="P2397">
        <v>215</v>
      </c>
      <c r="Q2397" t="s">
        <v>5122</v>
      </c>
    </row>
    <row r="2398" spans="1:17" x14ac:dyDescent="0.3">
      <c r="A2398" t="s">
        <v>4729</v>
      </c>
      <c r="B2398" t="str">
        <f>"000602"</f>
        <v>000602</v>
      </c>
      <c r="C2398" t="s">
        <v>5123</v>
      </c>
      <c r="O2398">
        <v>713056309.44000006</v>
      </c>
      <c r="P2398">
        <v>5</v>
      </c>
      <c r="Q2398" t="s">
        <v>5124</v>
      </c>
    </row>
    <row r="2399" spans="1:17" x14ac:dyDescent="0.3">
      <c r="A2399" t="s">
        <v>4729</v>
      </c>
      <c r="B2399" t="str">
        <f>"000603"</f>
        <v>000603</v>
      </c>
      <c r="C2399" t="s">
        <v>5125</v>
      </c>
      <c r="D2399" t="s">
        <v>744</v>
      </c>
      <c r="F2399">
        <v>16540293</v>
      </c>
      <c r="G2399">
        <v>25320913</v>
      </c>
      <c r="H2399">
        <v>46078853</v>
      </c>
      <c r="I2399">
        <v>13802873</v>
      </c>
      <c r="J2399">
        <v>21585169</v>
      </c>
      <c r="K2399">
        <v>0</v>
      </c>
      <c r="L2399">
        <v>0</v>
      </c>
      <c r="M2399">
        <v>0</v>
      </c>
      <c r="N2399">
        <v>0</v>
      </c>
      <c r="O2399">
        <v>0</v>
      </c>
      <c r="P2399">
        <v>351</v>
      </c>
      <c r="Q2399" t="s">
        <v>5126</v>
      </c>
    </row>
    <row r="2400" spans="1:17" x14ac:dyDescent="0.3">
      <c r="A2400" t="s">
        <v>4729</v>
      </c>
      <c r="B2400" t="str">
        <f>"000605"</f>
        <v>000605</v>
      </c>
      <c r="C2400" t="s">
        <v>5127</v>
      </c>
      <c r="D2400" t="s">
        <v>33</v>
      </c>
      <c r="F2400">
        <v>773799780</v>
      </c>
      <c r="G2400">
        <v>704403770</v>
      </c>
      <c r="H2400">
        <v>587449362</v>
      </c>
      <c r="I2400">
        <v>584006035</v>
      </c>
      <c r="J2400">
        <v>738865033</v>
      </c>
      <c r="K2400">
        <v>205047576</v>
      </c>
      <c r="L2400">
        <v>121812130</v>
      </c>
      <c r="M2400">
        <v>86180098</v>
      </c>
      <c r="N2400">
        <v>9839832</v>
      </c>
      <c r="O2400">
        <v>7605027</v>
      </c>
      <c r="P2400">
        <v>85</v>
      </c>
      <c r="Q2400" t="s">
        <v>5128</v>
      </c>
    </row>
    <row r="2401" spans="1:17" x14ac:dyDescent="0.3">
      <c r="A2401" t="s">
        <v>4729</v>
      </c>
      <c r="B2401" t="str">
        <f>"000606"</f>
        <v>000606</v>
      </c>
      <c r="C2401" t="s">
        <v>5129</v>
      </c>
      <c r="D2401" t="s">
        <v>316</v>
      </c>
      <c r="F2401">
        <v>20735152</v>
      </c>
      <c r="G2401">
        <v>54210866</v>
      </c>
      <c r="H2401">
        <v>99251168</v>
      </c>
      <c r="I2401">
        <v>102484793</v>
      </c>
      <c r="J2401">
        <v>36585564</v>
      </c>
      <c r="K2401">
        <v>61310654</v>
      </c>
      <c r="L2401">
        <v>49424917</v>
      </c>
      <c r="M2401">
        <v>66948116</v>
      </c>
      <c r="N2401">
        <v>48015546</v>
      </c>
      <c r="O2401">
        <v>40289993</v>
      </c>
      <c r="P2401">
        <v>99</v>
      </c>
      <c r="Q2401" t="s">
        <v>5130</v>
      </c>
    </row>
    <row r="2402" spans="1:17" x14ac:dyDescent="0.3">
      <c r="A2402" t="s">
        <v>4729</v>
      </c>
      <c r="B2402" t="str">
        <f>"000607"</f>
        <v>000607</v>
      </c>
      <c r="C2402" t="s">
        <v>5131</v>
      </c>
      <c r="D2402" t="s">
        <v>5132</v>
      </c>
      <c r="F2402">
        <v>334923203</v>
      </c>
      <c r="G2402">
        <v>309771936</v>
      </c>
      <c r="H2402">
        <v>381229930</v>
      </c>
      <c r="I2402">
        <v>371732277</v>
      </c>
      <c r="J2402">
        <v>363372010</v>
      </c>
      <c r="K2402">
        <v>523089137</v>
      </c>
      <c r="L2402">
        <v>474472388</v>
      </c>
      <c r="M2402">
        <v>388516763</v>
      </c>
      <c r="N2402">
        <v>639242366</v>
      </c>
      <c r="O2402">
        <v>629700223</v>
      </c>
      <c r="P2402">
        <v>109</v>
      </c>
      <c r="Q2402" t="s">
        <v>5133</v>
      </c>
    </row>
    <row r="2403" spans="1:17" x14ac:dyDescent="0.3">
      <c r="A2403" t="s">
        <v>4729</v>
      </c>
      <c r="B2403" t="str">
        <f>"000608"</f>
        <v>000608</v>
      </c>
      <c r="C2403" t="s">
        <v>5134</v>
      </c>
      <c r="D2403" t="s">
        <v>30</v>
      </c>
      <c r="F2403">
        <v>8563150</v>
      </c>
      <c r="G2403">
        <v>65156649</v>
      </c>
      <c r="H2403">
        <v>30492000</v>
      </c>
      <c r="I2403">
        <v>46591000</v>
      </c>
      <c r="J2403">
        <v>55554000</v>
      </c>
      <c r="K2403">
        <v>53906000</v>
      </c>
      <c r="L2403">
        <v>49933000</v>
      </c>
      <c r="M2403">
        <v>44234000</v>
      </c>
      <c r="N2403">
        <v>23518000</v>
      </c>
      <c r="O2403">
        <v>12236000</v>
      </c>
      <c r="P2403">
        <v>102</v>
      </c>
      <c r="Q2403" t="s">
        <v>5135</v>
      </c>
    </row>
    <row r="2404" spans="1:17" x14ac:dyDescent="0.3">
      <c r="A2404" t="s">
        <v>4729</v>
      </c>
      <c r="B2404" t="str">
        <f>"000609"</f>
        <v>000609</v>
      </c>
      <c r="C2404" t="s">
        <v>5136</v>
      </c>
      <c r="D2404" t="s">
        <v>104</v>
      </c>
      <c r="F2404">
        <v>0</v>
      </c>
      <c r="G2404">
        <v>0</v>
      </c>
      <c r="H2404">
        <v>37042830</v>
      </c>
      <c r="I2404">
        <v>22541</v>
      </c>
      <c r="J2404">
        <v>22541</v>
      </c>
      <c r="K2404">
        <v>38962</v>
      </c>
      <c r="L2404">
        <v>50394</v>
      </c>
      <c r="M2404">
        <v>53454</v>
      </c>
      <c r="N2404">
        <v>29759</v>
      </c>
      <c r="O2404">
        <v>37777</v>
      </c>
      <c r="P2404">
        <v>95</v>
      </c>
      <c r="Q2404" t="s">
        <v>5137</v>
      </c>
    </row>
    <row r="2405" spans="1:17" x14ac:dyDescent="0.3">
      <c r="A2405" t="s">
        <v>4729</v>
      </c>
      <c r="B2405" t="str">
        <f>"000610"</f>
        <v>000610</v>
      </c>
      <c r="C2405" t="s">
        <v>5138</v>
      </c>
      <c r="D2405" t="s">
        <v>590</v>
      </c>
      <c r="F2405">
        <v>27512330</v>
      </c>
      <c r="G2405">
        <v>18663617</v>
      </c>
      <c r="H2405">
        <v>22166722</v>
      </c>
      <c r="I2405">
        <v>20308681</v>
      </c>
      <c r="J2405">
        <v>16362393</v>
      </c>
      <c r="K2405">
        <v>18169208</v>
      </c>
      <c r="L2405">
        <v>14982967</v>
      </c>
      <c r="M2405">
        <v>17315290</v>
      </c>
      <c r="N2405">
        <v>17018737</v>
      </c>
      <c r="O2405">
        <v>28170198</v>
      </c>
      <c r="P2405">
        <v>152</v>
      </c>
      <c r="Q2405" t="s">
        <v>5139</v>
      </c>
    </row>
    <row r="2406" spans="1:17" x14ac:dyDescent="0.3">
      <c r="A2406" t="s">
        <v>4729</v>
      </c>
      <c r="B2406" t="str">
        <f>"000611"</f>
        <v>000611</v>
      </c>
      <c r="C2406" t="s">
        <v>5140</v>
      </c>
      <c r="D2406" t="s">
        <v>292</v>
      </c>
      <c r="F2406">
        <v>7078057</v>
      </c>
      <c r="G2406">
        <v>48603722</v>
      </c>
      <c r="H2406">
        <v>5791716</v>
      </c>
      <c r="I2406">
        <v>1464077</v>
      </c>
      <c r="J2406">
        <v>4743909</v>
      </c>
      <c r="K2406">
        <v>2631499</v>
      </c>
      <c r="L2406">
        <v>4293325</v>
      </c>
      <c r="M2406">
        <v>89733970</v>
      </c>
      <c r="N2406">
        <v>90577346</v>
      </c>
      <c r="O2406">
        <v>11390404</v>
      </c>
      <c r="P2406">
        <v>68</v>
      </c>
      <c r="Q2406" t="s">
        <v>5141</v>
      </c>
    </row>
    <row r="2407" spans="1:17" x14ac:dyDescent="0.3">
      <c r="A2407" t="s">
        <v>4729</v>
      </c>
      <c r="B2407" t="str">
        <f>"000612"</f>
        <v>000612</v>
      </c>
      <c r="C2407" t="s">
        <v>5142</v>
      </c>
      <c r="D2407" t="s">
        <v>504</v>
      </c>
      <c r="F2407">
        <v>7932879</v>
      </c>
      <c r="G2407">
        <v>4964615</v>
      </c>
      <c r="H2407">
        <v>18074407</v>
      </c>
      <c r="I2407">
        <v>17815247</v>
      </c>
      <c r="J2407">
        <v>22953183</v>
      </c>
      <c r="K2407">
        <v>37222549</v>
      </c>
      <c r="L2407">
        <v>26862563</v>
      </c>
      <c r="M2407">
        <v>39356360</v>
      </c>
      <c r="N2407">
        <v>130394017</v>
      </c>
      <c r="O2407">
        <v>14269599</v>
      </c>
      <c r="P2407">
        <v>199</v>
      </c>
      <c r="Q2407" t="s">
        <v>5143</v>
      </c>
    </row>
    <row r="2408" spans="1:17" x14ac:dyDescent="0.3">
      <c r="A2408" t="s">
        <v>4729</v>
      </c>
      <c r="B2408" t="str">
        <f>"000613"</f>
        <v>000613</v>
      </c>
      <c r="C2408" t="s">
        <v>5144</v>
      </c>
      <c r="D2408" t="s">
        <v>590</v>
      </c>
      <c r="F2408">
        <v>287068</v>
      </c>
      <c r="G2408">
        <v>429303</v>
      </c>
      <c r="H2408">
        <v>311084</v>
      </c>
      <c r="I2408">
        <v>426435</v>
      </c>
      <c r="J2408">
        <v>594131</v>
      </c>
      <c r="K2408">
        <v>690445</v>
      </c>
      <c r="L2408">
        <v>460197</v>
      </c>
      <c r="M2408">
        <v>2632379</v>
      </c>
      <c r="N2408">
        <v>3509378</v>
      </c>
      <c r="O2408">
        <v>2523511</v>
      </c>
      <c r="P2408">
        <v>100</v>
      </c>
      <c r="Q2408" t="s">
        <v>5145</v>
      </c>
    </row>
    <row r="2409" spans="1:17" x14ac:dyDescent="0.3">
      <c r="A2409" t="s">
        <v>4729</v>
      </c>
      <c r="B2409" t="str">
        <f>"000615"</f>
        <v>000615</v>
      </c>
      <c r="C2409" t="s">
        <v>5146</v>
      </c>
      <c r="D2409" t="s">
        <v>5147</v>
      </c>
      <c r="F2409">
        <v>56026546</v>
      </c>
      <c r="G2409">
        <v>187941102</v>
      </c>
      <c r="H2409">
        <v>235926384</v>
      </c>
      <c r="I2409">
        <v>173442064</v>
      </c>
      <c r="J2409">
        <v>65122354</v>
      </c>
      <c r="K2409">
        <v>55971108</v>
      </c>
      <c r="L2409">
        <v>51157476</v>
      </c>
      <c r="M2409">
        <v>40705378</v>
      </c>
      <c r="N2409">
        <v>63171278</v>
      </c>
      <c r="O2409">
        <v>55533500</v>
      </c>
      <c r="P2409">
        <v>188</v>
      </c>
      <c r="Q2409" t="s">
        <v>5148</v>
      </c>
    </row>
    <row r="2410" spans="1:17" x14ac:dyDescent="0.3">
      <c r="A2410" t="s">
        <v>4729</v>
      </c>
      <c r="B2410" t="str">
        <f>"000616"</f>
        <v>000616</v>
      </c>
      <c r="C2410" t="s">
        <v>5149</v>
      </c>
      <c r="D2410" t="s">
        <v>104</v>
      </c>
      <c r="F2410">
        <v>1751759</v>
      </c>
      <c r="G2410">
        <v>3110402</v>
      </c>
      <c r="H2410">
        <v>24483818</v>
      </c>
      <c r="I2410">
        <v>22169707</v>
      </c>
      <c r="J2410">
        <v>8137292</v>
      </c>
      <c r="K2410">
        <v>8647257</v>
      </c>
      <c r="L2410">
        <v>14909130</v>
      </c>
      <c r="M2410">
        <v>36229769</v>
      </c>
      <c r="N2410">
        <v>116515585</v>
      </c>
      <c r="O2410">
        <v>92495183</v>
      </c>
      <c r="P2410">
        <v>140</v>
      </c>
      <c r="Q2410" t="s">
        <v>5150</v>
      </c>
    </row>
    <row r="2411" spans="1:17" x14ac:dyDescent="0.3">
      <c r="A2411" t="s">
        <v>4729</v>
      </c>
      <c r="B2411" t="str">
        <f>"000617"</f>
        <v>000617</v>
      </c>
      <c r="C2411" t="s">
        <v>5151</v>
      </c>
      <c r="D2411" t="s">
        <v>140</v>
      </c>
      <c r="F2411">
        <v>16768826</v>
      </c>
      <c r="G2411">
        <v>19893500</v>
      </c>
      <c r="H2411">
        <v>32883071</v>
      </c>
      <c r="I2411">
        <v>33601800</v>
      </c>
      <c r="J2411">
        <v>15561432</v>
      </c>
      <c r="K2411">
        <v>12274018</v>
      </c>
      <c r="L2411">
        <v>825769316</v>
      </c>
      <c r="M2411">
        <v>728490826</v>
      </c>
      <c r="N2411">
        <v>848562682</v>
      </c>
      <c r="O2411">
        <v>874638714</v>
      </c>
      <c r="P2411">
        <v>234</v>
      </c>
      <c r="Q2411" t="s">
        <v>5152</v>
      </c>
    </row>
    <row r="2412" spans="1:17" x14ac:dyDescent="0.3">
      <c r="A2412" t="s">
        <v>4729</v>
      </c>
      <c r="B2412" t="str">
        <f>"000619"</f>
        <v>000619</v>
      </c>
      <c r="C2412" t="s">
        <v>5153</v>
      </c>
      <c r="D2412" t="s">
        <v>722</v>
      </c>
      <c r="F2412">
        <v>538295057</v>
      </c>
      <c r="G2412">
        <v>418795762</v>
      </c>
      <c r="H2412">
        <v>219735122</v>
      </c>
      <c r="I2412">
        <v>214667040</v>
      </c>
      <c r="J2412">
        <v>165905934</v>
      </c>
      <c r="K2412">
        <v>152133919</v>
      </c>
      <c r="L2412">
        <v>109254242</v>
      </c>
      <c r="M2412">
        <v>72252355</v>
      </c>
      <c r="N2412">
        <v>37400993</v>
      </c>
      <c r="O2412">
        <v>20740722</v>
      </c>
      <c r="P2412">
        <v>98</v>
      </c>
      <c r="Q2412" t="s">
        <v>5154</v>
      </c>
    </row>
    <row r="2413" spans="1:17" x14ac:dyDescent="0.3">
      <c r="A2413" t="s">
        <v>4729</v>
      </c>
      <c r="B2413" t="str">
        <f>"000620"</f>
        <v>000620</v>
      </c>
      <c r="C2413" t="s">
        <v>5155</v>
      </c>
      <c r="D2413" t="s">
        <v>104</v>
      </c>
      <c r="F2413">
        <v>213304712</v>
      </c>
      <c r="G2413">
        <v>276725977</v>
      </c>
      <c r="H2413">
        <v>384429842</v>
      </c>
      <c r="I2413">
        <v>394118043</v>
      </c>
      <c r="J2413">
        <v>479197064</v>
      </c>
      <c r="K2413">
        <v>345393562</v>
      </c>
      <c r="L2413">
        <v>187487699</v>
      </c>
      <c r="M2413">
        <v>290789748</v>
      </c>
      <c r="N2413">
        <v>119830699</v>
      </c>
      <c r="O2413">
        <v>133208069</v>
      </c>
      <c r="P2413">
        <v>298</v>
      </c>
      <c r="Q2413" t="s">
        <v>5156</v>
      </c>
    </row>
    <row r="2414" spans="1:17" x14ac:dyDescent="0.3">
      <c r="A2414" t="s">
        <v>4729</v>
      </c>
      <c r="B2414" t="str">
        <f>"000622"</f>
        <v>000622</v>
      </c>
      <c r="C2414" t="s">
        <v>5157</v>
      </c>
      <c r="D2414" t="s">
        <v>110</v>
      </c>
      <c r="F2414">
        <v>22884768</v>
      </c>
      <c r="G2414">
        <v>19558667</v>
      </c>
      <c r="H2414">
        <v>21605699</v>
      </c>
      <c r="I2414">
        <v>29434995</v>
      </c>
      <c r="J2414">
        <v>29645816</v>
      </c>
      <c r="K2414">
        <v>19721009</v>
      </c>
      <c r="L2414">
        <v>21309116</v>
      </c>
      <c r="M2414">
        <v>22626130</v>
      </c>
      <c r="N2414">
        <v>41965933</v>
      </c>
      <c r="O2414">
        <v>37948533</v>
      </c>
      <c r="P2414">
        <v>101</v>
      </c>
      <c r="Q2414" t="s">
        <v>5158</v>
      </c>
    </row>
    <row r="2415" spans="1:17" x14ac:dyDescent="0.3">
      <c r="A2415" t="s">
        <v>4729</v>
      </c>
      <c r="B2415" t="str">
        <f>"000623"</f>
        <v>000623</v>
      </c>
      <c r="C2415" t="s">
        <v>5159</v>
      </c>
      <c r="D2415" t="s">
        <v>143</v>
      </c>
      <c r="F2415">
        <v>614601998</v>
      </c>
      <c r="G2415">
        <v>540385264</v>
      </c>
      <c r="H2415">
        <v>600007761</v>
      </c>
      <c r="I2415">
        <v>740129986</v>
      </c>
      <c r="J2415">
        <v>592047162</v>
      </c>
      <c r="K2415">
        <v>443463402</v>
      </c>
      <c r="L2415">
        <v>353148824</v>
      </c>
      <c r="M2415">
        <v>260188899</v>
      </c>
      <c r="N2415">
        <v>218690183</v>
      </c>
      <c r="O2415">
        <v>152907725</v>
      </c>
      <c r="P2415">
        <v>671</v>
      </c>
      <c r="Q2415" t="s">
        <v>5160</v>
      </c>
    </row>
    <row r="2416" spans="1:17" x14ac:dyDescent="0.3">
      <c r="A2416" t="s">
        <v>4729</v>
      </c>
      <c r="B2416" t="str">
        <f>"000625"</f>
        <v>000625</v>
      </c>
      <c r="C2416" t="s">
        <v>5161</v>
      </c>
      <c r="D2416" t="s">
        <v>247</v>
      </c>
      <c r="F2416">
        <v>1675427535</v>
      </c>
      <c r="G2416">
        <v>2141197139</v>
      </c>
      <c r="H2416">
        <v>838314077</v>
      </c>
      <c r="I2416">
        <v>1409419601</v>
      </c>
      <c r="J2416">
        <v>1806807193</v>
      </c>
      <c r="K2416">
        <v>1498837042</v>
      </c>
      <c r="L2416">
        <v>875479557</v>
      </c>
      <c r="M2416">
        <v>758876191</v>
      </c>
      <c r="N2416">
        <v>380017321</v>
      </c>
      <c r="O2416">
        <v>438384321</v>
      </c>
      <c r="P2416">
        <v>3098</v>
      </c>
      <c r="Q2416" t="s">
        <v>5162</v>
      </c>
    </row>
    <row r="2417" spans="1:17" x14ac:dyDescent="0.3">
      <c r="A2417" t="s">
        <v>4729</v>
      </c>
      <c r="B2417" t="str">
        <f>"000626"</f>
        <v>000626</v>
      </c>
      <c r="C2417" t="s">
        <v>5163</v>
      </c>
      <c r="D2417" t="s">
        <v>128</v>
      </c>
      <c r="F2417">
        <v>607828468</v>
      </c>
      <c r="G2417">
        <v>616077914</v>
      </c>
      <c r="H2417">
        <v>560321289</v>
      </c>
      <c r="I2417">
        <v>581906473</v>
      </c>
      <c r="J2417">
        <v>793731945</v>
      </c>
      <c r="K2417">
        <v>1053771782</v>
      </c>
      <c r="L2417">
        <v>481338806</v>
      </c>
      <c r="M2417">
        <v>316772886</v>
      </c>
      <c r="N2417">
        <v>344608727</v>
      </c>
      <c r="O2417">
        <v>313842150</v>
      </c>
      <c r="P2417">
        <v>125</v>
      </c>
      <c r="Q2417" t="s">
        <v>5164</v>
      </c>
    </row>
    <row r="2418" spans="1:17" x14ac:dyDescent="0.3">
      <c r="A2418" t="s">
        <v>4729</v>
      </c>
      <c r="B2418" t="str">
        <f>"000627"</f>
        <v>000627</v>
      </c>
      <c r="C2418" t="s">
        <v>5165</v>
      </c>
      <c r="D2418" t="s">
        <v>660</v>
      </c>
      <c r="F2418">
        <v>28744159</v>
      </c>
      <c r="G2418">
        <v>15931649</v>
      </c>
      <c r="H2418">
        <v>19016965</v>
      </c>
      <c r="I2418">
        <v>60223080</v>
      </c>
      <c r="J2418">
        <v>64526617</v>
      </c>
      <c r="K2418">
        <v>32691951</v>
      </c>
      <c r="L2418">
        <v>52217903</v>
      </c>
      <c r="M2418">
        <v>36617512</v>
      </c>
      <c r="N2418">
        <v>65493119</v>
      </c>
      <c r="O2418">
        <v>66458536</v>
      </c>
      <c r="P2418">
        <v>288</v>
      </c>
      <c r="Q2418" t="s">
        <v>5166</v>
      </c>
    </row>
    <row r="2419" spans="1:17" x14ac:dyDescent="0.3">
      <c r="A2419" t="s">
        <v>4729</v>
      </c>
      <c r="B2419" t="str">
        <f>"000628"</f>
        <v>000628</v>
      </c>
      <c r="C2419" t="s">
        <v>5167</v>
      </c>
      <c r="D2419" t="s">
        <v>398</v>
      </c>
      <c r="F2419">
        <v>1030025067</v>
      </c>
      <c r="G2419">
        <v>788578291</v>
      </c>
      <c r="H2419">
        <v>1463483136</v>
      </c>
      <c r="I2419">
        <v>513091929</v>
      </c>
      <c r="J2419">
        <v>387437343</v>
      </c>
      <c r="K2419">
        <v>438953071</v>
      </c>
      <c r="L2419">
        <v>497847000</v>
      </c>
      <c r="M2419">
        <v>404365847</v>
      </c>
      <c r="N2419">
        <v>347157544</v>
      </c>
      <c r="O2419">
        <v>182712447</v>
      </c>
      <c r="P2419">
        <v>127</v>
      </c>
      <c r="Q2419" t="s">
        <v>5168</v>
      </c>
    </row>
    <row r="2420" spans="1:17" x14ac:dyDescent="0.3">
      <c r="A2420" t="s">
        <v>4729</v>
      </c>
      <c r="B2420" t="str">
        <f>"000629"</f>
        <v>000629</v>
      </c>
      <c r="C2420" t="s">
        <v>5169</v>
      </c>
      <c r="D2420" t="s">
        <v>669</v>
      </c>
      <c r="F2420">
        <v>137634891</v>
      </c>
      <c r="G2420">
        <v>142056964</v>
      </c>
      <c r="H2420">
        <v>106300817</v>
      </c>
      <c r="I2420">
        <v>229493031</v>
      </c>
      <c r="J2420">
        <v>182300905</v>
      </c>
      <c r="K2420">
        <v>204885435</v>
      </c>
      <c r="L2420">
        <v>709607339</v>
      </c>
      <c r="M2420">
        <v>1002470567</v>
      </c>
      <c r="N2420">
        <v>929660054</v>
      </c>
      <c r="O2420">
        <v>274455714</v>
      </c>
      <c r="P2420">
        <v>335</v>
      </c>
      <c r="Q2420" t="s">
        <v>5170</v>
      </c>
    </row>
    <row r="2421" spans="1:17" x14ac:dyDescent="0.3">
      <c r="A2421" t="s">
        <v>4729</v>
      </c>
      <c r="B2421" t="str">
        <f>"000630"</f>
        <v>000630</v>
      </c>
      <c r="C2421" t="s">
        <v>5171</v>
      </c>
      <c r="D2421" t="s">
        <v>263</v>
      </c>
      <c r="F2421">
        <v>1875370540</v>
      </c>
      <c r="G2421">
        <v>1473227300</v>
      </c>
      <c r="H2421">
        <v>1209609056</v>
      </c>
      <c r="I2421">
        <v>1092816680</v>
      </c>
      <c r="J2421">
        <v>1280901734</v>
      </c>
      <c r="K2421">
        <v>1295144667</v>
      </c>
      <c r="L2421">
        <v>1376637747</v>
      </c>
      <c r="M2421">
        <v>1608477891</v>
      </c>
      <c r="N2421">
        <v>1342099652</v>
      </c>
      <c r="O2421">
        <v>1132183463</v>
      </c>
      <c r="P2421">
        <v>464</v>
      </c>
      <c r="Q2421" t="s">
        <v>5172</v>
      </c>
    </row>
    <row r="2422" spans="1:17" x14ac:dyDescent="0.3">
      <c r="A2422" t="s">
        <v>4729</v>
      </c>
      <c r="B2422" t="str">
        <f>"000631"</f>
        <v>000631</v>
      </c>
      <c r="C2422" t="s">
        <v>5173</v>
      </c>
      <c r="D2422" t="s">
        <v>104</v>
      </c>
      <c r="F2422">
        <v>62878265</v>
      </c>
      <c r="G2422">
        <v>6770360</v>
      </c>
      <c r="H2422">
        <v>16288007</v>
      </c>
      <c r="I2422">
        <v>21745109</v>
      </c>
      <c r="J2422">
        <v>73516599</v>
      </c>
      <c r="K2422">
        <v>49392806</v>
      </c>
      <c r="L2422">
        <v>10030162</v>
      </c>
      <c r="M2422">
        <v>9256696</v>
      </c>
      <c r="N2422">
        <v>3304606</v>
      </c>
      <c r="O2422">
        <v>1190550</v>
      </c>
      <c r="P2422">
        <v>359</v>
      </c>
      <c r="Q2422" t="s">
        <v>5174</v>
      </c>
    </row>
    <row r="2423" spans="1:17" x14ac:dyDescent="0.3">
      <c r="A2423" t="s">
        <v>4729</v>
      </c>
      <c r="B2423" t="str">
        <f>"000632"</f>
        <v>000632</v>
      </c>
      <c r="C2423" t="s">
        <v>5175</v>
      </c>
      <c r="D2423" t="s">
        <v>110</v>
      </c>
      <c r="F2423">
        <v>27990959</v>
      </c>
      <c r="G2423">
        <v>30658488</v>
      </c>
      <c r="H2423">
        <v>17339502</v>
      </c>
      <c r="I2423">
        <v>89808844</v>
      </c>
      <c r="J2423">
        <v>70737072</v>
      </c>
      <c r="K2423">
        <v>39687185</v>
      </c>
      <c r="L2423">
        <v>53367684</v>
      </c>
      <c r="M2423">
        <v>134975934</v>
      </c>
      <c r="N2423">
        <v>186164905</v>
      </c>
      <c r="O2423">
        <v>147812821</v>
      </c>
      <c r="P2423">
        <v>69</v>
      </c>
      <c r="Q2423" t="s">
        <v>5176</v>
      </c>
    </row>
    <row r="2424" spans="1:17" x14ac:dyDescent="0.3">
      <c r="A2424" t="s">
        <v>4729</v>
      </c>
      <c r="B2424" t="str">
        <f>"000633"</f>
        <v>000633</v>
      </c>
      <c r="C2424" t="s">
        <v>5177</v>
      </c>
      <c r="D2424" t="s">
        <v>581</v>
      </c>
      <c r="F2424">
        <v>54067989</v>
      </c>
      <c r="G2424">
        <v>26749027</v>
      </c>
      <c r="H2424">
        <v>25504338</v>
      </c>
      <c r="I2424">
        <v>28470145</v>
      </c>
      <c r="J2424">
        <v>23870059</v>
      </c>
      <c r="K2424">
        <v>20132053</v>
      </c>
      <c r="L2424">
        <v>20054338</v>
      </c>
      <c r="M2424">
        <v>35928442</v>
      </c>
      <c r="N2424">
        <v>23948355</v>
      </c>
      <c r="O2424">
        <v>22986650</v>
      </c>
      <c r="P2424">
        <v>72</v>
      </c>
      <c r="Q2424" t="s">
        <v>5178</v>
      </c>
    </row>
    <row r="2425" spans="1:17" x14ac:dyDescent="0.3">
      <c r="A2425" t="s">
        <v>4729</v>
      </c>
      <c r="B2425" t="str">
        <f>"000635"</f>
        <v>000635</v>
      </c>
      <c r="C2425" t="s">
        <v>5179</v>
      </c>
      <c r="D2425" t="s">
        <v>175</v>
      </c>
      <c r="F2425">
        <v>5382114</v>
      </c>
      <c r="G2425">
        <v>1178420</v>
      </c>
      <c r="H2425">
        <v>36332770</v>
      </c>
      <c r="I2425">
        <v>2683212</v>
      </c>
      <c r="J2425">
        <v>25694</v>
      </c>
      <c r="K2425">
        <v>162601</v>
      </c>
      <c r="L2425">
        <v>794357</v>
      </c>
      <c r="M2425">
        <v>1873760</v>
      </c>
      <c r="N2425">
        <v>46316103</v>
      </c>
      <c r="O2425">
        <v>75160727</v>
      </c>
      <c r="P2425">
        <v>135</v>
      </c>
      <c r="Q2425" t="s">
        <v>5180</v>
      </c>
    </row>
    <row r="2426" spans="1:17" x14ac:dyDescent="0.3">
      <c r="A2426" t="s">
        <v>4729</v>
      </c>
      <c r="B2426" t="str">
        <f>"000636"</f>
        <v>000636</v>
      </c>
      <c r="C2426" t="s">
        <v>5181</v>
      </c>
      <c r="D2426" t="s">
        <v>546</v>
      </c>
      <c r="F2426">
        <v>778742524</v>
      </c>
      <c r="G2426">
        <v>939002976</v>
      </c>
      <c r="H2426">
        <v>636534553</v>
      </c>
      <c r="I2426">
        <v>904943390</v>
      </c>
      <c r="J2426">
        <v>886853117</v>
      </c>
      <c r="K2426">
        <v>866294371</v>
      </c>
      <c r="L2426">
        <v>827273509</v>
      </c>
      <c r="M2426">
        <v>441141474</v>
      </c>
      <c r="N2426">
        <v>356763361</v>
      </c>
      <c r="O2426">
        <v>321267133</v>
      </c>
      <c r="P2426">
        <v>896</v>
      </c>
      <c r="Q2426" t="s">
        <v>5182</v>
      </c>
    </row>
    <row r="2427" spans="1:17" x14ac:dyDescent="0.3">
      <c r="A2427" t="s">
        <v>4729</v>
      </c>
      <c r="B2427" t="str">
        <f>"000637"</f>
        <v>000637</v>
      </c>
      <c r="C2427" t="s">
        <v>5183</v>
      </c>
      <c r="D2427" t="s">
        <v>1617</v>
      </c>
      <c r="F2427">
        <v>119051804</v>
      </c>
      <c r="G2427">
        <v>71811630</v>
      </c>
      <c r="H2427">
        <v>76070279</v>
      </c>
      <c r="I2427">
        <v>55671993</v>
      </c>
      <c r="J2427">
        <v>40754473</v>
      </c>
      <c r="K2427">
        <v>22334971</v>
      </c>
      <c r="L2427">
        <v>27227833</v>
      </c>
      <c r="M2427">
        <v>94724766</v>
      </c>
      <c r="N2427">
        <v>10426636</v>
      </c>
      <c r="O2427">
        <v>9612574</v>
      </c>
      <c r="P2427">
        <v>93</v>
      </c>
      <c r="Q2427" t="s">
        <v>5184</v>
      </c>
    </row>
    <row r="2428" spans="1:17" x14ac:dyDescent="0.3">
      <c r="A2428" t="s">
        <v>4729</v>
      </c>
      <c r="B2428" t="str">
        <f>"000638"</f>
        <v>000638</v>
      </c>
      <c r="C2428" t="s">
        <v>5185</v>
      </c>
      <c r="D2428" t="s">
        <v>316</v>
      </c>
      <c r="F2428">
        <v>55175899</v>
      </c>
      <c r="G2428">
        <v>48194366</v>
      </c>
      <c r="H2428">
        <v>94797250</v>
      </c>
      <c r="I2428">
        <v>76279110</v>
      </c>
      <c r="J2428">
        <v>51952367</v>
      </c>
      <c r="K2428">
        <v>6004726</v>
      </c>
      <c r="L2428">
        <v>4692882</v>
      </c>
      <c r="M2428">
        <v>7416338</v>
      </c>
      <c r="N2428">
        <v>2132575</v>
      </c>
      <c r="O2428">
        <v>5472000</v>
      </c>
      <c r="P2428">
        <v>87</v>
      </c>
      <c r="Q2428" t="s">
        <v>5186</v>
      </c>
    </row>
    <row r="2429" spans="1:17" x14ac:dyDescent="0.3">
      <c r="A2429" t="s">
        <v>4729</v>
      </c>
      <c r="B2429" t="str">
        <f>"000639"</f>
        <v>000639</v>
      </c>
      <c r="C2429" t="s">
        <v>5187</v>
      </c>
      <c r="D2429" t="s">
        <v>306</v>
      </c>
      <c r="F2429">
        <v>267992398</v>
      </c>
      <c r="G2429">
        <v>236390784</v>
      </c>
      <c r="H2429">
        <v>359796221</v>
      </c>
      <c r="I2429">
        <v>436374431</v>
      </c>
      <c r="J2429">
        <v>400823826</v>
      </c>
      <c r="K2429">
        <v>547130282</v>
      </c>
      <c r="L2429">
        <v>122757176</v>
      </c>
      <c r="M2429">
        <v>117237047</v>
      </c>
      <c r="N2429">
        <v>102305097</v>
      </c>
      <c r="O2429">
        <v>129282766</v>
      </c>
      <c r="P2429">
        <v>328</v>
      </c>
      <c r="Q2429" t="s">
        <v>5188</v>
      </c>
    </row>
    <row r="2430" spans="1:17" x14ac:dyDescent="0.3">
      <c r="A2430" t="s">
        <v>4729</v>
      </c>
      <c r="B2430" t="str">
        <f>"000650"</f>
        <v>000650</v>
      </c>
      <c r="C2430" t="s">
        <v>5189</v>
      </c>
      <c r="D2430" t="s">
        <v>188</v>
      </c>
      <c r="F2430">
        <v>412977316</v>
      </c>
      <c r="G2430">
        <v>297279029</v>
      </c>
      <c r="H2430">
        <v>336355711</v>
      </c>
      <c r="I2430">
        <v>369082111</v>
      </c>
      <c r="J2430">
        <v>294344602</v>
      </c>
      <c r="K2430">
        <v>262587264</v>
      </c>
      <c r="L2430">
        <v>256672627</v>
      </c>
      <c r="M2430">
        <v>152281844</v>
      </c>
      <c r="N2430">
        <v>150576191</v>
      </c>
      <c r="O2430">
        <v>152612996</v>
      </c>
      <c r="P2430">
        <v>888</v>
      </c>
      <c r="Q2430" t="s">
        <v>5190</v>
      </c>
    </row>
    <row r="2431" spans="1:17" x14ac:dyDescent="0.3">
      <c r="A2431" t="s">
        <v>4729</v>
      </c>
      <c r="B2431" t="str">
        <f>"000651"</f>
        <v>000651</v>
      </c>
      <c r="C2431" t="s">
        <v>5191</v>
      </c>
      <c r="D2431" t="s">
        <v>1727</v>
      </c>
      <c r="F2431">
        <v>13840898803</v>
      </c>
      <c r="G2431">
        <v>8738230905</v>
      </c>
      <c r="H2431">
        <v>8513334545</v>
      </c>
      <c r="I2431">
        <v>7699658990</v>
      </c>
      <c r="J2431">
        <v>5814491641</v>
      </c>
      <c r="K2431">
        <v>2960534651</v>
      </c>
      <c r="L2431">
        <v>2879212112</v>
      </c>
      <c r="M2431">
        <v>2661347629</v>
      </c>
      <c r="N2431">
        <v>1849275343</v>
      </c>
      <c r="O2431">
        <v>1474872972</v>
      </c>
      <c r="P2431">
        <v>55062</v>
      </c>
      <c r="Q2431" t="s">
        <v>5192</v>
      </c>
    </row>
    <row r="2432" spans="1:17" x14ac:dyDescent="0.3">
      <c r="A2432" t="s">
        <v>4729</v>
      </c>
      <c r="B2432" t="str">
        <f>"000652"</f>
        <v>000652</v>
      </c>
      <c r="C2432" t="s">
        <v>5193</v>
      </c>
      <c r="D2432" t="s">
        <v>110</v>
      </c>
      <c r="F2432">
        <v>6142875367</v>
      </c>
      <c r="G2432">
        <v>5026047550</v>
      </c>
      <c r="H2432">
        <v>6715766929</v>
      </c>
      <c r="I2432">
        <v>4957844447</v>
      </c>
      <c r="J2432">
        <v>3761131064</v>
      </c>
      <c r="K2432">
        <v>2946082006</v>
      </c>
      <c r="L2432">
        <v>655324298</v>
      </c>
      <c r="M2432">
        <v>1189620323</v>
      </c>
      <c r="N2432">
        <v>439405423</v>
      </c>
      <c r="O2432">
        <v>630727116</v>
      </c>
      <c r="P2432">
        <v>196</v>
      </c>
      <c r="Q2432" t="s">
        <v>5194</v>
      </c>
    </row>
    <row r="2433" spans="1:17" x14ac:dyDescent="0.3">
      <c r="A2433" t="s">
        <v>4729</v>
      </c>
      <c r="B2433" t="str">
        <f>"000655"</f>
        <v>000655</v>
      </c>
      <c r="C2433" t="s">
        <v>5195</v>
      </c>
      <c r="D2433" t="s">
        <v>2376</v>
      </c>
      <c r="F2433">
        <v>29594091</v>
      </c>
      <c r="G2433">
        <v>56217937</v>
      </c>
      <c r="H2433">
        <v>65198872</v>
      </c>
      <c r="I2433">
        <v>74508472</v>
      </c>
      <c r="J2433">
        <v>101263807</v>
      </c>
      <c r="K2433">
        <v>349292511</v>
      </c>
      <c r="L2433">
        <v>365846252</v>
      </c>
      <c r="M2433">
        <v>298459997</v>
      </c>
      <c r="N2433">
        <v>268986452</v>
      </c>
      <c r="O2433">
        <v>83779352</v>
      </c>
      <c r="P2433">
        <v>145</v>
      </c>
      <c r="Q2433" t="s">
        <v>5196</v>
      </c>
    </row>
    <row r="2434" spans="1:17" x14ac:dyDescent="0.3">
      <c r="A2434" t="s">
        <v>4729</v>
      </c>
      <c r="B2434" t="str">
        <f>"000656"</f>
        <v>000656</v>
      </c>
      <c r="C2434" t="s">
        <v>5197</v>
      </c>
      <c r="D2434" t="s">
        <v>104</v>
      </c>
      <c r="F2434">
        <v>2925586949</v>
      </c>
      <c r="G2434">
        <v>2798294736</v>
      </c>
      <c r="H2434">
        <v>2279708174</v>
      </c>
      <c r="I2434">
        <v>1583607499</v>
      </c>
      <c r="J2434">
        <v>1494683682</v>
      </c>
      <c r="K2434">
        <v>829286611</v>
      </c>
      <c r="L2434">
        <v>729045821</v>
      </c>
      <c r="M2434">
        <v>709008179</v>
      </c>
      <c r="N2434">
        <v>210514539</v>
      </c>
      <c r="O2434">
        <v>204031119</v>
      </c>
      <c r="P2434">
        <v>1065</v>
      </c>
      <c r="Q2434" t="s">
        <v>5198</v>
      </c>
    </row>
    <row r="2435" spans="1:17" x14ac:dyDescent="0.3">
      <c r="A2435" t="s">
        <v>4729</v>
      </c>
      <c r="B2435" t="str">
        <f>"000657"</f>
        <v>000657</v>
      </c>
      <c r="C2435" t="s">
        <v>5199</v>
      </c>
      <c r="D2435" t="s">
        <v>1110</v>
      </c>
      <c r="F2435">
        <v>1133712486</v>
      </c>
      <c r="G2435">
        <v>993079781</v>
      </c>
      <c r="H2435">
        <v>911746150</v>
      </c>
      <c r="I2435">
        <v>915739575</v>
      </c>
      <c r="J2435">
        <v>673241220</v>
      </c>
      <c r="K2435">
        <v>660997656</v>
      </c>
      <c r="L2435">
        <v>810306135</v>
      </c>
      <c r="M2435">
        <v>820828059</v>
      </c>
      <c r="N2435">
        <v>721706327</v>
      </c>
      <c r="O2435">
        <v>4208712</v>
      </c>
      <c r="P2435">
        <v>177</v>
      </c>
      <c r="Q2435" t="s">
        <v>5200</v>
      </c>
    </row>
    <row r="2436" spans="1:17" x14ac:dyDescent="0.3">
      <c r="A2436" t="s">
        <v>4729</v>
      </c>
      <c r="B2436" t="str">
        <f>"000658"</f>
        <v>000658</v>
      </c>
      <c r="C2436" t="s">
        <v>5201</v>
      </c>
      <c r="K2436">
        <v>0</v>
      </c>
      <c r="L2436">
        <v>0</v>
      </c>
      <c r="M2436">
        <v>0</v>
      </c>
      <c r="N2436">
        <v>0</v>
      </c>
      <c r="O2436">
        <v>0</v>
      </c>
      <c r="P2436">
        <v>5</v>
      </c>
      <c r="Q2436" t="s">
        <v>5202</v>
      </c>
    </row>
    <row r="2437" spans="1:17" x14ac:dyDescent="0.3">
      <c r="A2437" t="s">
        <v>4729</v>
      </c>
      <c r="B2437" t="str">
        <f>"000659"</f>
        <v>000659</v>
      </c>
      <c r="C2437" t="s">
        <v>5203</v>
      </c>
      <c r="D2437" t="s">
        <v>485</v>
      </c>
      <c r="F2437">
        <v>134568713</v>
      </c>
      <c r="G2437">
        <v>131231089</v>
      </c>
      <c r="H2437">
        <v>169296445</v>
      </c>
      <c r="I2437">
        <v>192764745</v>
      </c>
      <c r="J2437">
        <v>242923327</v>
      </c>
      <c r="K2437">
        <v>252085510</v>
      </c>
      <c r="L2437">
        <v>285848027</v>
      </c>
      <c r="M2437">
        <v>256288628</v>
      </c>
      <c r="N2437">
        <v>408325793</v>
      </c>
      <c r="O2437">
        <v>376444839</v>
      </c>
      <c r="P2437">
        <v>77</v>
      </c>
      <c r="Q2437" t="s">
        <v>5204</v>
      </c>
    </row>
    <row r="2438" spans="1:17" x14ac:dyDescent="0.3">
      <c r="A2438" t="s">
        <v>4729</v>
      </c>
      <c r="B2438" t="str">
        <f>"000660"</f>
        <v>000660</v>
      </c>
      <c r="C2438" t="s">
        <v>5205</v>
      </c>
      <c r="K2438">
        <v>7065858.0099999998</v>
      </c>
      <c r="L2438">
        <v>6077675.6299999999</v>
      </c>
      <c r="N2438">
        <v>8993512.7100000009</v>
      </c>
      <c r="O2438">
        <v>2770775.6</v>
      </c>
      <c r="P2438">
        <v>6</v>
      </c>
      <c r="Q2438" t="s">
        <v>5206</v>
      </c>
    </row>
    <row r="2439" spans="1:17" x14ac:dyDescent="0.3">
      <c r="A2439" t="s">
        <v>4729</v>
      </c>
      <c r="B2439" t="str">
        <f>"000661"</f>
        <v>000661</v>
      </c>
      <c r="C2439" t="s">
        <v>5207</v>
      </c>
      <c r="D2439" t="s">
        <v>1379</v>
      </c>
      <c r="F2439">
        <v>1421062460</v>
      </c>
      <c r="G2439">
        <v>1354832986</v>
      </c>
      <c r="H2439">
        <v>894774090</v>
      </c>
      <c r="I2439">
        <v>717499876</v>
      </c>
      <c r="J2439">
        <v>537502354</v>
      </c>
      <c r="K2439">
        <v>446345116</v>
      </c>
      <c r="L2439">
        <v>349264080</v>
      </c>
      <c r="M2439">
        <v>316125863</v>
      </c>
      <c r="N2439">
        <v>287470437</v>
      </c>
      <c r="O2439">
        <v>221866847</v>
      </c>
      <c r="P2439">
        <v>59935</v>
      </c>
      <c r="Q2439" t="s">
        <v>5208</v>
      </c>
    </row>
    <row r="2440" spans="1:17" x14ac:dyDescent="0.3">
      <c r="A2440" t="s">
        <v>4729</v>
      </c>
      <c r="B2440" t="str">
        <f>"000662"</f>
        <v>000662</v>
      </c>
      <c r="C2440" t="s">
        <v>5209</v>
      </c>
      <c r="H2440">
        <v>688046683</v>
      </c>
      <c r="I2440">
        <v>1489104792</v>
      </c>
      <c r="J2440">
        <v>1238990315</v>
      </c>
      <c r="K2440">
        <v>845784648</v>
      </c>
      <c r="L2440">
        <v>139499782</v>
      </c>
      <c r="M2440">
        <v>106470433</v>
      </c>
      <c r="N2440">
        <v>109930277</v>
      </c>
      <c r="O2440">
        <v>106670409</v>
      </c>
      <c r="P2440">
        <v>146</v>
      </c>
      <c r="Q2440" t="s">
        <v>5210</v>
      </c>
    </row>
    <row r="2441" spans="1:17" x14ac:dyDescent="0.3">
      <c r="A2441" t="s">
        <v>4729</v>
      </c>
      <c r="B2441" t="str">
        <f>"000663"</f>
        <v>000663</v>
      </c>
      <c r="C2441" t="s">
        <v>5211</v>
      </c>
      <c r="D2441" t="s">
        <v>2664</v>
      </c>
      <c r="F2441">
        <v>15114761</v>
      </c>
      <c r="G2441">
        <v>20458593</v>
      </c>
      <c r="H2441">
        <v>222249068</v>
      </c>
      <c r="I2441">
        <v>302059381</v>
      </c>
      <c r="J2441">
        <v>543410544</v>
      </c>
      <c r="K2441">
        <v>612458219</v>
      </c>
      <c r="L2441">
        <v>533736507</v>
      </c>
      <c r="M2441">
        <v>27244267</v>
      </c>
      <c r="N2441">
        <v>12839414</v>
      </c>
      <c r="O2441">
        <v>7518070</v>
      </c>
      <c r="P2441">
        <v>93</v>
      </c>
      <c r="Q2441" t="s">
        <v>5212</v>
      </c>
    </row>
    <row r="2442" spans="1:17" x14ac:dyDescent="0.3">
      <c r="A2442" t="s">
        <v>4729</v>
      </c>
      <c r="B2442" t="str">
        <f>"000665"</f>
        <v>000665</v>
      </c>
      <c r="C2442" t="s">
        <v>5213</v>
      </c>
      <c r="D2442" t="s">
        <v>95</v>
      </c>
      <c r="F2442">
        <v>815687907</v>
      </c>
      <c r="G2442">
        <v>777055443</v>
      </c>
      <c r="H2442">
        <v>748478819</v>
      </c>
      <c r="I2442">
        <v>385672936</v>
      </c>
      <c r="J2442">
        <v>161928692</v>
      </c>
      <c r="K2442">
        <v>101405727</v>
      </c>
      <c r="L2442">
        <v>84466755</v>
      </c>
      <c r="M2442">
        <v>51952942</v>
      </c>
      <c r="N2442">
        <v>18636850</v>
      </c>
      <c r="O2442">
        <v>10530487</v>
      </c>
      <c r="P2442">
        <v>221</v>
      </c>
      <c r="Q2442" t="s">
        <v>5214</v>
      </c>
    </row>
    <row r="2443" spans="1:17" x14ac:dyDescent="0.3">
      <c r="A2443" t="s">
        <v>4729</v>
      </c>
      <c r="B2443" t="str">
        <f>"000666"</f>
        <v>000666</v>
      </c>
      <c r="C2443" t="s">
        <v>5215</v>
      </c>
      <c r="D2443" t="s">
        <v>1651</v>
      </c>
      <c r="F2443">
        <v>1043389632</v>
      </c>
      <c r="G2443">
        <v>676147868</v>
      </c>
      <c r="H2443">
        <v>700033235</v>
      </c>
      <c r="I2443">
        <v>1112555444</v>
      </c>
      <c r="J2443">
        <v>1072084991</v>
      </c>
      <c r="K2443">
        <v>1053350497</v>
      </c>
      <c r="L2443">
        <v>1065282798</v>
      </c>
      <c r="M2443">
        <v>769988186</v>
      </c>
      <c r="N2443">
        <v>778564375</v>
      </c>
      <c r="O2443">
        <v>698770042</v>
      </c>
      <c r="P2443">
        <v>186</v>
      </c>
      <c r="Q2443" t="s">
        <v>5216</v>
      </c>
    </row>
    <row r="2444" spans="1:17" x14ac:dyDescent="0.3">
      <c r="A2444" t="s">
        <v>4729</v>
      </c>
      <c r="B2444" t="str">
        <f>"000667"</f>
        <v>000667</v>
      </c>
      <c r="C2444" t="s">
        <v>5217</v>
      </c>
      <c r="D2444" t="s">
        <v>104</v>
      </c>
      <c r="F2444">
        <v>167617041</v>
      </c>
      <c r="G2444">
        <v>89116126</v>
      </c>
      <c r="H2444">
        <v>27488488</v>
      </c>
      <c r="I2444">
        <v>46640698</v>
      </c>
      <c r="J2444">
        <v>46877789</v>
      </c>
      <c r="K2444">
        <v>38716371</v>
      </c>
      <c r="L2444">
        <v>240539676</v>
      </c>
      <c r="M2444">
        <v>121674256</v>
      </c>
      <c r="N2444">
        <v>175973810</v>
      </c>
      <c r="O2444">
        <v>140850862</v>
      </c>
      <c r="P2444">
        <v>169</v>
      </c>
      <c r="Q2444" t="s">
        <v>5218</v>
      </c>
    </row>
    <row r="2445" spans="1:17" x14ac:dyDescent="0.3">
      <c r="A2445" t="s">
        <v>4729</v>
      </c>
      <c r="B2445" t="str">
        <f>"000668"</f>
        <v>000668</v>
      </c>
      <c r="C2445" t="s">
        <v>5219</v>
      </c>
      <c r="D2445" t="s">
        <v>104</v>
      </c>
      <c r="F2445">
        <v>824167560</v>
      </c>
      <c r="G2445">
        <v>22440164</v>
      </c>
      <c r="H2445">
        <v>2708261</v>
      </c>
      <c r="I2445">
        <v>7316</v>
      </c>
      <c r="J2445">
        <v>43630</v>
      </c>
      <c r="K2445">
        <v>58400</v>
      </c>
      <c r="L2445">
        <v>1503792</v>
      </c>
      <c r="M2445">
        <v>5667392</v>
      </c>
      <c r="N2445">
        <v>19899679</v>
      </c>
      <c r="O2445">
        <v>13408773</v>
      </c>
      <c r="P2445">
        <v>96</v>
      </c>
      <c r="Q2445" t="s">
        <v>5220</v>
      </c>
    </row>
    <row r="2446" spans="1:17" x14ac:dyDescent="0.3">
      <c r="A2446" t="s">
        <v>4729</v>
      </c>
      <c r="B2446" t="str">
        <f>"000669"</f>
        <v>000669</v>
      </c>
      <c r="C2446" t="s">
        <v>5221</v>
      </c>
      <c r="D2446" t="s">
        <v>749</v>
      </c>
      <c r="F2446">
        <v>57941165</v>
      </c>
      <c r="G2446">
        <v>46129019</v>
      </c>
      <c r="H2446">
        <v>418653815</v>
      </c>
      <c r="I2446">
        <v>610473370</v>
      </c>
      <c r="J2446">
        <v>726015038</v>
      </c>
      <c r="K2446">
        <v>548688263</v>
      </c>
      <c r="L2446">
        <v>307726127</v>
      </c>
      <c r="M2446">
        <v>308722277</v>
      </c>
      <c r="N2446">
        <v>143746672</v>
      </c>
      <c r="O2446">
        <v>115096148</v>
      </c>
      <c r="P2446">
        <v>83</v>
      </c>
      <c r="Q2446" t="s">
        <v>5222</v>
      </c>
    </row>
    <row r="2447" spans="1:17" x14ac:dyDescent="0.3">
      <c r="A2447" t="s">
        <v>4729</v>
      </c>
      <c r="B2447" t="str">
        <f>"000670"</f>
        <v>000670</v>
      </c>
      <c r="C2447" t="s">
        <v>5223</v>
      </c>
      <c r="D2447" t="s">
        <v>461</v>
      </c>
      <c r="F2447">
        <v>748174811</v>
      </c>
      <c r="G2447">
        <v>540552099</v>
      </c>
      <c r="H2447">
        <v>7375106</v>
      </c>
      <c r="I2447">
        <v>16522003</v>
      </c>
      <c r="J2447">
        <v>29383415</v>
      </c>
      <c r="K2447">
        <v>145438542</v>
      </c>
      <c r="L2447">
        <v>57540288</v>
      </c>
      <c r="M2447">
        <v>30613006</v>
      </c>
      <c r="N2447">
        <v>1713051</v>
      </c>
      <c r="O2447">
        <v>83712575</v>
      </c>
      <c r="P2447">
        <v>116</v>
      </c>
      <c r="Q2447" t="s">
        <v>5224</v>
      </c>
    </row>
    <row r="2448" spans="1:17" x14ac:dyDescent="0.3">
      <c r="A2448" t="s">
        <v>4729</v>
      </c>
      <c r="B2448" t="str">
        <f>"000671"</f>
        <v>000671</v>
      </c>
      <c r="C2448" t="s">
        <v>5225</v>
      </c>
      <c r="D2448" t="s">
        <v>104</v>
      </c>
      <c r="F2448">
        <v>2363402760</v>
      </c>
      <c r="G2448">
        <v>1351606080</v>
      </c>
      <c r="H2448">
        <v>1167653742</v>
      </c>
      <c r="I2448">
        <v>1250710325</v>
      </c>
      <c r="J2448">
        <v>523578591</v>
      </c>
      <c r="K2448">
        <v>805483214</v>
      </c>
      <c r="L2448">
        <v>572154030</v>
      </c>
      <c r="M2448">
        <v>437376904</v>
      </c>
      <c r="N2448">
        <v>513306656</v>
      </c>
      <c r="O2448">
        <v>79582082</v>
      </c>
      <c r="P2448">
        <v>1192</v>
      </c>
      <c r="Q2448" t="s">
        <v>5226</v>
      </c>
    </row>
    <row r="2449" spans="1:17" x14ac:dyDescent="0.3">
      <c r="A2449" t="s">
        <v>4729</v>
      </c>
      <c r="B2449" t="str">
        <f>"000672"</f>
        <v>000672</v>
      </c>
      <c r="C2449" t="s">
        <v>5227</v>
      </c>
      <c r="D2449" t="s">
        <v>731</v>
      </c>
      <c r="F2449">
        <v>300508238</v>
      </c>
      <c r="G2449">
        <v>186070240</v>
      </c>
      <c r="H2449">
        <v>181369454</v>
      </c>
      <c r="I2449">
        <v>144833974</v>
      </c>
      <c r="J2449">
        <v>147721462</v>
      </c>
      <c r="K2449">
        <v>164623173</v>
      </c>
      <c r="L2449">
        <v>228216578</v>
      </c>
      <c r="M2449">
        <v>114445159</v>
      </c>
      <c r="N2449">
        <v>78137685</v>
      </c>
      <c r="O2449">
        <v>500</v>
      </c>
      <c r="P2449">
        <v>1263</v>
      </c>
      <c r="Q2449" t="s">
        <v>5228</v>
      </c>
    </row>
    <row r="2450" spans="1:17" x14ac:dyDescent="0.3">
      <c r="A2450" t="s">
        <v>4729</v>
      </c>
      <c r="B2450" t="str">
        <f>"000673"</f>
        <v>000673</v>
      </c>
      <c r="C2450" t="s">
        <v>5229</v>
      </c>
      <c r="D2450" t="s">
        <v>113</v>
      </c>
      <c r="F2450">
        <v>188727779</v>
      </c>
      <c r="G2450">
        <v>271456577</v>
      </c>
      <c r="H2450">
        <v>361545782</v>
      </c>
      <c r="I2450">
        <v>441441699</v>
      </c>
      <c r="J2450">
        <v>496771761</v>
      </c>
      <c r="K2450">
        <v>443546728</v>
      </c>
      <c r="L2450">
        <v>234958596</v>
      </c>
      <c r="M2450">
        <v>1931728</v>
      </c>
      <c r="N2450">
        <v>3515000</v>
      </c>
      <c r="O2450">
        <v>0</v>
      </c>
      <c r="P2450">
        <v>90</v>
      </c>
      <c r="Q2450" t="s">
        <v>5230</v>
      </c>
    </row>
    <row r="2451" spans="1:17" x14ac:dyDescent="0.3">
      <c r="A2451" t="s">
        <v>4729</v>
      </c>
      <c r="B2451" t="str">
        <f>"000675"</f>
        <v>000675</v>
      </c>
      <c r="C2451" t="s">
        <v>5231</v>
      </c>
      <c r="K2451">
        <v>0</v>
      </c>
      <c r="M2451">
        <v>403593.05</v>
      </c>
      <c r="N2451">
        <v>405913.05</v>
      </c>
      <c r="O2451">
        <v>405913.05</v>
      </c>
      <c r="P2451">
        <v>5</v>
      </c>
      <c r="Q2451" t="s">
        <v>5232</v>
      </c>
    </row>
    <row r="2452" spans="1:17" x14ac:dyDescent="0.3">
      <c r="A2452" t="s">
        <v>4729</v>
      </c>
      <c r="B2452" t="str">
        <f>"000676"</f>
        <v>000676</v>
      </c>
      <c r="C2452" t="s">
        <v>5233</v>
      </c>
      <c r="D2452" t="s">
        <v>207</v>
      </c>
      <c r="F2452">
        <v>893752862</v>
      </c>
      <c r="G2452">
        <v>1499961135</v>
      </c>
      <c r="H2452">
        <v>2267838545</v>
      </c>
      <c r="I2452">
        <v>1896139751</v>
      </c>
      <c r="J2452">
        <v>1380115186</v>
      </c>
      <c r="K2452">
        <v>745004128</v>
      </c>
      <c r="L2452">
        <v>47705828</v>
      </c>
      <c r="M2452">
        <v>126317679</v>
      </c>
      <c r="N2452">
        <v>131119346</v>
      </c>
      <c r="O2452">
        <v>181530862</v>
      </c>
      <c r="P2452">
        <v>215</v>
      </c>
      <c r="Q2452" t="s">
        <v>5234</v>
      </c>
    </row>
    <row r="2453" spans="1:17" x14ac:dyDescent="0.3">
      <c r="A2453" t="s">
        <v>4729</v>
      </c>
      <c r="B2453" t="str">
        <f>"000677"</f>
        <v>000677</v>
      </c>
      <c r="C2453" t="s">
        <v>5235</v>
      </c>
      <c r="D2453" t="s">
        <v>888</v>
      </c>
      <c r="F2453">
        <v>217599827</v>
      </c>
      <c r="G2453">
        <v>115973877</v>
      </c>
      <c r="H2453">
        <v>127187502</v>
      </c>
      <c r="I2453">
        <v>124167964</v>
      </c>
      <c r="J2453">
        <v>126008708</v>
      </c>
      <c r="K2453">
        <v>103228743</v>
      </c>
      <c r="L2453">
        <v>104352872</v>
      </c>
      <c r="M2453">
        <v>147802235</v>
      </c>
      <c r="N2453">
        <v>138057826</v>
      </c>
      <c r="O2453">
        <v>18001954</v>
      </c>
      <c r="P2453">
        <v>80</v>
      </c>
      <c r="Q2453" t="s">
        <v>5236</v>
      </c>
    </row>
    <row r="2454" spans="1:17" x14ac:dyDescent="0.3">
      <c r="A2454" t="s">
        <v>4729</v>
      </c>
      <c r="B2454" t="str">
        <f>"000678"</f>
        <v>000678</v>
      </c>
      <c r="C2454" t="s">
        <v>5237</v>
      </c>
      <c r="D2454" t="s">
        <v>348</v>
      </c>
      <c r="F2454">
        <v>210828661</v>
      </c>
      <c r="G2454">
        <v>287992970</v>
      </c>
      <c r="H2454">
        <v>252932727</v>
      </c>
      <c r="I2454">
        <v>287278809</v>
      </c>
      <c r="J2454">
        <v>321639827</v>
      </c>
      <c r="K2454">
        <v>289156572</v>
      </c>
      <c r="L2454">
        <v>247303058</v>
      </c>
      <c r="M2454">
        <v>252319741</v>
      </c>
      <c r="N2454">
        <v>260797285</v>
      </c>
      <c r="O2454">
        <v>164611824</v>
      </c>
      <c r="P2454">
        <v>71</v>
      </c>
      <c r="Q2454" t="s">
        <v>5238</v>
      </c>
    </row>
    <row r="2455" spans="1:17" x14ac:dyDescent="0.3">
      <c r="A2455" t="s">
        <v>4729</v>
      </c>
      <c r="B2455" t="str">
        <f>"000679"</f>
        <v>000679</v>
      </c>
      <c r="C2455" t="s">
        <v>5239</v>
      </c>
      <c r="D2455" t="s">
        <v>1404</v>
      </c>
      <c r="F2455">
        <v>325934</v>
      </c>
      <c r="G2455">
        <v>288968</v>
      </c>
      <c r="H2455">
        <v>6557542</v>
      </c>
      <c r="I2455">
        <v>12868069</v>
      </c>
      <c r="J2455">
        <v>27811297</v>
      </c>
      <c r="K2455">
        <v>13210531</v>
      </c>
      <c r="L2455">
        <v>18909478</v>
      </c>
      <c r="M2455">
        <v>6377765</v>
      </c>
      <c r="N2455">
        <v>5979757</v>
      </c>
      <c r="O2455">
        <v>8065558</v>
      </c>
      <c r="P2455">
        <v>83</v>
      </c>
      <c r="Q2455" t="s">
        <v>5240</v>
      </c>
    </row>
    <row r="2456" spans="1:17" x14ac:dyDescent="0.3">
      <c r="A2456" t="s">
        <v>4729</v>
      </c>
      <c r="B2456" t="str">
        <f>"000680"</f>
        <v>000680</v>
      </c>
      <c r="C2456" t="s">
        <v>5241</v>
      </c>
      <c r="D2456" t="s">
        <v>83</v>
      </c>
      <c r="F2456">
        <v>1817440638</v>
      </c>
      <c r="G2456">
        <v>1839003577</v>
      </c>
      <c r="H2456">
        <v>1731070886</v>
      </c>
      <c r="I2456">
        <v>2031492277</v>
      </c>
      <c r="J2456">
        <v>1616960690</v>
      </c>
      <c r="K2456">
        <v>1849374271</v>
      </c>
      <c r="L2456">
        <v>1773636339</v>
      </c>
      <c r="M2456">
        <v>2189344297</v>
      </c>
      <c r="N2456">
        <v>2364785595</v>
      </c>
      <c r="O2456">
        <v>2721691218</v>
      </c>
      <c r="P2456">
        <v>120</v>
      </c>
      <c r="Q2456" t="s">
        <v>5242</v>
      </c>
    </row>
    <row r="2457" spans="1:17" x14ac:dyDescent="0.3">
      <c r="A2457" t="s">
        <v>4729</v>
      </c>
      <c r="B2457" t="str">
        <f>"000681"</f>
        <v>000681</v>
      </c>
      <c r="C2457" t="s">
        <v>5243</v>
      </c>
      <c r="D2457" t="s">
        <v>5244</v>
      </c>
      <c r="F2457">
        <v>232528214</v>
      </c>
      <c r="G2457">
        <v>172841007</v>
      </c>
      <c r="H2457">
        <v>170575919</v>
      </c>
      <c r="I2457">
        <v>185094125</v>
      </c>
      <c r="J2457">
        <v>352261538</v>
      </c>
      <c r="K2457">
        <v>345424724</v>
      </c>
      <c r="L2457">
        <v>289349175</v>
      </c>
      <c r="M2457">
        <v>150653044</v>
      </c>
      <c r="N2457">
        <v>34486878</v>
      </c>
      <c r="O2457">
        <v>11972208</v>
      </c>
      <c r="P2457">
        <v>449</v>
      </c>
      <c r="Q2457" t="s">
        <v>5245</v>
      </c>
    </row>
    <row r="2458" spans="1:17" x14ac:dyDescent="0.3">
      <c r="A2458" t="s">
        <v>4729</v>
      </c>
      <c r="B2458" t="str">
        <f>"000682"</f>
        <v>000682</v>
      </c>
      <c r="C2458" t="s">
        <v>5246</v>
      </c>
      <c r="D2458" t="s">
        <v>610</v>
      </c>
      <c r="F2458">
        <v>1125162560</v>
      </c>
      <c r="G2458">
        <v>1052415551</v>
      </c>
      <c r="H2458">
        <v>1269085685</v>
      </c>
      <c r="I2458">
        <v>1244592456</v>
      </c>
      <c r="J2458">
        <v>1167160602</v>
      </c>
      <c r="K2458">
        <v>1020954116</v>
      </c>
      <c r="L2458">
        <v>680679403</v>
      </c>
      <c r="M2458">
        <v>657646428</v>
      </c>
      <c r="N2458">
        <v>751795394</v>
      </c>
      <c r="O2458">
        <v>710221847</v>
      </c>
      <c r="P2458">
        <v>156</v>
      </c>
      <c r="Q2458" t="s">
        <v>5247</v>
      </c>
    </row>
    <row r="2459" spans="1:17" x14ac:dyDescent="0.3">
      <c r="A2459" t="s">
        <v>4729</v>
      </c>
      <c r="B2459" t="str">
        <f>"000683"</f>
        <v>000683</v>
      </c>
      <c r="C2459" t="s">
        <v>5248</v>
      </c>
      <c r="D2459" t="s">
        <v>2529</v>
      </c>
      <c r="F2459">
        <v>98170863</v>
      </c>
      <c r="G2459">
        <v>125164606</v>
      </c>
      <c r="H2459">
        <v>158051831</v>
      </c>
      <c r="I2459">
        <v>167735789</v>
      </c>
      <c r="J2459">
        <v>177107531</v>
      </c>
      <c r="K2459">
        <v>259478983</v>
      </c>
      <c r="L2459">
        <v>115151089</v>
      </c>
      <c r="M2459">
        <v>80141100</v>
      </c>
      <c r="N2459">
        <v>12664568</v>
      </c>
      <c r="O2459">
        <v>6625710</v>
      </c>
      <c r="P2459">
        <v>314</v>
      </c>
      <c r="Q2459" t="s">
        <v>5249</v>
      </c>
    </row>
    <row r="2460" spans="1:17" x14ac:dyDescent="0.3">
      <c r="A2460" t="s">
        <v>4729</v>
      </c>
      <c r="B2460" t="str">
        <f>"000685"</f>
        <v>000685</v>
      </c>
      <c r="C2460" t="s">
        <v>5250</v>
      </c>
      <c r="D2460" t="s">
        <v>33</v>
      </c>
      <c r="F2460">
        <v>524082754</v>
      </c>
      <c r="G2460">
        <v>509524092</v>
      </c>
      <c r="H2460">
        <v>424275453</v>
      </c>
      <c r="I2460">
        <v>224466094</v>
      </c>
      <c r="J2460">
        <v>349478768</v>
      </c>
      <c r="K2460">
        <v>390190331</v>
      </c>
      <c r="L2460">
        <v>64492205</v>
      </c>
      <c r="M2460">
        <v>53248432</v>
      </c>
      <c r="N2460">
        <v>47002676</v>
      </c>
      <c r="O2460">
        <v>49201258</v>
      </c>
      <c r="P2460">
        <v>511</v>
      </c>
      <c r="Q2460" t="s">
        <v>5251</v>
      </c>
    </row>
    <row r="2461" spans="1:17" x14ac:dyDescent="0.3">
      <c r="A2461" t="s">
        <v>4729</v>
      </c>
      <c r="B2461" t="str">
        <f>"000686"</f>
        <v>000686</v>
      </c>
      <c r="C2461" t="s">
        <v>5252</v>
      </c>
      <c r="D2461" t="s">
        <v>80</v>
      </c>
      <c r="F2461">
        <v>297154058</v>
      </c>
      <c r="G2461">
        <v>234771049</v>
      </c>
      <c r="H2461">
        <v>237724885</v>
      </c>
      <c r="I2461">
        <v>398275938</v>
      </c>
      <c r="J2461">
        <v>593664929</v>
      </c>
      <c r="K2461">
        <v>644888264</v>
      </c>
      <c r="L2461">
        <v>0</v>
      </c>
      <c r="M2461">
        <v>0</v>
      </c>
      <c r="N2461">
        <v>0</v>
      </c>
      <c r="O2461">
        <v>0</v>
      </c>
      <c r="P2461">
        <v>888</v>
      </c>
      <c r="Q2461" t="s">
        <v>5253</v>
      </c>
    </row>
    <row r="2462" spans="1:17" x14ac:dyDescent="0.3">
      <c r="A2462" t="s">
        <v>4729</v>
      </c>
      <c r="B2462" t="str">
        <f>"000687"</f>
        <v>000687</v>
      </c>
      <c r="C2462" t="s">
        <v>5254</v>
      </c>
      <c r="D2462" t="s">
        <v>98</v>
      </c>
      <c r="F2462">
        <v>31087015</v>
      </c>
      <c r="G2462">
        <v>328592468</v>
      </c>
      <c r="H2462">
        <v>752995956</v>
      </c>
      <c r="I2462">
        <v>982816310</v>
      </c>
      <c r="J2462">
        <v>814525281</v>
      </c>
      <c r="K2462">
        <v>357294460</v>
      </c>
      <c r="L2462">
        <v>104040979</v>
      </c>
      <c r="M2462">
        <v>21308199</v>
      </c>
      <c r="N2462">
        <v>41942980</v>
      </c>
      <c r="O2462">
        <v>50023369</v>
      </c>
      <c r="P2462">
        <v>86</v>
      </c>
      <c r="Q2462" t="s">
        <v>5255</v>
      </c>
    </row>
    <row r="2463" spans="1:17" x14ac:dyDescent="0.3">
      <c r="A2463" t="s">
        <v>4729</v>
      </c>
      <c r="B2463" t="str">
        <f>"000688"</f>
        <v>000688</v>
      </c>
      <c r="C2463" t="s">
        <v>5256</v>
      </c>
      <c r="D2463" t="s">
        <v>744</v>
      </c>
      <c r="F2463">
        <v>48724204</v>
      </c>
      <c r="G2463">
        <v>69044991</v>
      </c>
      <c r="H2463">
        <v>24561019</v>
      </c>
      <c r="I2463">
        <v>137976724</v>
      </c>
      <c r="J2463">
        <v>86876063</v>
      </c>
      <c r="K2463">
        <v>126226633</v>
      </c>
      <c r="L2463">
        <v>313554586</v>
      </c>
      <c r="M2463">
        <v>173584112</v>
      </c>
      <c r="N2463">
        <v>63122908</v>
      </c>
      <c r="O2463">
        <v>546703</v>
      </c>
      <c r="P2463">
        <v>197</v>
      </c>
      <c r="Q2463" t="s">
        <v>5257</v>
      </c>
    </row>
    <row r="2464" spans="1:17" x14ac:dyDescent="0.3">
      <c r="A2464" t="s">
        <v>4729</v>
      </c>
      <c r="B2464" t="str">
        <f>"000689"</f>
        <v>000689</v>
      </c>
      <c r="C2464" t="s">
        <v>5258</v>
      </c>
      <c r="K2464">
        <v>0</v>
      </c>
      <c r="L2464">
        <v>0</v>
      </c>
      <c r="M2464">
        <v>0</v>
      </c>
      <c r="N2464">
        <v>0</v>
      </c>
      <c r="O2464">
        <v>0</v>
      </c>
      <c r="P2464">
        <v>5</v>
      </c>
      <c r="Q2464" t="s">
        <v>5259</v>
      </c>
    </row>
    <row r="2465" spans="1:17" x14ac:dyDescent="0.3">
      <c r="A2465" t="s">
        <v>4729</v>
      </c>
      <c r="B2465" t="str">
        <f>"000690"</f>
        <v>000690</v>
      </c>
      <c r="C2465" t="s">
        <v>5260</v>
      </c>
      <c r="D2465" t="s">
        <v>41</v>
      </c>
      <c r="F2465">
        <v>1228280651</v>
      </c>
      <c r="G2465">
        <v>791641104</v>
      </c>
      <c r="H2465">
        <v>658822662</v>
      </c>
      <c r="I2465">
        <v>628093685</v>
      </c>
      <c r="J2465">
        <v>259792683</v>
      </c>
      <c r="K2465">
        <v>435965235</v>
      </c>
      <c r="L2465">
        <v>269537889</v>
      </c>
      <c r="M2465">
        <v>348892518</v>
      </c>
      <c r="N2465">
        <v>493728986</v>
      </c>
      <c r="O2465">
        <v>628421802</v>
      </c>
      <c r="P2465">
        <v>643</v>
      </c>
      <c r="Q2465" t="s">
        <v>5261</v>
      </c>
    </row>
    <row r="2466" spans="1:17" x14ac:dyDescent="0.3">
      <c r="A2466" t="s">
        <v>4729</v>
      </c>
      <c r="B2466" t="str">
        <f>"000691"</f>
        <v>000691</v>
      </c>
      <c r="C2466" t="s">
        <v>5262</v>
      </c>
      <c r="D2466" t="s">
        <v>104</v>
      </c>
      <c r="F2466">
        <v>50190788</v>
      </c>
      <c r="G2466">
        <v>49530202</v>
      </c>
      <c r="H2466">
        <v>0</v>
      </c>
      <c r="I2466">
        <v>0</v>
      </c>
      <c r="J2466">
        <v>0</v>
      </c>
      <c r="K2466">
        <v>0</v>
      </c>
      <c r="L2466">
        <v>0</v>
      </c>
      <c r="M2466">
        <v>0</v>
      </c>
      <c r="N2466">
        <v>0</v>
      </c>
      <c r="O2466">
        <v>0</v>
      </c>
      <c r="P2466">
        <v>91</v>
      </c>
      <c r="Q2466" t="s">
        <v>5263</v>
      </c>
    </row>
    <row r="2467" spans="1:17" x14ac:dyDescent="0.3">
      <c r="A2467" t="s">
        <v>4729</v>
      </c>
      <c r="B2467" t="str">
        <f>"000692"</f>
        <v>000692</v>
      </c>
      <c r="C2467" t="s">
        <v>5264</v>
      </c>
      <c r="D2467" t="s">
        <v>351</v>
      </c>
      <c r="F2467">
        <v>418110651</v>
      </c>
      <c r="G2467">
        <v>352760029</v>
      </c>
      <c r="H2467">
        <v>564601318</v>
      </c>
      <c r="I2467">
        <v>563329904</v>
      </c>
      <c r="J2467">
        <v>486025292</v>
      </c>
      <c r="K2467">
        <v>343420601</v>
      </c>
      <c r="L2467">
        <v>261889298</v>
      </c>
      <c r="M2467">
        <v>301209998</v>
      </c>
      <c r="N2467">
        <v>294236961</v>
      </c>
      <c r="O2467">
        <v>212261888</v>
      </c>
      <c r="P2467">
        <v>77</v>
      </c>
      <c r="Q2467" t="s">
        <v>5265</v>
      </c>
    </row>
    <row r="2468" spans="1:17" x14ac:dyDescent="0.3">
      <c r="A2468" t="s">
        <v>4729</v>
      </c>
      <c r="B2468" t="str">
        <f>"000693"</f>
        <v>000693</v>
      </c>
      <c r="C2468" t="s">
        <v>5266</v>
      </c>
      <c r="J2468">
        <v>477232</v>
      </c>
      <c r="K2468">
        <v>234832243</v>
      </c>
      <c r="L2468">
        <v>240985029.90000001</v>
      </c>
      <c r="M2468">
        <v>288145351.44</v>
      </c>
      <c r="N2468">
        <v>250693664.74000001</v>
      </c>
      <c r="O2468">
        <v>1459155.64</v>
      </c>
      <c r="P2468">
        <v>17</v>
      </c>
      <c r="Q2468" t="s">
        <v>5267</v>
      </c>
    </row>
    <row r="2469" spans="1:17" x14ac:dyDescent="0.3">
      <c r="A2469" t="s">
        <v>4729</v>
      </c>
      <c r="B2469" t="str">
        <f>"000695"</f>
        <v>000695</v>
      </c>
      <c r="C2469" t="s">
        <v>5268</v>
      </c>
      <c r="D2469" t="s">
        <v>1694</v>
      </c>
      <c r="F2469">
        <v>243906777</v>
      </c>
      <c r="G2469">
        <v>354577179</v>
      </c>
      <c r="H2469">
        <v>319338532</v>
      </c>
      <c r="I2469">
        <v>232287370</v>
      </c>
      <c r="J2469">
        <v>414414039</v>
      </c>
      <c r="K2469">
        <v>201710369</v>
      </c>
      <c r="L2469">
        <v>186148189</v>
      </c>
      <c r="M2469">
        <v>197273287</v>
      </c>
      <c r="N2469">
        <v>188229621</v>
      </c>
      <c r="O2469">
        <v>199611999</v>
      </c>
      <c r="P2469">
        <v>82</v>
      </c>
      <c r="Q2469" t="s">
        <v>5269</v>
      </c>
    </row>
    <row r="2470" spans="1:17" x14ac:dyDescent="0.3">
      <c r="A2470" t="s">
        <v>4729</v>
      </c>
      <c r="B2470" t="str">
        <f>"000697"</f>
        <v>000697</v>
      </c>
      <c r="C2470" t="s">
        <v>5270</v>
      </c>
      <c r="D2470" t="s">
        <v>98</v>
      </c>
      <c r="F2470">
        <v>259439130</v>
      </c>
      <c r="G2470">
        <v>169026203</v>
      </c>
      <c r="H2470">
        <v>403270403</v>
      </c>
      <c r="I2470">
        <v>394321847</v>
      </c>
      <c r="J2470">
        <v>320510616</v>
      </c>
      <c r="K2470">
        <v>287850</v>
      </c>
      <c r="L2470">
        <v>0</v>
      </c>
      <c r="M2470">
        <v>22816388</v>
      </c>
      <c r="N2470">
        <v>91268400</v>
      </c>
      <c r="O2470">
        <v>129831750</v>
      </c>
      <c r="P2470">
        <v>110</v>
      </c>
      <c r="Q2470" t="s">
        <v>5271</v>
      </c>
    </row>
    <row r="2471" spans="1:17" x14ac:dyDescent="0.3">
      <c r="A2471" t="s">
        <v>4729</v>
      </c>
      <c r="B2471" t="str">
        <f>"000698"</f>
        <v>000698</v>
      </c>
      <c r="C2471" t="s">
        <v>5272</v>
      </c>
      <c r="D2471" t="s">
        <v>74</v>
      </c>
      <c r="F2471">
        <v>90950044</v>
      </c>
      <c r="G2471">
        <v>74703778</v>
      </c>
      <c r="H2471">
        <v>41779888</v>
      </c>
      <c r="I2471">
        <v>28939194</v>
      </c>
      <c r="J2471">
        <v>23584639</v>
      </c>
      <c r="K2471">
        <v>21088847</v>
      </c>
      <c r="L2471">
        <v>33480721</v>
      </c>
      <c r="M2471">
        <v>25988724</v>
      </c>
      <c r="N2471">
        <v>16454989</v>
      </c>
      <c r="O2471">
        <v>37592663</v>
      </c>
      <c r="P2471">
        <v>166</v>
      </c>
      <c r="Q2471" t="s">
        <v>5273</v>
      </c>
    </row>
    <row r="2472" spans="1:17" x14ac:dyDescent="0.3">
      <c r="A2472" t="s">
        <v>4729</v>
      </c>
      <c r="B2472" t="str">
        <f>"000699"</f>
        <v>000699</v>
      </c>
      <c r="C2472" t="s">
        <v>5274</v>
      </c>
      <c r="L2472">
        <v>0</v>
      </c>
      <c r="P2472">
        <v>4</v>
      </c>
      <c r="Q2472" t="s">
        <v>5275</v>
      </c>
    </row>
    <row r="2473" spans="1:17" x14ac:dyDescent="0.3">
      <c r="A2473" t="s">
        <v>4729</v>
      </c>
      <c r="B2473" t="str">
        <f>"000700"</f>
        <v>000700</v>
      </c>
      <c r="C2473" t="s">
        <v>5276</v>
      </c>
      <c r="D2473" t="s">
        <v>191</v>
      </c>
      <c r="F2473">
        <v>1508431579</v>
      </c>
      <c r="G2473">
        <v>1435466235</v>
      </c>
      <c r="H2473">
        <v>1073221183</v>
      </c>
      <c r="I2473">
        <v>927941401</v>
      </c>
      <c r="J2473">
        <v>719006972</v>
      </c>
      <c r="K2473">
        <v>534224446</v>
      </c>
      <c r="L2473">
        <v>480230699</v>
      </c>
      <c r="M2473">
        <v>450774967</v>
      </c>
      <c r="N2473">
        <v>533330017</v>
      </c>
      <c r="O2473">
        <v>508098013</v>
      </c>
      <c r="P2473">
        <v>259</v>
      </c>
      <c r="Q2473" t="s">
        <v>5277</v>
      </c>
    </row>
    <row r="2474" spans="1:17" x14ac:dyDescent="0.3">
      <c r="A2474" t="s">
        <v>4729</v>
      </c>
      <c r="B2474" t="str">
        <f>"000701"</f>
        <v>000701</v>
      </c>
      <c r="C2474" t="s">
        <v>5278</v>
      </c>
      <c r="D2474" t="s">
        <v>651</v>
      </c>
      <c r="F2474">
        <v>2061244581</v>
      </c>
      <c r="G2474">
        <v>2809102964</v>
      </c>
      <c r="H2474">
        <v>2402784619</v>
      </c>
      <c r="I2474">
        <v>2075348316</v>
      </c>
      <c r="J2474">
        <v>1867332585</v>
      </c>
      <c r="K2474">
        <v>2570130990</v>
      </c>
      <c r="L2474">
        <v>1919664471</v>
      </c>
      <c r="M2474">
        <v>1449736967</v>
      </c>
      <c r="N2474">
        <v>811365121</v>
      </c>
      <c r="O2474">
        <v>512605209</v>
      </c>
      <c r="P2474">
        <v>120</v>
      </c>
      <c r="Q2474" t="s">
        <v>5279</v>
      </c>
    </row>
    <row r="2475" spans="1:17" x14ac:dyDescent="0.3">
      <c r="A2475" t="s">
        <v>4729</v>
      </c>
      <c r="B2475" t="str">
        <f>"000702"</f>
        <v>000702</v>
      </c>
      <c r="C2475" t="s">
        <v>5280</v>
      </c>
      <c r="D2475" t="s">
        <v>2886</v>
      </c>
      <c r="F2475">
        <v>3768859</v>
      </c>
      <c r="G2475">
        <v>5282532</v>
      </c>
      <c r="H2475">
        <v>2122160</v>
      </c>
      <c r="I2475">
        <v>4770486</v>
      </c>
      <c r="J2475">
        <v>5280567</v>
      </c>
      <c r="K2475">
        <v>2908249</v>
      </c>
      <c r="L2475">
        <v>1774582</v>
      </c>
      <c r="M2475">
        <v>2366944</v>
      </c>
      <c r="N2475">
        <v>4277575</v>
      </c>
      <c r="O2475">
        <v>10719054</v>
      </c>
      <c r="P2475">
        <v>127</v>
      </c>
      <c r="Q2475" t="s">
        <v>5281</v>
      </c>
    </row>
    <row r="2476" spans="1:17" x14ac:dyDescent="0.3">
      <c r="A2476" t="s">
        <v>4729</v>
      </c>
      <c r="B2476" t="str">
        <f>"000703"</f>
        <v>000703</v>
      </c>
      <c r="C2476" t="s">
        <v>5282</v>
      </c>
      <c r="D2476" t="s">
        <v>74</v>
      </c>
      <c r="F2476">
        <v>6436842059</v>
      </c>
      <c r="G2476">
        <v>3879744130</v>
      </c>
      <c r="H2476">
        <v>5890241539</v>
      </c>
      <c r="I2476">
        <v>1377476017</v>
      </c>
      <c r="J2476">
        <v>1224109901</v>
      </c>
      <c r="K2476">
        <v>663524805</v>
      </c>
      <c r="L2476">
        <v>889235217</v>
      </c>
      <c r="M2476">
        <v>985881328</v>
      </c>
      <c r="N2476">
        <v>793539246</v>
      </c>
      <c r="O2476">
        <v>382399660</v>
      </c>
      <c r="P2476">
        <v>581</v>
      </c>
      <c r="Q2476" t="s">
        <v>5283</v>
      </c>
    </row>
    <row r="2477" spans="1:17" x14ac:dyDescent="0.3">
      <c r="A2477" t="s">
        <v>4729</v>
      </c>
      <c r="B2477" t="str">
        <f>"000705"</f>
        <v>000705</v>
      </c>
      <c r="C2477" t="s">
        <v>5284</v>
      </c>
      <c r="D2477" t="s">
        <v>125</v>
      </c>
      <c r="F2477">
        <v>534111282</v>
      </c>
      <c r="G2477">
        <v>480434385</v>
      </c>
      <c r="H2477">
        <v>497632657</v>
      </c>
      <c r="I2477">
        <v>463815495</v>
      </c>
      <c r="J2477">
        <v>443864730</v>
      </c>
      <c r="K2477">
        <v>430881344</v>
      </c>
      <c r="L2477">
        <v>397396403</v>
      </c>
      <c r="M2477">
        <v>384284110</v>
      </c>
      <c r="N2477">
        <v>381887164</v>
      </c>
      <c r="O2477">
        <v>309611864</v>
      </c>
      <c r="P2477">
        <v>107</v>
      </c>
      <c r="Q2477" t="s">
        <v>5285</v>
      </c>
    </row>
    <row r="2478" spans="1:17" x14ac:dyDescent="0.3">
      <c r="A2478" t="s">
        <v>4729</v>
      </c>
      <c r="B2478" t="str">
        <f>"000707"</f>
        <v>000707</v>
      </c>
      <c r="C2478" t="s">
        <v>5286</v>
      </c>
      <c r="D2478" t="s">
        <v>2529</v>
      </c>
      <c r="F2478">
        <v>7429841</v>
      </c>
      <c r="G2478">
        <v>28004002</v>
      </c>
      <c r="H2478">
        <v>33288807</v>
      </c>
      <c r="I2478">
        <v>52837417</v>
      </c>
      <c r="J2478">
        <v>152859674</v>
      </c>
      <c r="K2478">
        <v>179653881</v>
      </c>
      <c r="L2478">
        <v>852012318</v>
      </c>
      <c r="M2478">
        <v>528868455</v>
      </c>
      <c r="N2478">
        <v>217508227</v>
      </c>
      <c r="O2478">
        <v>390934101</v>
      </c>
      <c r="P2478">
        <v>83</v>
      </c>
      <c r="Q2478" t="s">
        <v>5287</v>
      </c>
    </row>
    <row r="2479" spans="1:17" x14ac:dyDescent="0.3">
      <c r="A2479" t="s">
        <v>4729</v>
      </c>
      <c r="B2479" t="str">
        <f>"000708"</f>
        <v>000708</v>
      </c>
      <c r="C2479" t="s">
        <v>5288</v>
      </c>
      <c r="D2479" t="s">
        <v>281</v>
      </c>
      <c r="F2479">
        <v>2252048839</v>
      </c>
      <c r="G2479">
        <v>1972355663</v>
      </c>
      <c r="H2479">
        <v>1949447496</v>
      </c>
      <c r="I2479">
        <v>497810374</v>
      </c>
      <c r="J2479">
        <v>346770409</v>
      </c>
      <c r="K2479">
        <v>285690074</v>
      </c>
      <c r="L2479">
        <v>415171946</v>
      </c>
      <c r="M2479">
        <v>359942559</v>
      </c>
      <c r="N2479">
        <v>363946958</v>
      </c>
      <c r="O2479">
        <v>286605380</v>
      </c>
      <c r="P2479">
        <v>677</v>
      </c>
      <c r="Q2479" t="s">
        <v>5289</v>
      </c>
    </row>
    <row r="2480" spans="1:17" x14ac:dyDescent="0.3">
      <c r="A2480" t="s">
        <v>4729</v>
      </c>
      <c r="B2480" t="str">
        <f>"000709"</f>
        <v>000709</v>
      </c>
      <c r="C2480" t="s">
        <v>5290</v>
      </c>
      <c r="D2480" t="s">
        <v>38</v>
      </c>
      <c r="F2480">
        <v>1852577790</v>
      </c>
      <c r="G2480">
        <v>1693910543</v>
      </c>
      <c r="H2480">
        <v>4715440910</v>
      </c>
      <c r="I2480">
        <v>4019247027</v>
      </c>
      <c r="J2480">
        <v>2543231797</v>
      </c>
      <c r="K2480">
        <v>2117810709</v>
      </c>
      <c r="L2480">
        <v>2111771269</v>
      </c>
      <c r="M2480">
        <v>1821530502</v>
      </c>
      <c r="N2480">
        <v>726960368</v>
      </c>
      <c r="O2480">
        <v>1092198998</v>
      </c>
      <c r="P2480">
        <v>524</v>
      </c>
      <c r="Q2480" t="s">
        <v>5291</v>
      </c>
    </row>
    <row r="2481" spans="1:17" x14ac:dyDescent="0.3">
      <c r="A2481" t="s">
        <v>4729</v>
      </c>
      <c r="B2481" t="str">
        <f>"000710"</f>
        <v>000710</v>
      </c>
      <c r="C2481" t="s">
        <v>5292</v>
      </c>
      <c r="D2481" t="s">
        <v>1305</v>
      </c>
      <c r="F2481">
        <v>1103422716</v>
      </c>
      <c r="G2481">
        <v>1069886918</v>
      </c>
      <c r="H2481">
        <v>840271218</v>
      </c>
      <c r="I2481">
        <v>646317439</v>
      </c>
      <c r="J2481">
        <v>514182589</v>
      </c>
      <c r="K2481">
        <v>76709288</v>
      </c>
      <c r="L2481">
        <v>64392619</v>
      </c>
      <c r="M2481">
        <v>49545473</v>
      </c>
      <c r="N2481">
        <v>48651389</v>
      </c>
      <c r="O2481">
        <v>51989788</v>
      </c>
      <c r="P2481">
        <v>460</v>
      </c>
      <c r="Q2481" t="s">
        <v>5293</v>
      </c>
    </row>
    <row r="2482" spans="1:17" x14ac:dyDescent="0.3">
      <c r="A2482" t="s">
        <v>4729</v>
      </c>
      <c r="B2482" t="str">
        <f>"000711"</f>
        <v>000711</v>
      </c>
      <c r="C2482" t="s">
        <v>5294</v>
      </c>
      <c r="D2482" t="s">
        <v>499</v>
      </c>
      <c r="F2482">
        <v>1256020876</v>
      </c>
      <c r="G2482">
        <v>1279570429</v>
      </c>
      <c r="H2482">
        <v>1966154875</v>
      </c>
      <c r="I2482">
        <v>548742296</v>
      </c>
      <c r="J2482">
        <v>616507264</v>
      </c>
      <c r="K2482">
        <v>365539397</v>
      </c>
      <c r="L2482">
        <v>1754878</v>
      </c>
      <c r="M2482">
        <v>85405</v>
      </c>
      <c r="N2482">
        <v>110487</v>
      </c>
      <c r="O2482">
        <v>584505</v>
      </c>
      <c r="P2482">
        <v>109</v>
      </c>
      <c r="Q2482" t="s">
        <v>5295</v>
      </c>
    </row>
    <row r="2483" spans="1:17" x14ac:dyDescent="0.3">
      <c r="A2483" t="s">
        <v>4729</v>
      </c>
      <c r="B2483" t="str">
        <f>"000712"</f>
        <v>000712</v>
      </c>
      <c r="C2483" t="s">
        <v>5296</v>
      </c>
      <c r="D2483" t="s">
        <v>80</v>
      </c>
      <c r="F2483">
        <v>133844875</v>
      </c>
      <c r="G2483">
        <v>133050988</v>
      </c>
      <c r="H2483">
        <v>166467880</v>
      </c>
      <c r="I2483">
        <v>126559361</v>
      </c>
      <c r="J2483">
        <v>63317678</v>
      </c>
      <c r="K2483">
        <v>0</v>
      </c>
      <c r="L2483">
        <v>0</v>
      </c>
      <c r="M2483">
        <v>0</v>
      </c>
      <c r="N2483">
        <v>13613724.75</v>
      </c>
      <c r="O2483">
        <v>9594004.3100000005</v>
      </c>
      <c r="P2483">
        <v>557</v>
      </c>
      <c r="Q2483" t="s">
        <v>5297</v>
      </c>
    </row>
    <row r="2484" spans="1:17" x14ac:dyDescent="0.3">
      <c r="A2484" t="s">
        <v>4729</v>
      </c>
      <c r="B2484" t="str">
        <f>"000713"</f>
        <v>000713</v>
      </c>
      <c r="C2484" t="s">
        <v>5298</v>
      </c>
      <c r="D2484" t="s">
        <v>706</v>
      </c>
      <c r="F2484">
        <v>210965969</v>
      </c>
      <c r="G2484">
        <v>226099756</v>
      </c>
      <c r="H2484">
        <v>196868440</v>
      </c>
      <c r="I2484">
        <v>184649961</v>
      </c>
      <c r="J2484">
        <v>69703161</v>
      </c>
      <c r="K2484">
        <v>94546849</v>
      </c>
      <c r="L2484">
        <v>48870729</v>
      </c>
      <c r="M2484">
        <v>79689903</v>
      </c>
      <c r="N2484">
        <v>87083731</v>
      </c>
      <c r="O2484">
        <v>112305463</v>
      </c>
      <c r="P2484">
        <v>237</v>
      </c>
      <c r="Q2484" t="s">
        <v>5299</v>
      </c>
    </row>
    <row r="2485" spans="1:17" x14ac:dyDescent="0.3">
      <c r="A2485" t="s">
        <v>4729</v>
      </c>
      <c r="B2485" t="str">
        <f>"000715"</f>
        <v>000715</v>
      </c>
      <c r="C2485" t="s">
        <v>5300</v>
      </c>
      <c r="D2485" t="s">
        <v>633</v>
      </c>
      <c r="F2485">
        <v>671298</v>
      </c>
      <c r="G2485">
        <v>2079398</v>
      </c>
      <c r="H2485">
        <v>1083661</v>
      </c>
      <c r="I2485">
        <v>542655</v>
      </c>
      <c r="J2485">
        <v>1117042</v>
      </c>
      <c r="K2485">
        <v>1252284</v>
      </c>
      <c r="L2485">
        <v>232232</v>
      </c>
      <c r="M2485">
        <v>76009</v>
      </c>
      <c r="N2485">
        <v>477778</v>
      </c>
      <c r="O2485">
        <v>0</v>
      </c>
      <c r="P2485">
        <v>103</v>
      </c>
      <c r="Q2485" t="s">
        <v>5301</v>
      </c>
    </row>
    <row r="2486" spans="1:17" x14ac:dyDescent="0.3">
      <c r="A2486" t="s">
        <v>4729</v>
      </c>
      <c r="B2486" t="str">
        <f>"000716"</f>
        <v>000716</v>
      </c>
      <c r="C2486" t="s">
        <v>5302</v>
      </c>
      <c r="D2486" t="s">
        <v>2488</v>
      </c>
      <c r="F2486">
        <v>669506017</v>
      </c>
      <c r="G2486">
        <v>851687176</v>
      </c>
      <c r="H2486">
        <v>885313358</v>
      </c>
      <c r="I2486">
        <v>831298416</v>
      </c>
      <c r="J2486">
        <v>715343054</v>
      </c>
      <c r="K2486">
        <v>159063281</v>
      </c>
      <c r="L2486">
        <v>196981423</v>
      </c>
      <c r="M2486">
        <v>153374821</v>
      </c>
      <c r="N2486">
        <v>65260331</v>
      </c>
      <c r="O2486">
        <v>52555207</v>
      </c>
      <c r="P2486">
        <v>163</v>
      </c>
      <c r="Q2486" t="s">
        <v>5303</v>
      </c>
    </row>
    <row r="2487" spans="1:17" x14ac:dyDescent="0.3">
      <c r="A2487" t="s">
        <v>4729</v>
      </c>
      <c r="B2487" t="str">
        <f>"000717"</f>
        <v>000717</v>
      </c>
      <c r="C2487" t="s">
        <v>5304</v>
      </c>
      <c r="D2487" t="s">
        <v>531</v>
      </c>
      <c r="F2487">
        <v>22200586</v>
      </c>
      <c r="G2487">
        <v>40373990</v>
      </c>
      <c r="H2487">
        <v>33154203</v>
      </c>
      <c r="I2487">
        <v>20755487</v>
      </c>
      <c r="J2487">
        <v>505789563</v>
      </c>
      <c r="K2487">
        <v>231461400</v>
      </c>
      <c r="L2487">
        <v>15961409</v>
      </c>
      <c r="M2487">
        <v>180706729</v>
      </c>
      <c r="N2487">
        <v>219324334</v>
      </c>
      <c r="O2487">
        <v>150732167</v>
      </c>
      <c r="P2487">
        <v>681</v>
      </c>
      <c r="Q2487" t="s">
        <v>5305</v>
      </c>
    </row>
    <row r="2488" spans="1:17" x14ac:dyDescent="0.3">
      <c r="A2488" t="s">
        <v>4729</v>
      </c>
      <c r="B2488" t="str">
        <f>"000718"</f>
        <v>000718</v>
      </c>
      <c r="C2488" t="s">
        <v>5306</v>
      </c>
      <c r="D2488" t="s">
        <v>104</v>
      </c>
      <c r="F2488">
        <v>110883218</v>
      </c>
      <c r="G2488">
        <v>91697016</v>
      </c>
      <c r="H2488">
        <v>123338916</v>
      </c>
      <c r="I2488">
        <v>233778761</v>
      </c>
      <c r="J2488">
        <v>568438629</v>
      </c>
      <c r="K2488">
        <v>490718671</v>
      </c>
      <c r="L2488">
        <v>437365299</v>
      </c>
      <c r="M2488">
        <v>169525907</v>
      </c>
      <c r="N2488">
        <v>175883464</v>
      </c>
      <c r="O2488">
        <v>140465377</v>
      </c>
      <c r="P2488">
        <v>659</v>
      </c>
      <c r="Q2488" t="s">
        <v>5307</v>
      </c>
    </row>
    <row r="2489" spans="1:17" x14ac:dyDescent="0.3">
      <c r="A2489" t="s">
        <v>4729</v>
      </c>
      <c r="B2489" t="str">
        <f>"000719"</f>
        <v>000719</v>
      </c>
      <c r="C2489" t="s">
        <v>5308</v>
      </c>
      <c r="D2489" t="s">
        <v>525</v>
      </c>
      <c r="F2489">
        <v>1005348413</v>
      </c>
      <c r="G2489">
        <v>1046390189</v>
      </c>
      <c r="H2489">
        <v>1108941011</v>
      </c>
      <c r="I2489">
        <v>944813009</v>
      </c>
      <c r="J2489">
        <v>1104194619</v>
      </c>
      <c r="K2489">
        <v>1024942227</v>
      </c>
      <c r="L2489">
        <v>830653830</v>
      </c>
      <c r="M2489">
        <v>690006496</v>
      </c>
      <c r="N2489">
        <v>477858383</v>
      </c>
      <c r="O2489">
        <v>337777266</v>
      </c>
      <c r="P2489">
        <v>695</v>
      </c>
      <c r="Q2489" t="s">
        <v>5309</v>
      </c>
    </row>
    <row r="2490" spans="1:17" x14ac:dyDescent="0.3">
      <c r="A2490" t="s">
        <v>4729</v>
      </c>
      <c r="B2490" t="str">
        <f>"000720"</f>
        <v>000720</v>
      </c>
      <c r="C2490" t="s">
        <v>5310</v>
      </c>
      <c r="D2490" t="s">
        <v>194</v>
      </c>
      <c r="F2490">
        <v>1845072095</v>
      </c>
      <c r="G2490">
        <v>1791082870</v>
      </c>
      <c r="H2490">
        <v>774680761</v>
      </c>
      <c r="I2490">
        <v>461587747</v>
      </c>
      <c r="J2490">
        <v>647013571</v>
      </c>
      <c r="K2490">
        <v>590601570</v>
      </c>
      <c r="L2490">
        <v>503457166</v>
      </c>
      <c r="M2490">
        <v>513130755</v>
      </c>
      <c r="N2490">
        <v>485512484</v>
      </c>
      <c r="O2490">
        <v>609776535</v>
      </c>
      <c r="P2490">
        <v>122</v>
      </c>
      <c r="Q2490" t="s">
        <v>5311</v>
      </c>
    </row>
    <row r="2491" spans="1:17" x14ac:dyDescent="0.3">
      <c r="A2491" t="s">
        <v>4729</v>
      </c>
      <c r="B2491" t="str">
        <f>"000721"</f>
        <v>000721</v>
      </c>
      <c r="C2491" t="s">
        <v>5312</v>
      </c>
      <c r="D2491" t="s">
        <v>3598</v>
      </c>
      <c r="F2491">
        <v>42255636</v>
      </c>
      <c r="G2491">
        <v>25982635</v>
      </c>
      <c r="H2491">
        <v>18309146</v>
      </c>
      <c r="I2491">
        <v>27530695</v>
      </c>
      <c r="J2491">
        <v>23842218</v>
      </c>
      <c r="K2491">
        <v>19719589</v>
      </c>
      <c r="L2491">
        <v>11355664</v>
      </c>
      <c r="M2491">
        <v>15537942</v>
      </c>
      <c r="N2491">
        <v>10974169</v>
      </c>
      <c r="O2491">
        <v>7960601</v>
      </c>
      <c r="P2491">
        <v>130</v>
      </c>
      <c r="Q2491" t="s">
        <v>5313</v>
      </c>
    </row>
    <row r="2492" spans="1:17" x14ac:dyDescent="0.3">
      <c r="A2492" t="s">
        <v>4729</v>
      </c>
      <c r="B2492" t="str">
        <f>"000722"</f>
        <v>000722</v>
      </c>
      <c r="C2492" t="s">
        <v>5314</v>
      </c>
      <c r="D2492" t="s">
        <v>66</v>
      </c>
      <c r="F2492">
        <v>22273258</v>
      </c>
      <c r="G2492">
        <v>13965746</v>
      </c>
      <c r="H2492">
        <v>9780561</v>
      </c>
      <c r="I2492">
        <v>32974913</v>
      </c>
      <c r="J2492">
        <v>17226137</v>
      </c>
      <c r="K2492">
        <v>12567849</v>
      </c>
      <c r="L2492">
        <v>22121126</v>
      </c>
      <c r="M2492">
        <v>12954369</v>
      </c>
      <c r="N2492">
        <v>15187448</v>
      </c>
      <c r="O2492">
        <v>13594866</v>
      </c>
      <c r="P2492">
        <v>104</v>
      </c>
      <c r="Q2492" t="s">
        <v>5315</v>
      </c>
    </row>
    <row r="2493" spans="1:17" x14ac:dyDescent="0.3">
      <c r="A2493" t="s">
        <v>4729</v>
      </c>
      <c r="B2493" t="str">
        <f>"000723"</f>
        <v>000723</v>
      </c>
      <c r="C2493" t="s">
        <v>5316</v>
      </c>
      <c r="D2493" t="s">
        <v>885</v>
      </c>
      <c r="F2493">
        <v>1428982619</v>
      </c>
      <c r="G2493">
        <v>2531440158</v>
      </c>
      <c r="H2493">
        <v>1932763647</v>
      </c>
      <c r="I2493">
        <v>2025746668</v>
      </c>
      <c r="J2493">
        <v>958942993</v>
      </c>
      <c r="K2493">
        <v>1118238126</v>
      </c>
      <c r="L2493">
        <v>2243107096</v>
      </c>
      <c r="M2493">
        <v>335869064</v>
      </c>
      <c r="N2493">
        <v>207655105</v>
      </c>
      <c r="O2493">
        <v>167359303</v>
      </c>
      <c r="P2493">
        <v>673</v>
      </c>
      <c r="Q2493" t="s">
        <v>5317</v>
      </c>
    </row>
    <row r="2494" spans="1:17" x14ac:dyDescent="0.3">
      <c r="A2494" t="s">
        <v>4729</v>
      </c>
      <c r="B2494" t="str">
        <f>"000725"</f>
        <v>000725</v>
      </c>
      <c r="C2494" t="s">
        <v>5318</v>
      </c>
      <c r="D2494" t="s">
        <v>1117</v>
      </c>
      <c r="F2494">
        <v>35503414820</v>
      </c>
      <c r="G2494">
        <v>22969140355</v>
      </c>
      <c r="H2494">
        <v>18135687806</v>
      </c>
      <c r="I2494">
        <v>19880680518</v>
      </c>
      <c r="J2494">
        <v>15513763252</v>
      </c>
      <c r="K2494">
        <v>16191791617</v>
      </c>
      <c r="L2494">
        <v>8192514361</v>
      </c>
      <c r="M2494">
        <v>6615762122</v>
      </c>
      <c r="N2494">
        <v>4855938522</v>
      </c>
      <c r="O2494">
        <v>5196041164</v>
      </c>
      <c r="P2494">
        <v>4544</v>
      </c>
      <c r="Q2494" t="s">
        <v>5319</v>
      </c>
    </row>
    <row r="2495" spans="1:17" x14ac:dyDescent="0.3">
      <c r="A2495" t="s">
        <v>4729</v>
      </c>
      <c r="B2495" t="str">
        <f>"000726"</f>
        <v>000726</v>
      </c>
      <c r="C2495" t="s">
        <v>5320</v>
      </c>
      <c r="D2495" t="s">
        <v>1009</v>
      </c>
      <c r="F2495">
        <v>647277199</v>
      </c>
      <c r="G2495">
        <v>522425220</v>
      </c>
      <c r="H2495">
        <v>515306600</v>
      </c>
      <c r="I2495">
        <v>374607117</v>
      </c>
      <c r="J2495">
        <v>334080524</v>
      </c>
      <c r="K2495">
        <v>293129728</v>
      </c>
      <c r="L2495">
        <v>262848043</v>
      </c>
      <c r="M2495">
        <v>211970554</v>
      </c>
      <c r="N2495">
        <v>280434880</v>
      </c>
      <c r="O2495">
        <v>228133619</v>
      </c>
      <c r="P2495">
        <v>980</v>
      </c>
      <c r="Q2495" t="s">
        <v>5321</v>
      </c>
    </row>
    <row r="2496" spans="1:17" x14ac:dyDescent="0.3">
      <c r="A2496" t="s">
        <v>4729</v>
      </c>
      <c r="B2496" t="str">
        <f>"000727"</f>
        <v>000727</v>
      </c>
      <c r="C2496" t="s">
        <v>5322</v>
      </c>
      <c r="D2496" t="s">
        <v>1117</v>
      </c>
      <c r="F2496">
        <v>11062980998</v>
      </c>
      <c r="G2496">
        <v>9914191106</v>
      </c>
      <c r="H2496">
        <v>720972083</v>
      </c>
      <c r="I2496">
        <v>824600357</v>
      </c>
      <c r="J2496">
        <v>797976354</v>
      </c>
      <c r="K2496">
        <v>414529983</v>
      </c>
      <c r="L2496">
        <v>487370879</v>
      </c>
      <c r="M2496">
        <v>242594028</v>
      </c>
      <c r="N2496">
        <v>201835001</v>
      </c>
      <c r="O2496">
        <v>154539619</v>
      </c>
      <c r="P2496">
        <v>197</v>
      </c>
      <c r="Q2496" t="s">
        <v>5323</v>
      </c>
    </row>
    <row r="2497" spans="1:17" x14ac:dyDescent="0.3">
      <c r="A2497" t="s">
        <v>4729</v>
      </c>
      <c r="B2497" t="str">
        <f>"000728"</f>
        <v>000728</v>
      </c>
      <c r="C2497" t="s">
        <v>5324</v>
      </c>
      <c r="D2497" t="s">
        <v>80</v>
      </c>
      <c r="F2497">
        <v>377070070</v>
      </c>
      <c r="G2497">
        <v>485733686</v>
      </c>
      <c r="H2497">
        <v>637049750</v>
      </c>
      <c r="I2497">
        <v>323062939</v>
      </c>
      <c r="J2497">
        <v>431187080</v>
      </c>
      <c r="K2497">
        <v>653505903</v>
      </c>
      <c r="L2497">
        <v>0</v>
      </c>
      <c r="M2497">
        <v>0</v>
      </c>
      <c r="N2497">
        <v>0</v>
      </c>
      <c r="O2497">
        <v>0</v>
      </c>
      <c r="P2497">
        <v>1900</v>
      </c>
      <c r="Q2497" t="s">
        <v>5325</v>
      </c>
    </row>
    <row r="2498" spans="1:17" x14ac:dyDescent="0.3">
      <c r="A2498" t="s">
        <v>4729</v>
      </c>
      <c r="B2498" t="str">
        <f>"000729"</f>
        <v>000729</v>
      </c>
      <c r="C2498" t="s">
        <v>5326</v>
      </c>
      <c r="D2498" t="s">
        <v>319</v>
      </c>
      <c r="F2498">
        <v>190801262</v>
      </c>
      <c r="G2498">
        <v>186645912</v>
      </c>
      <c r="H2498">
        <v>245278567</v>
      </c>
      <c r="I2498">
        <v>244266265</v>
      </c>
      <c r="J2498">
        <v>177252244</v>
      </c>
      <c r="K2498">
        <v>203127042</v>
      </c>
      <c r="L2498">
        <v>132458378</v>
      </c>
      <c r="M2498">
        <v>135080329</v>
      </c>
      <c r="N2498">
        <v>123187731</v>
      </c>
      <c r="O2498">
        <v>122123799</v>
      </c>
      <c r="P2498">
        <v>607</v>
      </c>
      <c r="Q2498" t="s">
        <v>5327</v>
      </c>
    </row>
    <row r="2499" spans="1:17" x14ac:dyDescent="0.3">
      <c r="A2499" t="s">
        <v>4729</v>
      </c>
      <c r="B2499" t="str">
        <f>"000730"</f>
        <v>000730</v>
      </c>
      <c r="C2499" t="s">
        <v>5328</v>
      </c>
      <c r="K2499">
        <v>106593621.14</v>
      </c>
      <c r="L2499">
        <v>50935572.670000002</v>
      </c>
      <c r="M2499">
        <v>0</v>
      </c>
      <c r="N2499">
        <v>0</v>
      </c>
      <c r="O2499">
        <v>0</v>
      </c>
      <c r="P2499">
        <v>4</v>
      </c>
      <c r="Q2499" t="s">
        <v>5329</v>
      </c>
    </row>
    <row r="2500" spans="1:17" x14ac:dyDescent="0.3">
      <c r="A2500" t="s">
        <v>4729</v>
      </c>
      <c r="B2500" t="str">
        <f>"000731"</f>
        <v>000731</v>
      </c>
      <c r="C2500" t="s">
        <v>5330</v>
      </c>
      <c r="D2500" t="s">
        <v>909</v>
      </c>
      <c r="F2500">
        <v>61409525</v>
      </c>
      <c r="G2500">
        <v>81098495</v>
      </c>
      <c r="H2500">
        <v>49217920</v>
      </c>
      <c r="I2500">
        <v>47467240</v>
      </c>
      <c r="J2500">
        <v>42810466</v>
      </c>
      <c r="K2500">
        <v>56546976</v>
      </c>
      <c r="L2500">
        <v>218670021</v>
      </c>
      <c r="M2500">
        <v>73251824</v>
      </c>
      <c r="N2500">
        <v>76995254</v>
      </c>
      <c r="O2500">
        <v>49146525</v>
      </c>
      <c r="P2500">
        <v>127</v>
      </c>
      <c r="Q2500" t="s">
        <v>5331</v>
      </c>
    </row>
    <row r="2501" spans="1:17" x14ac:dyDescent="0.3">
      <c r="A2501" t="s">
        <v>4729</v>
      </c>
      <c r="B2501" t="str">
        <f>"000732"</f>
        <v>000732</v>
      </c>
      <c r="C2501" t="s">
        <v>5332</v>
      </c>
      <c r="D2501" t="s">
        <v>104</v>
      </c>
      <c r="F2501">
        <v>527661330</v>
      </c>
      <c r="G2501">
        <v>829603150</v>
      </c>
      <c r="H2501">
        <v>1469018544</v>
      </c>
      <c r="I2501">
        <v>1187614642</v>
      </c>
      <c r="J2501">
        <v>1281448400</v>
      </c>
      <c r="K2501">
        <v>924953666</v>
      </c>
      <c r="L2501">
        <v>504654281</v>
      </c>
      <c r="M2501">
        <v>429404854</v>
      </c>
      <c r="N2501">
        <v>440028124</v>
      </c>
      <c r="O2501">
        <v>327534385</v>
      </c>
      <c r="P2501">
        <v>438</v>
      </c>
      <c r="Q2501" t="s">
        <v>5333</v>
      </c>
    </row>
    <row r="2502" spans="1:17" x14ac:dyDescent="0.3">
      <c r="A2502" t="s">
        <v>4729</v>
      </c>
      <c r="B2502" t="str">
        <f>"000733"</f>
        <v>000733</v>
      </c>
      <c r="C2502" t="s">
        <v>5334</v>
      </c>
      <c r="D2502" t="s">
        <v>1136</v>
      </c>
      <c r="F2502">
        <v>1480493149</v>
      </c>
      <c r="G2502">
        <v>1312302627</v>
      </c>
      <c r="H2502">
        <v>1361338817</v>
      </c>
      <c r="I2502">
        <v>1524584030</v>
      </c>
      <c r="J2502">
        <v>1358299424</v>
      </c>
      <c r="K2502">
        <v>1324346276</v>
      </c>
      <c r="L2502">
        <v>1032455281</v>
      </c>
      <c r="M2502">
        <v>845516538</v>
      </c>
      <c r="N2502">
        <v>728396312</v>
      </c>
      <c r="O2502">
        <v>705708433</v>
      </c>
      <c r="P2502">
        <v>489</v>
      </c>
      <c r="Q2502" t="s">
        <v>5335</v>
      </c>
    </row>
    <row r="2503" spans="1:17" x14ac:dyDescent="0.3">
      <c r="A2503" t="s">
        <v>4729</v>
      </c>
      <c r="B2503" t="str">
        <f>"000735"</f>
        <v>000735</v>
      </c>
      <c r="C2503" t="s">
        <v>5336</v>
      </c>
      <c r="D2503" t="s">
        <v>1900</v>
      </c>
      <c r="F2503">
        <v>29979056</v>
      </c>
      <c r="G2503">
        <v>29115326</v>
      </c>
      <c r="H2503">
        <v>21790673</v>
      </c>
      <c r="I2503">
        <v>36573195</v>
      </c>
      <c r="J2503">
        <v>25139838</v>
      </c>
      <c r="K2503">
        <v>29389065</v>
      </c>
      <c r="L2503">
        <v>69854924</v>
      </c>
      <c r="M2503">
        <v>61812434</v>
      </c>
      <c r="N2503">
        <v>75825392</v>
      </c>
      <c r="O2503">
        <v>20874017</v>
      </c>
      <c r="P2503">
        <v>290</v>
      </c>
      <c r="Q2503" t="s">
        <v>5337</v>
      </c>
    </row>
    <row r="2504" spans="1:17" x14ac:dyDescent="0.3">
      <c r="A2504" t="s">
        <v>4729</v>
      </c>
      <c r="B2504" t="str">
        <f>"000736"</f>
        <v>000736</v>
      </c>
      <c r="C2504" t="s">
        <v>5338</v>
      </c>
      <c r="D2504" t="s">
        <v>104</v>
      </c>
      <c r="F2504">
        <v>47291748</v>
      </c>
      <c r="G2504">
        <v>11925154</v>
      </c>
      <c r="H2504">
        <v>22000451</v>
      </c>
      <c r="I2504">
        <v>89234534</v>
      </c>
      <c r="J2504">
        <v>2385606</v>
      </c>
      <c r="K2504">
        <v>11697027</v>
      </c>
      <c r="L2504">
        <v>0</v>
      </c>
      <c r="M2504">
        <v>38804</v>
      </c>
      <c r="N2504">
        <v>27401</v>
      </c>
      <c r="O2504">
        <v>87714</v>
      </c>
      <c r="P2504">
        <v>189</v>
      </c>
      <c r="Q2504" t="s">
        <v>5339</v>
      </c>
    </row>
    <row r="2505" spans="1:17" x14ac:dyDescent="0.3">
      <c r="A2505" t="s">
        <v>4729</v>
      </c>
      <c r="B2505" t="str">
        <f>"000737"</f>
        <v>000737</v>
      </c>
      <c r="C2505" t="s">
        <v>5340</v>
      </c>
      <c r="D2505" t="s">
        <v>736</v>
      </c>
      <c r="F2505">
        <v>146637</v>
      </c>
      <c r="G2505">
        <v>95748649</v>
      </c>
      <c r="H2505">
        <v>114579872</v>
      </c>
      <c r="I2505">
        <v>71500803</v>
      </c>
      <c r="J2505">
        <v>342216254</v>
      </c>
      <c r="K2505">
        <v>405423248</v>
      </c>
      <c r="L2505">
        <v>406992484</v>
      </c>
      <c r="M2505">
        <v>379025262</v>
      </c>
      <c r="N2505">
        <v>323611350</v>
      </c>
      <c r="O2505">
        <v>258568908</v>
      </c>
      <c r="P2505">
        <v>83</v>
      </c>
      <c r="Q2505" t="s">
        <v>5341</v>
      </c>
    </row>
    <row r="2506" spans="1:17" x14ac:dyDescent="0.3">
      <c r="A2506" t="s">
        <v>4729</v>
      </c>
      <c r="B2506" t="str">
        <f>"000738"</f>
        <v>000738</v>
      </c>
      <c r="C2506" t="s">
        <v>5342</v>
      </c>
      <c r="D2506" t="s">
        <v>98</v>
      </c>
      <c r="F2506">
        <v>836506797</v>
      </c>
      <c r="G2506">
        <v>1024003733</v>
      </c>
      <c r="H2506">
        <v>762451510</v>
      </c>
      <c r="I2506">
        <v>1040179842</v>
      </c>
      <c r="J2506">
        <v>865156128</v>
      </c>
      <c r="K2506">
        <v>1292923248</v>
      </c>
      <c r="L2506">
        <v>831935784</v>
      </c>
      <c r="M2506">
        <v>913410793</v>
      </c>
      <c r="N2506">
        <v>948942779</v>
      </c>
      <c r="O2506">
        <v>771327084</v>
      </c>
      <c r="P2506">
        <v>324</v>
      </c>
      <c r="Q2506" t="s">
        <v>5343</v>
      </c>
    </row>
    <row r="2507" spans="1:17" x14ac:dyDescent="0.3">
      <c r="A2507" t="s">
        <v>4729</v>
      </c>
      <c r="B2507" t="str">
        <f>"000739"</f>
        <v>000739</v>
      </c>
      <c r="C2507" t="s">
        <v>5344</v>
      </c>
      <c r="D2507" t="s">
        <v>496</v>
      </c>
      <c r="F2507">
        <v>1446516970</v>
      </c>
      <c r="G2507">
        <v>1084025009</v>
      </c>
      <c r="H2507">
        <v>1025138596</v>
      </c>
      <c r="I2507">
        <v>1024424679</v>
      </c>
      <c r="J2507">
        <v>1093732323</v>
      </c>
      <c r="K2507">
        <v>923650225</v>
      </c>
      <c r="L2507">
        <v>688076239</v>
      </c>
      <c r="M2507">
        <v>728205456</v>
      </c>
      <c r="N2507">
        <v>636502351</v>
      </c>
      <c r="O2507">
        <v>580820781</v>
      </c>
      <c r="P2507">
        <v>758</v>
      </c>
      <c r="Q2507" t="s">
        <v>5345</v>
      </c>
    </row>
    <row r="2508" spans="1:17" x14ac:dyDescent="0.3">
      <c r="A2508" t="s">
        <v>4729</v>
      </c>
      <c r="B2508" t="str">
        <f>"000748"</f>
        <v>000748</v>
      </c>
      <c r="C2508" t="s">
        <v>5346</v>
      </c>
      <c r="K2508">
        <v>352116721.99000001</v>
      </c>
      <c r="L2508">
        <v>456640201.69999999</v>
      </c>
      <c r="M2508">
        <v>468424421.63999999</v>
      </c>
      <c r="N2508">
        <v>442058065.94999999</v>
      </c>
      <c r="O2508">
        <v>291601888.94</v>
      </c>
      <c r="P2508">
        <v>8</v>
      </c>
      <c r="Q2508" t="s">
        <v>5347</v>
      </c>
    </row>
    <row r="2509" spans="1:17" x14ac:dyDescent="0.3">
      <c r="A2509" t="s">
        <v>4729</v>
      </c>
      <c r="B2509" t="str">
        <f>"000750"</f>
        <v>000750</v>
      </c>
      <c r="C2509" t="s">
        <v>5348</v>
      </c>
      <c r="D2509" t="s">
        <v>80</v>
      </c>
      <c r="F2509">
        <v>561676744</v>
      </c>
      <c r="G2509">
        <v>170083257</v>
      </c>
      <c r="H2509">
        <v>118231356</v>
      </c>
      <c r="I2509">
        <v>173676803</v>
      </c>
      <c r="J2509">
        <v>94937786</v>
      </c>
      <c r="K2509">
        <v>2653103661</v>
      </c>
      <c r="L2509">
        <v>0</v>
      </c>
      <c r="M2509">
        <v>0</v>
      </c>
      <c r="N2509">
        <v>0</v>
      </c>
      <c r="O2509">
        <v>0</v>
      </c>
      <c r="P2509">
        <v>1038</v>
      </c>
      <c r="Q2509" t="s">
        <v>5349</v>
      </c>
    </row>
    <row r="2510" spans="1:17" x14ac:dyDescent="0.3">
      <c r="A2510" t="s">
        <v>4729</v>
      </c>
      <c r="B2510" t="str">
        <f>"000751"</f>
        <v>000751</v>
      </c>
      <c r="C2510" t="s">
        <v>5350</v>
      </c>
      <c r="D2510" t="s">
        <v>744</v>
      </c>
      <c r="F2510">
        <v>224122054</v>
      </c>
      <c r="G2510">
        <v>154945162</v>
      </c>
      <c r="H2510">
        <v>157126024</v>
      </c>
      <c r="I2510">
        <v>136345954</v>
      </c>
      <c r="J2510">
        <v>55904139</v>
      </c>
      <c r="K2510">
        <v>66724929</v>
      </c>
      <c r="L2510">
        <v>94378879</v>
      </c>
      <c r="M2510">
        <v>80634527</v>
      </c>
      <c r="N2510">
        <v>56261717</v>
      </c>
      <c r="O2510">
        <v>51332556</v>
      </c>
      <c r="P2510">
        <v>128</v>
      </c>
      <c r="Q2510" t="s">
        <v>5351</v>
      </c>
    </row>
    <row r="2511" spans="1:17" x14ac:dyDescent="0.3">
      <c r="A2511" t="s">
        <v>4729</v>
      </c>
      <c r="B2511" t="str">
        <f>"000752"</f>
        <v>000752</v>
      </c>
      <c r="C2511" t="s">
        <v>5352</v>
      </c>
      <c r="D2511" t="s">
        <v>319</v>
      </c>
      <c r="F2511">
        <v>31232975</v>
      </c>
      <c r="G2511">
        <v>0</v>
      </c>
      <c r="H2511">
        <v>0</v>
      </c>
      <c r="I2511">
        <v>2779195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91735</v>
      </c>
      <c r="P2511">
        <v>103</v>
      </c>
      <c r="Q2511" t="s">
        <v>5353</v>
      </c>
    </row>
    <row r="2512" spans="1:17" x14ac:dyDescent="0.3">
      <c r="A2512" t="s">
        <v>4729</v>
      </c>
      <c r="B2512" t="str">
        <f>"000753"</f>
        <v>000753</v>
      </c>
      <c r="C2512" t="s">
        <v>5354</v>
      </c>
      <c r="D2512" t="s">
        <v>110</v>
      </c>
      <c r="F2512">
        <v>466722949</v>
      </c>
      <c r="G2512">
        <v>384305690</v>
      </c>
      <c r="H2512">
        <v>129740937</v>
      </c>
      <c r="I2512">
        <v>200954069</v>
      </c>
      <c r="J2512">
        <v>101941892</v>
      </c>
      <c r="K2512">
        <v>78079044</v>
      </c>
      <c r="L2512">
        <v>211966998</v>
      </c>
      <c r="M2512">
        <v>71107226</v>
      </c>
      <c r="N2512">
        <v>74988292</v>
      </c>
      <c r="O2512">
        <v>189239833</v>
      </c>
      <c r="P2512">
        <v>85</v>
      </c>
      <c r="Q2512" t="s">
        <v>5355</v>
      </c>
    </row>
    <row r="2513" spans="1:17" x14ac:dyDescent="0.3">
      <c r="A2513" t="s">
        <v>4729</v>
      </c>
      <c r="B2513" t="str">
        <f>"000755"</f>
        <v>000755</v>
      </c>
      <c r="C2513" t="s">
        <v>5356</v>
      </c>
      <c r="D2513" t="s">
        <v>44</v>
      </c>
      <c r="F2513">
        <v>128698740</v>
      </c>
      <c r="G2513">
        <v>131654855</v>
      </c>
      <c r="H2513">
        <v>105761186</v>
      </c>
      <c r="I2513">
        <v>58867951</v>
      </c>
      <c r="J2513">
        <v>52711461</v>
      </c>
      <c r="K2513">
        <v>87807788</v>
      </c>
      <c r="L2513">
        <v>118264398</v>
      </c>
      <c r="M2513">
        <v>121255324</v>
      </c>
      <c r="N2513">
        <v>100049468</v>
      </c>
      <c r="O2513">
        <v>120632491</v>
      </c>
      <c r="P2513">
        <v>96</v>
      </c>
      <c r="Q2513" t="s">
        <v>5357</v>
      </c>
    </row>
    <row r="2514" spans="1:17" x14ac:dyDescent="0.3">
      <c r="A2514" t="s">
        <v>4729</v>
      </c>
      <c r="B2514" t="str">
        <f>"000756"</f>
        <v>000756</v>
      </c>
      <c r="C2514" t="s">
        <v>5358</v>
      </c>
      <c r="D2514" t="s">
        <v>496</v>
      </c>
      <c r="F2514">
        <v>658568486</v>
      </c>
      <c r="G2514">
        <v>379909305</v>
      </c>
      <c r="H2514">
        <v>309307456</v>
      </c>
      <c r="I2514">
        <v>342233818</v>
      </c>
      <c r="J2514">
        <v>312616985</v>
      </c>
      <c r="K2514">
        <v>343392085</v>
      </c>
      <c r="L2514">
        <v>314348373</v>
      </c>
      <c r="M2514">
        <v>311949545</v>
      </c>
      <c r="N2514">
        <v>297387774</v>
      </c>
      <c r="O2514">
        <v>255710229</v>
      </c>
      <c r="P2514">
        <v>218</v>
      </c>
      <c r="Q2514" t="s">
        <v>5359</v>
      </c>
    </row>
    <row r="2515" spans="1:17" x14ac:dyDescent="0.3">
      <c r="A2515" t="s">
        <v>4729</v>
      </c>
      <c r="B2515" t="str">
        <f>"000757"</f>
        <v>000757</v>
      </c>
      <c r="C2515" t="s">
        <v>5360</v>
      </c>
      <c r="D2515" t="s">
        <v>2368</v>
      </c>
      <c r="F2515">
        <v>172042390</v>
      </c>
      <c r="G2515">
        <v>173298707</v>
      </c>
      <c r="H2515">
        <v>170077862</v>
      </c>
      <c r="I2515">
        <v>110282121</v>
      </c>
      <c r="J2515">
        <v>131496195</v>
      </c>
      <c r="K2515">
        <v>116233800</v>
      </c>
      <c r="L2515">
        <v>94168034</v>
      </c>
      <c r="M2515">
        <v>75549486</v>
      </c>
      <c r="N2515">
        <v>100685345</v>
      </c>
      <c r="O2515">
        <v>137251820</v>
      </c>
      <c r="P2515">
        <v>88</v>
      </c>
      <c r="Q2515" t="s">
        <v>5361</v>
      </c>
    </row>
    <row r="2516" spans="1:17" x14ac:dyDescent="0.3">
      <c r="A2516" t="s">
        <v>4729</v>
      </c>
      <c r="B2516" t="str">
        <f>"000758"</f>
        <v>000758</v>
      </c>
      <c r="C2516" t="s">
        <v>5362</v>
      </c>
      <c r="D2516" t="s">
        <v>744</v>
      </c>
      <c r="F2516">
        <v>864145573</v>
      </c>
      <c r="G2516">
        <v>1110878840</v>
      </c>
      <c r="H2516">
        <v>2083798747</v>
      </c>
      <c r="I2516">
        <v>3771145354</v>
      </c>
      <c r="J2516">
        <v>4982298573</v>
      </c>
      <c r="K2516">
        <v>5623836481</v>
      </c>
      <c r="L2516">
        <v>2552995814</v>
      </c>
      <c r="M2516">
        <v>2592228422</v>
      </c>
      <c r="N2516">
        <v>1670887373</v>
      </c>
      <c r="O2516">
        <v>1689760615</v>
      </c>
      <c r="P2516">
        <v>177</v>
      </c>
      <c r="Q2516" t="s">
        <v>5363</v>
      </c>
    </row>
    <row r="2517" spans="1:17" x14ac:dyDescent="0.3">
      <c r="A2517" t="s">
        <v>4729</v>
      </c>
      <c r="B2517" t="str">
        <f>"000759"</f>
        <v>000759</v>
      </c>
      <c r="C2517" t="s">
        <v>5364</v>
      </c>
      <c r="D2517" t="s">
        <v>798</v>
      </c>
      <c r="F2517">
        <v>150379587</v>
      </c>
      <c r="G2517">
        <v>121900110</v>
      </c>
      <c r="H2517">
        <v>122401053</v>
      </c>
      <c r="I2517">
        <v>80097695</v>
      </c>
      <c r="J2517">
        <v>85265606</v>
      </c>
      <c r="K2517">
        <v>64492128</v>
      </c>
      <c r="L2517">
        <v>65906663</v>
      </c>
      <c r="M2517">
        <v>100779135</v>
      </c>
      <c r="N2517">
        <v>76774069</v>
      </c>
      <c r="O2517">
        <v>78215099</v>
      </c>
      <c r="P2517">
        <v>153</v>
      </c>
      <c r="Q2517" t="s">
        <v>5365</v>
      </c>
    </row>
    <row r="2518" spans="1:17" x14ac:dyDescent="0.3">
      <c r="A2518" t="s">
        <v>4729</v>
      </c>
      <c r="B2518" t="str">
        <f>"000760"</f>
        <v>000760</v>
      </c>
      <c r="C2518" t="s">
        <v>5366</v>
      </c>
      <c r="G2518">
        <v>925244</v>
      </c>
      <c r="H2518">
        <v>866530</v>
      </c>
      <c r="I2518">
        <v>2604981</v>
      </c>
      <c r="J2518">
        <v>36351062</v>
      </c>
      <c r="K2518">
        <v>96791288</v>
      </c>
      <c r="L2518">
        <v>59761103</v>
      </c>
      <c r="M2518">
        <v>215554924</v>
      </c>
      <c r="N2518">
        <v>237672744</v>
      </c>
      <c r="O2518">
        <v>166168856</v>
      </c>
      <c r="P2518">
        <v>59</v>
      </c>
      <c r="Q2518" t="s">
        <v>5367</v>
      </c>
    </row>
    <row r="2519" spans="1:17" x14ac:dyDescent="0.3">
      <c r="A2519" t="s">
        <v>4729</v>
      </c>
      <c r="B2519" t="str">
        <f>"000761"</f>
        <v>000761</v>
      </c>
      <c r="C2519" t="s">
        <v>5368</v>
      </c>
      <c r="D2519" t="s">
        <v>38</v>
      </c>
      <c r="F2519">
        <v>256850783</v>
      </c>
      <c r="G2519">
        <v>245217183</v>
      </c>
      <c r="H2519">
        <v>235696266</v>
      </c>
      <c r="I2519">
        <v>639482481</v>
      </c>
      <c r="J2519">
        <v>728597926</v>
      </c>
      <c r="K2519">
        <v>623865427</v>
      </c>
      <c r="L2519">
        <v>488584625</v>
      </c>
      <c r="M2519">
        <v>487767042</v>
      </c>
      <c r="N2519">
        <v>354770644</v>
      </c>
      <c r="O2519">
        <v>285077905</v>
      </c>
      <c r="P2519">
        <v>237</v>
      </c>
      <c r="Q2519" t="s">
        <v>5369</v>
      </c>
    </row>
    <row r="2520" spans="1:17" x14ac:dyDescent="0.3">
      <c r="A2520" t="s">
        <v>4729</v>
      </c>
      <c r="B2520" t="str">
        <f>"000762"</f>
        <v>000762</v>
      </c>
      <c r="C2520" t="s">
        <v>5370</v>
      </c>
      <c r="D2520" t="s">
        <v>5371</v>
      </c>
      <c r="F2520">
        <v>39097</v>
      </c>
      <c r="G2520">
        <v>17974142</v>
      </c>
      <c r="H2520">
        <v>97016055</v>
      </c>
      <c r="I2520">
        <v>139199574</v>
      </c>
      <c r="J2520">
        <v>110698631</v>
      </c>
      <c r="K2520">
        <v>80094269</v>
      </c>
      <c r="L2520">
        <v>189065393</v>
      </c>
      <c r="M2520">
        <v>219406112</v>
      </c>
      <c r="N2520">
        <v>210038648</v>
      </c>
      <c r="O2520">
        <v>168589994</v>
      </c>
      <c r="P2520">
        <v>257</v>
      </c>
      <c r="Q2520" t="s">
        <v>5372</v>
      </c>
    </row>
    <row r="2521" spans="1:17" x14ac:dyDescent="0.3">
      <c r="A2521" t="s">
        <v>4729</v>
      </c>
      <c r="B2521" t="str">
        <f>"000765"</f>
        <v>000765</v>
      </c>
      <c r="C2521" t="s">
        <v>5373</v>
      </c>
      <c r="K2521">
        <v>224756995.88999999</v>
      </c>
      <c r="L2521">
        <v>3438128.72</v>
      </c>
      <c r="M2521">
        <v>1276800</v>
      </c>
      <c r="N2521">
        <v>0</v>
      </c>
      <c r="O2521">
        <v>0</v>
      </c>
      <c r="P2521">
        <v>4</v>
      </c>
      <c r="Q2521" t="s">
        <v>5374</v>
      </c>
    </row>
    <row r="2522" spans="1:17" x14ac:dyDescent="0.3">
      <c r="A2522" t="s">
        <v>4729</v>
      </c>
      <c r="B2522" t="str">
        <f>"000766"</f>
        <v>000766</v>
      </c>
      <c r="C2522" t="s">
        <v>5375</v>
      </c>
      <c r="D2522" t="s">
        <v>143</v>
      </c>
      <c r="F2522">
        <v>350611810</v>
      </c>
      <c r="G2522">
        <v>434626992</v>
      </c>
      <c r="H2522">
        <v>739509887</v>
      </c>
      <c r="I2522">
        <v>636589591</v>
      </c>
      <c r="J2522">
        <v>418711700</v>
      </c>
      <c r="K2522">
        <v>252244729</v>
      </c>
      <c r="L2522">
        <v>122380927</v>
      </c>
      <c r="M2522">
        <v>43418059</v>
      </c>
      <c r="N2522">
        <v>89498936</v>
      </c>
      <c r="O2522">
        <v>137711120</v>
      </c>
      <c r="P2522">
        <v>146</v>
      </c>
      <c r="Q2522" t="s">
        <v>5376</v>
      </c>
    </row>
    <row r="2523" spans="1:17" x14ac:dyDescent="0.3">
      <c r="A2523" t="s">
        <v>4729</v>
      </c>
      <c r="B2523" t="str">
        <f>"000767"</f>
        <v>000767</v>
      </c>
      <c r="C2523" t="s">
        <v>5377</v>
      </c>
      <c r="D2523" t="s">
        <v>41</v>
      </c>
      <c r="F2523">
        <v>6210303001</v>
      </c>
      <c r="G2523">
        <v>4981780921</v>
      </c>
      <c r="H2523">
        <v>3805400327</v>
      </c>
      <c r="I2523">
        <v>3009413931</v>
      </c>
      <c r="J2523">
        <v>2554753386</v>
      </c>
      <c r="K2523">
        <v>1964216251</v>
      </c>
      <c r="L2523">
        <v>1482986534</v>
      </c>
      <c r="M2523">
        <v>1330072055</v>
      </c>
      <c r="N2523">
        <v>1445790820</v>
      </c>
      <c r="O2523">
        <v>744831084</v>
      </c>
      <c r="P2523">
        <v>173</v>
      </c>
      <c r="Q2523" t="s">
        <v>5378</v>
      </c>
    </row>
    <row r="2524" spans="1:17" x14ac:dyDescent="0.3">
      <c r="A2524" t="s">
        <v>4729</v>
      </c>
      <c r="B2524" t="str">
        <f>"000768"</f>
        <v>000768</v>
      </c>
      <c r="C2524" t="s">
        <v>5379</v>
      </c>
      <c r="D2524" t="s">
        <v>98</v>
      </c>
      <c r="F2524">
        <v>18429350183</v>
      </c>
      <c r="G2524">
        <v>3912812341</v>
      </c>
      <c r="H2524">
        <v>12650830679</v>
      </c>
      <c r="I2524">
        <v>11459419589</v>
      </c>
      <c r="J2524">
        <v>8921626413</v>
      </c>
      <c r="K2524">
        <v>4416198011</v>
      </c>
      <c r="L2524">
        <v>6689938615</v>
      </c>
      <c r="M2524">
        <v>8254364393</v>
      </c>
      <c r="N2524">
        <v>5154283148</v>
      </c>
      <c r="O2524">
        <v>5979782532</v>
      </c>
      <c r="P2524">
        <v>662</v>
      </c>
      <c r="Q2524" t="s">
        <v>5380</v>
      </c>
    </row>
    <row r="2525" spans="1:17" x14ac:dyDescent="0.3">
      <c r="A2525" t="s">
        <v>4729</v>
      </c>
      <c r="B2525" t="str">
        <f>"000769"</f>
        <v>000769</v>
      </c>
      <c r="C2525" t="s">
        <v>5381</v>
      </c>
      <c r="K2525">
        <v>2954814.97</v>
      </c>
      <c r="L2525">
        <v>291000</v>
      </c>
      <c r="P2525">
        <v>3</v>
      </c>
      <c r="Q2525" t="s">
        <v>5382</v>
      </c>
    </row>
    <row r="2526" spans="1:17" x14ac:dyDescent="0.3">
      <c r="A2526" t="s">
        <v>4729</v>
      </c>
      <c r="B2526" t="str">
        <f>"000776"</f>
        <v>000776</v>
      </c>
      <c r="C2526" t="s">
        <v>5383</v>
      </c>
      <c r="D2526" t="s">
        <v>80</v>
      </c>
      <c r="F2526">
        <v>4892762995</v>
      </c>
      <c r="G2526">
        <v>3404173075</v>
      </c>
      <c r="H2526">
        <v>2373089661</v>
      </c>
      <c r="I2526">
        <v>4283667848</v>
      </c>
      <c r="J2526">
        <v>3509676183</v>
      </c>
      <c r="K2526">
        <v>2218161384</v>
      </c>
      <c r="L2526">
        <v>0</v>
      </c>
      <c r="M2526">
        <v>0</v>
      </c>
      <c r="N2526">
        <v>0</v>
      </c>
      <c r="O2526">
        <v>0</v>
      </c>
      <c r="P2526">
        <v>3522</v>
      </c>
      <c r="Q2526" t="s">
        <v>5384</v>
      </c>
    </row>
    <row r="2527" spans="1:17" x14ac:dyDescent="0.3">
      <c r="A2527" t="s">
        <v>4729</v>
      </c>
      <c r="B2527" t="str">
        <f>"000777"</f>
        <v>000777</v>
      </c>
      <c r="C2527" t="s">
        <v>5385</v>
      </c>
      <c r="D2527" t="s">
        <v>274</v>
      </c>
      <c r="F2527">
        <v>776485031</v>
      </c>
      <c r="G2527">
        <v>687981528</v>
      </c>
      <c r="H2527">
        <v>751372097</v>
      </c>
      <c r="I2527">
        <v>687742027</v>
      </c>
      <c r="J2527">
        <v>652716978</v>
      </c>
      <c r="K2527">
        <v>573873492</v>
      </c>
      <c r="L2527">
        <v>437688639</v>
      </c>
      <c r="M2527">
        <v>334368116</v>
      </c>
      <c r="N2527">
        <v>250347485</v>
      </c>
      <c r="O2527">
        <v>328853762</v>
      </c>
      <c r="P2527">
        <v>131</v>
      </c>
      <c r="Q2527" t="s">
        <v>5386</v>
      </c>
    </row>
    <row r="2528" spans="1:17" x14ac:dyDescent="0.3">
      <c r="A2528" t="s">
        <v>4729</v>
      </c>
      <c r="B2528" t="str">
        <f>"000778"</f>
        <v>000778</v>
      </c>
      <c r="C2528" t="s">
        <v>5387</v>
      </c>
      <c r="D2528" t="s">
        <v>2238</v>
      </c>
      <c r="F2528">
        <v>2092772631</v>
      </c>
      <c r="G2528">
        <v>2034585223</v>
      </c>
      <c r="H2528">
        <v>1879965468</v>
      </c>
      <c r="I2528">
        <v>1692015514</v>
      </c>
      <c r="J2528">
        <v>1592645929</v>
      </c>
      <c r="K2528">
        <v>1540300843</v>
      </c>
      <c r="L2528">
        <v>1577563604</v>
      </c>
      <c r="M2528">
        <v>1550316136</v>
      </c>
      <c r="N2528">
        <v>1350668718</v>
      </c>
      <c r="O2528">
        <v>1163733928</v>
      </c>
      <c r="P2528">
        <v>674</v>
      </c>
      <c r="Q2528" t="s">
        <v>5388</v>
      </c>
    </row>
    <row r="2529" spans="1:17" x14ac:dyDescent="0.3">
      <c r="A2529" t="s">
        <v>4729</v>
      </c>
      <c r="B2529" t="str">
        <f>"000779"</f>
        <v>000779</v>
      </c>
      <c r="C2529" t="s">
        <v>5389</v>
      </c>
      <c r="D2529" t="s">
        <v>1272</v>
      </c>
      <c r="F2529">
        <v>1026774066</v>
      </c>
      <c r="G2529">
        <v>702021451</v>
      </c>
      <c r="H2529">
        <v>588936242</v>
      </c>
      <c r="I2529">
        <v>635760645</v>
      </c>
      <c r="J2529">
        <v>49395203</v>
      </c>
      <c r="K2529">
        <v>43030375</v>
      </c>
      <c r="L2529">
        <v>54183286</v>
      </c>
      <c r="M2529">
        <v>55102258</v>
      </c>
      <c r="N2529">
        <v>60845021</v>
      </c>
      <c r="O2529">
        <v>44791874</v>
      </c>
      <c r="P2529">
        <v>165</v>
      </c>
      <c r="Q2529" t="s">
        <v>5390</v>
      </c>
    </row>
    <row r="2530" spans="1:17" x14ac:dyDescent="0.3">
      <c r="A2530" t="s">
        <v>4729</v>
      </c>
      <c r="B2530" t="str">
        <f>"000780"</f>
        <v>000780</v>
      </c>
      <c r="C2530" t="s">
        <v>5391</v>
      </c>
      <c r="D2530" t="s">
        <v>292</v>
      </c>
      <c r="G2530">
        <v>366193588</v>
      </c>
      <c r="H2530">
        <v>538221477</v>
      </c>
      <c r="I2530">
        <v>547322059</v>
      </c>
      <c r="J2530">
        <v>549193929</v>
      </c>
      <c r="K2530">
        <v>506570957</v>
      </c>
      <c r="L2530">
        <v>921856629</v>
      </c>
      <c r="M2530">
        <v>617059836</v>
      </c>
      <c r="N2530">
        <v>853733300</v>
      </c>
      <c r="O2530">
        <v>665022034</v>
      </c>
      <c r="P2530">
        <v>99</v>
      </c>
      <c r="Q2530" t="s">
        <v>5392</v>
      </c>
    </row>
    <row r="2531" spans="1:17" x14ac:dyDescent="0.3">
      <c r="A2531" t="s">
        <v>4729</v>
      </c>
      <c r="B2531" t="str">
        <f>"000782"</f>
        <v>000782</v>
      </c>
      <c r="C2531" t="s">
        <v>5393</v>
      </c>
      <c r="D2531" t="s">
        <v>1638</v>
      </c>
      <c r="F2531">
        <v>226071063</v>
      </c>
      <c r="G2531">
        <v>230540372</v>
      </c>
      <c r="H2531">
        <v>159812261</v>
      </c>
      <c r="I2531">
        <v>151179320</v>
      </c>
      <c r="J2531">
        <v>143296563</v>
      </c>
      <c r="K2531">
        <v>116711826</v>
      </c>
      <c r="L2531">
        <v>86324106</v>
      </c>
      <c r="M2531">
        <v>101518302</v>
      </c>
      <c r="N2531">
        <v>122839883</v>
      </c>
      <c r="O2531">
        <v>65397612</v>
      </c>
      <c r="P2531">
        <v>64</v>
      </c>
      <c r="Q2531" t="s">
        <v>5394</v>
      </c>
    </row>
    <row r="2532" spans="1:17" x14ac:dyDescent="0.3">
      <c r="A2532" t="s">
        <v>4729</v>
      </c>
      <c r="B2532" t="str">
        <f>"000783"</f>
        <v>000783</v>
      </c>
      <c r="C2532" t="s">
        <v>5395</v>
      </c>
      <c r="D2532" t="s">
        <v>80</v>
      </c>
      <c r="F2532">
        <v>762638960</v>
      </c>
      <c r="G2532">
        <v>489155659</v>
      </c>
      <c r="H2532">
        <v>353821762</v>
      </c>
      <c r="I2532">
        <v>427489943</v>
      </c>
      <c r="J2532">
        <v>463758225</v>
      </c>
      <c r="K2532">
        <v>390244115</v>
      </c>
      <c r="L2532">
        <v>0</v>
      </c>
      <c r="M2532">
        <v>0</v>
      </c>
      <c r="N2532">
        <v>0</v>
      </c>
      <c r="O2532">
        <v>0</v>
      </c>
      <c r="P2532">
        <v>1208</v>
      </c>
      <c r="Q2532" t="s">
        <v>5396</v>
      </c>
    </row>
    <row r="2533" spans="1:17" x14ac:dyDescent="0.3">
      <c r="A2533" t="s">
        <v>4729</v>
      </c>
      <c r="B2533" t="str">
        <f>"000785"</f>
        <v>000785</v>
      </c>
      <c r="C2533" t="s">
        <v>5397</v>
      </c>
      <c r="D2533" t="s">
        <v>271</v>
      </c>
      <c r="F2533">
        <v>709375534</v>
      </c>
      <c r="G2533">
        <v>566861929</v>
      </c>
      <c r="H2533">
        <v>442108822</v>
      </c>
      <c r="I2533">
        <v>61250321</v>
      </c>
      <c r="J2533">
        <v>46382699</v>
      </c>
      <c r="K2533">
        <v>45213313</v>
      </c>
      <c r="L2533">
        <v>36851529</v>
      </c>
      <c r="M2533">
        <v>32521166</v>
      </c>
      <c r="N2533">
        <v>15582479</v>
      </c>
      <c r="O2533">
        <v>9871672</v>
      </c>
      <c r="P2533">
        <v>333</v>
      </c>
      <c r="Q2533" t="s">
        <v>5398</v>
      </c>
    </row>
    <row r="2534" spans="1:17" x14ac:dyDescent="0.3">
      <c r="A2534" t="s">
        <v>4729</v>
      </c>
      <c r="B2534" t="str">
        <f>"000786"</f>
        <v>000786</v>
      </c>
      <c r="C2534" t="s">
        <v>5399</v>
      </c>
      <c r="D2534" t="s">
        <v>722</v>
      </c>
      <c r="F2534">
        <v>1868730908</v>
      </c>
      <c r="G2534">
        <v>1929113425</v>
      </c>
      <c r="H2534">
        <v>1260837677</v>
      </c>
      <c r="I2534">
        <v>79739846</v>
      </c>
      <c r="J2534">
        <v>97114882</v>
      </c>
      <c r="K2534">
        <v>109009027</v>
      </c>
      <c r="L2534">
        <v>188339550</v>
      </c>
      <c r="M2534">
        <v>232812389</v>
      </c>
      <c r="N2534">
        <v>249405347</v>
      </c>
      <c r="O2534">
        <v>216888048</v>
      </c>
      <c r="P2534">
        <v>2486</v>
      </c>
      <c r="Q2534" t="s">
        <v>5400</v>
      </c>
    </row>
    <row r="2535" spans="1:17" x14ac:dyDescent="0.3">
      <c r="A2535" t="s">
        <v>4729</v>
      </c>
      <c r="B2535" t="str">
        <f>"000787"</f>
        <v>000787</v>
      </c>
      <c r="C2535" t="s">
        <v>5401</v>
      </c>
      <c r="K2535">
        <v>1364962368.0999999</v>
      </c>
      <c r="L2535">
        <v>1266609659.1300001</v>
      </c>
      <c r="M2535">
        <v>1227800605.97</v>
      </c>
      <c r="N2535">
        <v>0</v>
      </c>
      <c r="O2535">
        <v>0</v>
      </c>
      <c r="P2535">
        <v>3</v>
      </c>
      <c r="Q2535" t="s">
        <v>5402</v>
      </c>
    </row>
    <row r="2536" spans="1:17" x14ac:dyDescent="0.3">
      <c r="A2536" t="s">
        <v>4729</v>
      </c>
      <c r="B2536" t="str">
        <f>"000788"</f>
        <v>000788</v>
      </c>
      <c r="C2536" t="s">
        <v>5403</v>
      </c>
      <c r="D2536" t="s">
        <v>143</v>
      </c>
      <c r="F2536">
        <v>1215639460</v>
      </c>
      <c r="G2536">
        <v>1163039543</v>
      </c>
      <c r="H2536">
        <v>1098453694</v>
      </c>
      <c r="I2536">
        <v>951777573</v>
      </c>
      <c r="J2536">
        <v>957022339</v>
      </c>
      <c r="K2536">
        <v>830316575</v>
      </c>
      <c r="L2536">
        <v>729180057</v>
      </c>
      <c r="M2536">
        <v>708240145</v>
      </c>
      <c r="N2536">
        <v>668784267</v>
      </c>
      <c r="O2536">
        <v>589416048</v>
      </c>
      <c r="P2536">
        <v>137</v>
      </c>
      <c r="Q2536" t="s">
        <v>5404</v>
      </c>
    </row>
    <row r="2537" spans="1:17" x14ac:dyDescent="0.3">
      <c r="A2537" t="s">
        <v>4729</v>
      </c>
      <c r="B2537" t="str">
        <f>"000789"</f>
        <v>000789</v>
      </c>
      <c r="C2537" t="s">
        <v>5405</v>
      </c>
      <c r="D2537" t="s">
        <v>731</v>
      </c>
      <c r="F2537">
        <v>948286947</v>
      </c>
      <c r="G2537">
        <v>669506567</v>
      </c>
      <c r="H2537">
        <v>646375210</v>
      </c>
      <c r="I2537">
        <v>679897873</v>
      </c>
      <c r="J2537">
        <v>592166306</v>
      </c>
      <c r="K2537">
        <v>607923072</v>
      </c>
      <c r="L2537">
        <v>571089176</v>
      </c>
      <c r="M2537">
        <v>555380138</v>
      </c>
      <c r="N2537">
        <v>434907192</v>
      </c>
      <c r="O2537">
        <v>223716810</v>
      </c>
      <c r="P2537">
        <v>1139</v>
      </c>
      <c r="Q2537" t="s">
        <v>5406</v>
      </c>
    </row>
    <row r="2538" spans="1:17" x14ac:dyDescent="0.3">
      <c r="A2538" t="s">
        <v>4729</v>
      </c>
      <c r="B2538" t="str">
        <f>"000790"</f>
        <v>000790</v>
      </c>
      <c r="C2538" t="s">
        <v>5407</v>
      </c>
      <c r="D2538" t="s">
        <v>188</v>
      </c>
      <c r="F2538">
        <v>290560817</v>
      </c>
      <c r="G2538">
        <v>249930717</v>
      </c>
      <c r="H2538">
        <v>265074281</v>
      </c>
      <c r="I2538">
        <v>301967562</v>
      </c>
      <c r="J2538">
        <v>309817105</v>
      </c>
      <c r="K2538">
        <v>317425786</v>
      </c>
      <c r="L2538">
        <v>274957750</v>
      </c>
      <c r="M2538">
        <v>300128693</v>
      </c>
      <c r="N2538">
        <v>345030674</v>
      </c>
      <c r="O2538">
        <v>295283937</v>
      </c>
      <c r="P2538">
        <v>175</v>
      </c>
      <c r="Q2538" t="s">
        <v>5408</v>
      </c>
    </row>
    <row r="2539" spans="1:17" x14ac:dyDescent="0.3">
      <c r="A2539" t="s">
        <v>4729</v>
      </c>
      <c r="B2539" t="str">
        <f>"000791"</f>
        <v>000791</v>
      </c>
      <c r="C2539" t="s">
        <v>5409</v>
      </c>
      <c r="D2539" t="s">
        <v>66</v>
      </c>
      <c r="F2539">
        <v>1404665300</v>
      </c>
      <c r="G2539">
        <v>1132540842</v>
      </c>
      <c r="H2539">
        <v>991854835</v>
      </c>
      <c r="I2539">
        <v>730331187</v>
      </c>
      <c r="J2539">
        <v>468762289</v>
      </c>
      <c r="K2539">
        <v>356032561</v>
      </c>
      <c r="L2539">
        <v>17225660</v>
      </c>
      <c r="M2539">
        <v>102254877</v>
      </c>
      <c r="N2539">
        <v>73893230</v>
      </c>
      <c r="O2539">
        <v>69463882</v>
      </c>
      <c r="P2539">
        <v>219</v>
      </c>
      <c r="Q2539" t="s">
        <v>5410</v>
      </c>
    </row>
    <row r="2540" spans="1:17" x14ac:dyDescent="0.3">
      <c r="A2540" t="s">
        <v>4729</v>
      </c>
      <c r="B2540" t="str">
        <f>"000792"</f>
        <v>000792</v>
      </c>
      <c r="C2540" t="s">
        <v>5411</v>
      </c>
      <c r="D2540" t="s">
        <v>3458</v>
      </c>
      <c r="F2540">
        <v>876337978</v>
      </c>
      <c r="G2540">
        <v>908479175</v>
      </c>
      <c r="H2540">
        <v>593037395</v>
      </c>
      <c r="I2540">
        <v>458313506</v>
      </c>
      <c r="J2540">
        <v>359065724</v>
      </c>
      <c r="K2540">
        <v>348788983</v>
      </c>
      <c r="L2540">
        <v>493796193</v>
      </c>
      <c r="M2540">
        <v>234643045</v>
      </c>
      <c r="N2540">
        <v>295967810</v>
      </c>
      <c r="O2540">
        <v>150376491</v>
      </c>
      <c r="P2540">
        <v>422</v>
      </c>
      <c r="Q2540" t="s">
        <v>5412</v>
      </c>
    </row>
    <row r="2541" spans="1:17" x14ac:dyDescent="0.3">
      <c r="A2541" t="s">
        <v>4729</v>
      </c>
      <c r="B2541" t="str">
        <f>"000793"</f>
        <v>000793</v>
      </c>
      <c r="C2541" t="s">
        <v>5413</v>
      </c>
      <c r="D2541" t="s">
        <v>525</v>
      </c>
      <c r="F2541">
        <v>436564182</v>
      </c>
      <c r="G2541">
        <v>691823517</v>
      </c>
      <c r="H2541">
        <v>1098484817</v>
      </c>
      <c r="I2541">
        <v>1394549720</v>
      </c>
      <c r="J2541">
        <v>670879228</v>
      </c>
      <c r="K2541">
        <v>1007770120</v>
      </c>
      <c r="L2541">
        <v>769633893</v>
      </c>
      <c r="M2541">
        <v>622605934</v>
      </c>
      <c r="N2541">
        <v>312196982</v>
      </c>
      <c r="O2541">
        <v>236960067</v>
      </c>
      <c r="P2541">
        <v>141</v>
      </c>
      <c r="Q2541" t="s">
        <v>5414</v>
      </c>
    </row>
    <row r="2542" spans="1:17" x14ac:dyDescent="0.3">
      <c r="A2542" t="s">
        <v>4729</v>
      </c>
      <c r="B2542" t="str">
        <f>"000795"</f>
        <v>000795</v>
      </c>
      <c r="C2542" t="s">
        <v>5415</v>
      </c>
      <c r="D2542" t="s">
        <v>808</v>
      </c>
      <c r="F2542">
        <v>1023914618</v>
      </c>
      <c r="G2542">
        <v>819557962</v>
      </c>
      <c r="H2542">
        <v>738292285</v>
      </c>
      <c r="I2542">
        <v>586656815</v>
      </c>
      <c r="J2542">
        <v>465055360</v>
      </c>
      <c r="K2542">
        <v>486272520</v>
      </c>
      <c r="L2542">
        <v>364199455</v>
      </c>
      <c r="M2542">
        <v>248776422</v>
      </c>
      <c r="N2542">
        <v>323329590</v>
      </c>
      <c r="O2542">
        <v>408033097</v>
      </c>
      <c r="P2542">
        <v>145</v>
      </c>
      <c r="Q2542" t="s">
        <v>5416</v>
      </c>
    </row>
    <row r="2543" spans="1:17" x14ac:dyDescent="0.3">
      <c r="A2543" t="s">
        <v>4729</v>
      </c>
      <c r="B2543" t="str">
        <f>"000796"</f>
        <v>000796</v>
      </c>
      <c r="C2543" t="s">
        <v>5417</v>
      </c>
      <c r="D2543" t="s">
        <v>1120</v>
      </c>
      <c r="F2543">
        <v>218487907</v>
      </c>
      <c r="G2543">
        <v>635106018</v>
      </c>
      <c r="H2543">
        <v>1000569716</v>
      </c>
      <c r="I2543">
        <v>1003916459</v>
      </c>
      <c r="J2543">
        <v>1055442345</v>
      </c>
      <c r="K2543">
        <v>648910710</v>
      </c>
      <c r="L2543">
        <v>360505802</v>
      </c>
      <c r="M2543">
        <v>163970653</v>
      </c>
      <c r="N2543">
        <v>182037873</v>
      </c>
      <c r="O2543">
        <v>151162145</v>
      </c>
      <c r="P2543">
        <v>224</v>
      </c>
      <c r="Q2543" t="s">
        <v>5418</v>
      </c>
    </row>
    <row r="2544" spans="1:17" x14ac:dyDescent="0.3">
      <c r="A2544" t="s">
        <v>4729</v>
      </c>
      <c r="B2544" t="str">
        <f>"000797"</f>
        <v>000797</v>
      </c>
      <c r="C2544" t="s">
        <v>5419</v>
      </c>
      <c r="D2544" t="s">
        <v>104</v>
      </c>
      <c r="F2544">
        <v>1042887606</v>
      </c>
      <c r="G2544">
        <v>1228345576</v>
      </c>
      <c r="H2544">
        <v>2050242730</v>
      </c>
      <c r="I2544">
        <v>1493991600</v>
      </c>
      <c r="J2544">
        <v>848528317</v>
      </c>
      <c r="K2544">
        <v>650087869</v>
      </c>
      <c r="L2544">
        <v>760800624</v>
      </c>
      <c r="M2544">
        <v>456740534</v>
      </c>
      <c r="N2544">
        <v>564603802</v>
      </c>
      <c r="O2544">
        <v>534403931</v>
      </c>
      <c r="P2544">
        <v>121</v>
      </c>
      <c r="Q2544" t="s">
        <v>5420</v>
      </c>
    </row>
    <row r="2545" spans="1:17" x14ac:dyDescent="0.3">
      <c r="A2545" t="s">
        <v>4729</v>
      </c>
      <c r="B2545" t="str">
        <f>"000798"</f>
        <v>000798</v>
      </c>
      <c r="C2545" t="s">
        <v>5421</v>
      </c>
      <c r="D2545" t="s">
        <v>228</v>
      </c>
      <c r="F2545">
        <v>23247294</v>
      </c>
      <c r="G2545">
        <v>31354055</v>
      </c>
      <c r="H2545">
        <v>17878302</v>
      </c>
      <c r="I2545">
        <v>25457379</v>
      </c>
      <c r="J2545">
        <v>17213265</v>
      </c>
      <c r="K2545">
        <v>44119052</v>
      </c>
      <c r="L2545">
        <v>24294336</v>
      </c>
      <c r="M2545">
        <v>14812181</v>
      </c>
      <c r="N2545">
        <v>8364326</v>
      </c>
      <c r="O2545">
        <v>29225915</v>
      </c>
      <c r="P2545">
        <v>83</v>
      </c>
      <c r="Q2545" t="s">
        <v>5422</v>
      </c>
    </row>
    <row r="2546" spans="1:17" x14ac:dyDescent="0.3">
      <c r="A2546" t="s">
        <v>4729</v>
      </c>
      <c r="B2546" t="str">
        <f>"000799"</f>
        <v>000799</v>
      </c>
      <c r="C2546" t="s">
        <v>5423</v>
      </c>
      <c r="D2546" t="s">
        <v>458</v>
      </c>
      <c r="F2546">
        <v>99417</v>
      </c>
      <c r="G2546">
        <v>3350050</v>
      </c>
      <c r="H2546">
        <v>6728829</v>
      </c>
      <c r="I2546">
        <v>6049357</v>
      </c>
      <c r="J2546">
        <v>6254409</v>
      </c>
      <c r="K2546">
        <v>706969</v>
      </c>
      <c r="L2546">
        <v>1027962</v>
      </c>
      <c r="M2546">
        <v>2085814</v>
      </c>
      <c r="N2546">
        <v>2859334</v>
      </c>
      <c r="O2546">
        <v>4141697</v>
      </c>
      <c r="P2546">
        <v>1661</v>
      </c>
      <c r="Q2546" t="s">
        <v>5424</v>
      </c>
    </row>
    <row r="2547" spans="1:17" x14ac:dyDescent="0.3">
      <c r="A2547" t="s">
        <v>4729</v>
      </c>
      <c r="B2547" t="str">
        <f>"000800"</f>
        <v>000800</v>
      </c>
      <c r="C2547" t="s">
        <v>5425</v>
      </c>
      <c r="D2547" t="s">
        <v>27</v>
      </c>
      <c r="F2547">
        <v>1279693952</v>
      </c>
      <c r="G2547">
        <v>775747205</v>
      </c>
      <c r="H2547">
        <v>1319132295</v>
      </c>
      <c r="I2547">
        <v>1543920222</v>
      </c>
      <c r="J2547">
        <v>180965358</v>
      </c>
      <c r="K2547">
        <v>166079059</v>
      </c>
      <c r="L2547">
        <v>24299956</v>
      </c>
      <c r="M2547">
        <v>35308183</v>
      </c>
      <c r="N2547">
        <v>80010415</v>
      </c>
      <c r="O2547">
        <v>88297941</v>
      </c>
      <c r="P2547">
        <v>446</v>
      </c>
      <c r="Q2547" t="s">
        <v>5426</v>
      </c>
    </row>
    <row r="2548" spans="1:17" x14ac:dyDescent="0.3">
      <c r="A2548" t="s">
        <v>4729</v>
      </c>
      <c r="B2548" t="str">
        <f>"000801"</f>
        <v>000801</v>
      </c>
      <c r="C2548" t="s">
        <v>5427</v>
      </c>
      <c r="D2548" t="s">
        <v>4467</v>
      </c>
      <c r="F2548">
        <v>1599351185</v>
      </c>
      <c r="G2548">
        <v>1668883583</v>
      </c>
      <c r="H2548">
        <v>2190377533</v>
      </c>
      <c r="I2548">
        <v>2775789958</v>
      </c>
      <c r="J2548">
        <v>2240142013</v>
      </c>
      <c r="K2548">
        <v>2275301905</v>
      </c>
      <c r="L2548">
        <v>1915840449</v>
      </c>
      <c r="M2548">
        <v>991246103</v>
      </c>
      <c r="N2548">
        <v>1026393526</v>
      </c>
      <c r="O2548">
        <v>982807019</v>
      </c>
      <c r="P2548">
        <v>218</v>
      </c>
      <c r="Q2548" t="s">
        <v>5428</v>
      </c>
    </row>
    <row r="2549" spans="1:17" x14ac:dyDescent="0.3">
      <c r="A2549" t="s">
        <v>4729</v>
      </c>
      <c r="B2549" t="str">
        <f>"000802"</f>
        <v>000802</v>
      </c>
      <c r="C2549" t="s">
        <v>5429</v>
      </c>
      <c r="D2549" t="s">
        <v>113</v>
      </c>
      <c r="F2549">
        <v>293958906</v>
      </c>
      <c r="G2549">
        <v>645877215</v>
      </c>
      <c r="H2549">
        <v>525098329</v>
      </c>
      <c r="I2549">
        <v>384813853</v>
      </c>
      <c r="J2549">
        <v>726387556</v>
      </c>
      <c r="K2549">
        <v>438849265</v>
      </c>
      <c r="L2549">
        <v>100158270</v>
      </c>
      <c r="M2549">
        <v>212816851</v>
      </c>
      <c r="N2549">
        <v>3725751</v>
      </c>
      <c r="O2549">
        <v>5325334</v>
      </c>
      <c r="P2549">
        <v>205</v>
      </c>
      <c r="Q2549" t="s">
        <v>5430</v>
      </c>
    </row>
    <row r="2550" spans="1:17" x14ac:dyDescent="0.3">
      <c r="A2550" t="s">
        <v>4729</v>
      </c>
      <c r="B2550" t="str">
        <f>"000803"</f>
        <v>000803</v>
      </c>
      <c r="C2550" t="s">
        <v>5431</v>
      </c>
      <c r="D2550" t="s">
        <v>239</v>
      </c>
      <c r="F2550">
        <v>132752943</v>
      </c>
      <c r="G2550">
        <v>150782671</v>
      </c>
      <c r="H2550">
        <v>10635177</v>
      </c>
      <c r="I2550">
        <v>250729229</v>
      </c>
      <c r="J2550">
        <v>212657080</v>
      </c>
      <c r="K2550">
        <v>2241826</v>
      </c>
      <c r="L2550">
        <v>5337817</v>
      </c>
      <c r="M2550">
        <v>2298535</v>
      </c>
      <c r="N2550">
        <v>2480685</v>
      </c>
      <c r="O2550">
        <v>6792822</v>
      </c>
      <c r="P2550">
        <v>79</v>
      </c>
      <c r="Q2550" t="s">
        <v>5432</v>
      </c>
    </row>
    <row r="2551" spans="1:17" x14ac:dyDescent="0.3">
      <c r="A2551" t="s">
        <v>4729</v>
      </c>
      <c r="B2551" t="str">
        <f>"000805"</f>
        <v>000805</v>
      </c>
      <c r="C2551" t="s">
        <v>5433</v>
      </c>
      <c r="K2551">
        <v>65504195.530000001</v>
      </c>
      <c r="L2551">
        <v>57026603.090000004</v>
      </c>
      <c r="M2551">
        <v>3170989.92</v>
      </c>
      <c r="N2551">
        <v>7955017.0899999999</v>
      </c>
      <c r="O2551">
        <v>7337937.6500000004</v>
      </c>
      <c r="P2551">
        <v>3</v>
      </c>
      <c r="Q2551" t="s">
        <v>5434</v>
      </c>
    </row>
    <row r="2552" spans="1:17" x14ac:dyDescent="0.3">
      <c r="A2552" t="s">
        <v>4729</v>
      </c>
      <c r="B2552" t="str">
        <f>"000806"</f>
        <v>000806</v>
      </c>
      <c r="C2552" t="s">
        <v>5435</v>
      </c>
      <c r="D2552" t="s">
        <v>210</v>
      </c>
      <c r="F2552">
        <v>492456534</v>
      </c>
      <c r="G2552">
        <v>437678584</v>
      </c>
      <c r="H2552">
        <v>413433452</v>
      </c>
      <c r="I2552">
        <v>540636361</v>
      </c>
      <c r="J2552">
        <v>636408490</v>
      </c>
      <c r="K2552">
        <v>470003880</v>
      </c>
      <c r="L2552">
        <v>440483010</v>
      </c>
      <c r="M2552">
        <v>493265237</v>
      </c>
      <c r="N2552">
        <v>463664154</v>
      </c>
      <c r="O2552">
        <v>456839649</v>
      </c>
      <c r="P2552">
        <v>123</v>
      </c>
      <c r="Q2552" t="s">
        <v>5436</v>
      </c>
    </row>
    <row r="2553" spans="1:17" x14ac:dyDescent="0.3">
      <c r="A2553" t="s">
        <v>4729</v>
      </c>
      <c r="B2553" t="str">
        <f>"000807"</f>
        <v>000807</v>
      </c>
      <c r="C2553" t="s">
        <v>5437</v>
      </c>
      <c r="D2553" t="s">
        <v>504</v>
      </c>
      <c r="F2553">
        <v>34692444</v>
      </c>
      <c r="G2553">
        <v>162616529</v>
      </c>
      <c r="H2553">
        <v>237616865</v>
      </c>
      <c r="I2553">
        <v>308332117</v>
      </c>
      <c r="J2553">
        <v>245628600</v>
      </c>
      <c r="K2553">
        <v>332266371</v>
      </c>
      <c r="L2553">
        <v>274893058</v>
      </c>
      <c r="M2553">
        <v>151877638</v>
      </c>
      <c r="N2553">
        <v>155001838</v>
      </c>
      <c r="O2553">
        <v>272647100</v>
      </c>
      <c r="P2553">
        <v>551</v>
      </c>
      <c r="Q2553" t="s">
        <v>5438</v>
      </c>
    </row>
    <row r="2554" spans="1:17" x14ac:dyDescent="0.3">
      <c r="A2554" t="s">
        <v>4729</v>
      </c>
      <c r="B2554" t="str">
        <f>"000809"</f>
        <v>000809</v>
      </c>
      <c r="C2554" t="s">
        <v>5439</v>
      </c>
      <c r="D2554" t="s">
        <v>104</v>
      </c>
      <c r="F2554">
        <v>17133164</v>
      </c>
      <c r="G2554">
        <v>15330355</v>
      </c>
      <c r="H2554">
        <v>7673418</v>
      </c>
      <c r="I2554">
        <v>77647473</v>
      </c>
      <c r="J2554">
        <v>19448516</v>
      </c>
      <c r="K2554">
        <v>416924253</v>
      </c>
      <c r="L2554">
        <v>631488291</v>
      </c>
      <c r="M2554">
        <v>800694618</v>
      </c>
      <c r="N2554">
        <v>1951455027</v>
      </c>
      <c r="O2554">
        <v>1314468148</v>
      </c>
      <c r="P2554">
        <v>72</v>
      </c>
      <c r="Q2554" t="s">
        <v>5440</v>
      </c>
    </row>
    <row r="2555" spans="1:17" x14ac:dyDescent="0.3">
      <c r="A2555" t="s">
        <v>4729</v>
      </c>
      <c r="B2555" t="str">
        <f>"000810"</f>
        <v>000810</v>
      </c>
      <c r="C2555" t="s">
        <v>5441</v>
      </c>
      <c r="D2555" t="s">
        <v>4467</v>
      </c>
      <c r="F2555">
        <v>3165007189</v>
      </c>
      <c r="G2555">
        <v>3163673857</v>
      </c>
      <c r="H2555">
        <v>4594498874</v>
      </c>
      <c r="I2555">
        <v>4155614250</v>
      </c>
      <c r="J2555">
        <v>3353337765</v>
      </c>
      <c r="K2555">
        <v>2412943221</v>
      </c>
      <c r="L2555">
        <v>2372592433</v>
      </c>
      <c r="M2555">
        <v>2058317631</v>
      </c>
      <c r="N2555">
        <v>85053832</v>
      </c>
      <c r="O2555">
        <v>68925110</v>
      </c>
      <c r="P2555">
        <v>384</v>
      </c>
      <c r="Q2555" t="s">
        <v>5442</v>
      </c>
    </row>
    <row r="2556" spans="1:17" x14ac:dyDescent="0.3">
      <c r="A2556" t="s">
        <v>4729</v>
      </c>
      <c r="B2556" t="str">
        <f>"000811"</f>
        <v>000811</v>
      </c>
      <c r="C2556" t="s">
        <v>5443</v>
      </c>
      <c r="D2556" t="s">
        <v>988</v>
      </c>
      <c r="F2556">
        <v>1252356032</v>
      </c>
      <c r="G2556">
        <v>1029639860</v>
      </c>
      <c r="H2556">
        <v>1312636241</v>
      </c>
      <c r="I2556">
        <v>1212958181</v>
      </c>
      <c r="J2556">
        <v>1218831881</v>
      </c>
      <c r="K2556">
        <v>928636410</v>
      </c>
      <c r="L2556">
        <v>743316956</v>
      </c>
      <c r="M2556">
        <v>392091442</v>
      </c>
      <c r="N2556">
        <v>317377454</v>
      </c>
      <c r="O2556">
        <v>224738720</v>
      </c>
      <c r="P2556">
        <v>224</v>
      </c>
      <c r="Q2556" t="s">
        <v>5444</v>
      </c>
    </row>
    <row r="2557" spans="1:17" x14ac:dyDescent="0.3">
      <c r="A2557" t="s">
        <v>4729</v>
      </c>
      <c r="B2557" t="str">
        <f>"000812"</f>
        <v>000812</v>
      </c>
      <c r="C2557" t="s">
        <v>5445</v>
      </c>
      <c r="D2557" t="s">
        <v>2165</v>
      </c>
      <c r="F2557">
        <v>175464605</v>
      </c>
      <c r="G2557">
        <v>186254042</v>
      </c>
      <c r="H2557">
        <v>155886684</v>
      </c>
      <c r="I2557">
        <v>187178382</v>
      </c>
      <c r="J2557">
        <v>151414969</v>
      </c>
      <c r="K2557">
        <v>93774782</v>
      </c>
      <c r="L2557">
        <v>86723545</v>
      </c>
      <c r="M2557">
        <v>57080996</v>
      </c>
      <c r="N2557">
        <v>76291913</v>
      </c>
      <c r="O2557">
        <v>65744628</v>
      </c>
      <c r="P2557">
        <v>111</v>
      </c>
      <c r="Q2557" t="s">
        <v>5446</v>
      </c>
    </row>
    <row r="2558" spans="1:17" x14ac:dyDescent="0.3">
      <c r="A2558" t="s">
        <v>4729</v>
      </c>
      <c r="B2558" t="str">
        <f>"000813"</f>
        <v>000813</v>
      </c>
      <c r="C2558" t="s">
        <v>5447</v>
      </c>
      <c r="D2558" t="s">
        <v>143</v>
      </c>
      <c r="F2558">
        <v>318815345</v>
      </c>
      <c r="G2558">
        <v>271871229</v>
      </c>
      <c r="H2558">
        <v>293870715</v>
      </c>
      <c r="I2558">
        <v>1339234099</v>
      </c>
      <c r="J2558">
        <v>1440934902</v>
      </c>
      <c r="K2558">
        <v>764353980</v>
      </c>
      <c r="L2558">
        <v>20317079</v>
      </c>
      <c r="M2558">
        <v>30662248</v>
      </c>
      <c r="N2558">
        <v>25957356</v>
      </c>
      <c r="O2558">
        <v>37512711</v>
      </c>
      <c r="P2558">
        <v>281</v>
      </c>
      <c r="Q2558" t="s">
        <v>5448</v>
      </c>
    </row>
    <row r="2559" spans="1:17" x14ac:dyDescent="0.3">
      <c r="A2559" t="s">
        <v>4729</v>
      </c>
      <c r="B2559" t="str">
        <f>"000815"</f>
        <v>000815</v>
      </c>
      <c r="C2559" t="s">
        <v>5449</v>
      </c>
      <c r="D2559" t="s">
        <v>694</v>
      </c>
      <c r="F2559">
        <v>265500554</v>
      </c>
      <c r="G2559">
        <v>233253142</v>
      </c>
      <c r="H2559">
        <v>90956402</v>
      </c>
      <c r="I2559">
        <v>75090424</v>
      </c>
      <c r="J2559">
        <v>64605534</v>
      </c>
      <c r="K2559">
        <v>40743257</v>
      </c>
      <c r="L2559">
        <v>53412438</v>
      </c>
      <c r="M2559">
        <v>99992205</v>
      </c>
      <c r="N2559">
        <v>92351898</v>
      </c>
      <c r="O2559">
        <v>147568429</v>
      </c>
      <c r="P2559">
        <v>125</v>
      </c>
      <c r="Q2559" t="s">
        <v>5450</v>
      </c>
    </row>
    <row r="2560" spans="1:17" x14ac:dyDescent="0.3">
      <c r="A2560" t="s">
        <v>4729</v>
      </c>
      <c r="B2560" t="str">
        <f>"000816"</f>
        <v>000816</v>
      </c>
      <c r="C2560" t="s">
        <v>5451</v>
      </c>
      <c r="D2560" t="s">
        <v>348</v>
      </c>
      <c r="F2560">
        <v>169526481</v>
      </c>
      <c r="G2560">
        <v>130364744</v>
      </c>
      <c r="H2560">
        <v>132764452</v>
      </c>
      <c r="I2560">
        <v>138065227</v>
      </c>
      <c r="J2560">
        <v>269059911</v>
      </c>
      <c r="K2560">
        <v>349866639</v>
      </c>
      <c r="L2560">
        <v>402407687</v>
      </c>
      <c r="M2560">
        <v>309210651</v>
      </c>
      <c r="N2560">
        <v>195655586</v>
      </c>
      <c r="O2560">
        <v>180734043</v>
      </c>
      <c r="P2560">
        <v>153</v>
      </c>
      <c r="Q2560" t="s">
        <v>5452</v>
      </c>
    </row>
    <row r="2561" spans="1:17" x14ac:dyDescent="0.3">
      <c r="A2561" t="s">
        <v>4729</v>
      </c>
      <c r="B2561" t="str">
        <f>"000818"</f>
        <v>000818</v>
      </c>
      <c r="C2561" t="s">
        <v>5453</v>
      </c>
      <c r="D2561" t="s">
        <v>175</v>
      </c>
      <c r="F2561">
        <v>432496055</v>
      </c>
      <c r="G2561">
        <v>444210882</v>
      </c>
      <c r="H2561">
        <v>384833994</v>
      </c>
      <c r="I2561">
        <v>413260999</v>
      </c>
      <c r="J2561">
        <v>227971750</v>
      </c>
      <c r="K2561">
        <v>37795225</v>
      </c>
      <c r="L2561">
        <v>35631175</v>
      </c>
      <c r="M2561">
        <v>35050472</v>
      </c>
      <c r="N2561">
        <v>29390191</v>
      </c>
      <c r="O2561">
        <v>20869560</v>
      </c>
      <c r="P2561">
        <v>258</v>
      </c>
      <c r="Q2561" t="s">
        <v>5454</v>
      </c>
    </row>
    <row r="2562" spans="1:17" x14ac:dyDescent="0.3">
      <c r="A2562" t="s">
        <v>4729</v>
      </c>
      <c r="B2562" t="str">
        <f>"000819"</f>
        <v>000819</v>
      </c>
      <c r="C2562" t="s">
        <v>5455</v>
      </c>
      <c r="D2562" t="s">
        <v>1617</v>
      </c>
      <c r="F2562">
        <v>19722014</v>
      </c>
      <c r="G2562">
        <v>19507454</v>
      </c>
      <c r="H2562">
        <v>11546982</v>
      </c>
      <c r="I2562">
        <v>14954550</v>
      </c>
      <c r="J2562">
        <v>13883476</v>
      </c>
      <c r="K2562">
        <v>3861255</v>
      </c>
      <c r="L2562">
        <v>4606400</v>
      </c>
      <c r="M2562">
        <v>703246</v>
      </c>
      <c r="N2562">
        <v>1120575</v>
      </c>
      <c r="O2562">
        <v>1357965</v>
      </c>
      <c r="P2562">
        <v>81</v>
      </c>
      <c r="Q2562" t="s">
        <v>5456</v>
      </c>
    </row>
    <row r="2563" spans="1:17" x14ac:dyDescent="0.3">
      <c r="A2563" t="s">
        <v>4729</v>
      </c>
      <c r="B2563" t="str">
        <f>"000820"</f>
        <v>000820</v>
      </c>
      <c r="C2563" t="s">
        <v>5457</v>
      </c>
      <c r="D2563" t="s">
        <v>499</v>
      </c>
      <c r="F2563">
        <v>96881974</v>
      </c>
      <c r="G2563">
        <v>978840</v>
      </c>
      <c r="H2563">
        <v>19560490</v>
      </c>
      <c r="I2563">
        <v>294018387</v>
      </c>
      <c r="J2563">
        <v>777359508</v>
      </c>
      <c r="K2563">
        <v>624699812</v>
      </c>
      <c r="L2563">
        <v>78890643</v>
      </c>
      <c r="M2563">
        <v>55621680</v>
      </c>
      <c r="N2563">
        <v>39021416</v>
      </c>
      <c r="O2563">
        <v>52487757</v>
      </c>
      <c r="P2563">
        <v>156</v>
      </c>
      <c r="Q2563" t="s">
        <v>5458</v>
      </c>
    </row>
    <row r="2564" spans="1:17" x14ac:dyDescent="0.3">
      <c r="A2564" t="s">
        <v>4729</v>
      </c>
      <c r="B2564" t="str">
        <f>"000821"</f>
        <v>000821</v>
      </c>
      <c r="C2564" t="s">
        <v>5459</v>
      </c>
      <c r="D2564" t="s">
        <v>3415</v>
      </c>
      <c r="F2564">
        <v>1126888577</v>
      </c>
      <c r="G2564">
        <v>1036045073</v>
      </c>
      <c r="H2564">
        <v>904284300</v>
      </c>
      <c r="I2564">
        <v>927239332</v>
      </c>
      <c r="J2564">
        <v>604454758</v>
      </c>
      <c r="K2564">
        <v>404106557</v>
      </c>
      <c r="L2564">
        <v>327993362</v>
      </c>
      <c r="M2564">
        <v>256190585</v>
      </c>
      <c r="N2564">
        <v>236786390</v>
      </c>
      <c r="O2564">
        <v>149683996</v>
      </c>
      <c r="P2564">
        <v>166</v>
      </c>
      <c r="Q2564" t="s">
        <v>5460</v>
      </c>
    </row>
    <row r="2565" spans="1:17" x14ac:dyDescent="0.3">
      <c r="A2565" t="s">
        <v>4729</v>
      </c>
      <c r="B2565" t="str">
        <f>"000822"</f>
        <v>000822</v>
      </c>
      <c r="C2565" t="s">
        <v>5461</v>
      </c>
      <c r="D2565" t="s">
        <v>2529</v>
      </c>
      <c r="F2565">
        <v>74960647</v>
      </c>
      <c r="G2565">
        <v>12590001</v>
      </c>
      <c r="H2565">
        <v>3731880</v>
      </c>
      <c r="I2565">
        <v>51140992</v>
      </c>
      <c r="J2565">
        <v>96247176</v>
      </c>
      <c r="K2565">
        <v>103525771</v>
      </c>
      <c r="L2565">
        <v>184925416</v>
      </c>
      <c r="M2565">
        <v>162192630</v>
      </c>
      <c r="N2565">
        <v>133515779</v>
      </c>
      <c r="O2565">
        <v>169570704</v>
      </c>
      <c r="P2565">
        <v>211</v>
      </c>
      <c r="Q2565" t="s">
        <v>5462</v>
      </c>
    </row>
    <row r="2566" spans="1:17" x14ac:dyDescent="0.3">
      <c r="A2566" t="s">
        <v>4729</v>
      </c>
      <c r="B2566" t="str">
        <f>"000823"</f>
        <v>000823</v>
      </c>
      <c r="C2566" t="s">
        <v>5463</v>
      </c>
      <c r="D2566" t="s">
        <v>425</v>
      </c>
      <c r="F2566">
        <v>1848458077</v>
      </c>
      <c r="G2566">
        <v>1646151237</v>
      </c>
      <c r="H2566">
        <v>1498311454</v>
      </c>
      <c r="I2566">
        <v>1470928157</v>
      </c>
      <c r="J2566">
        <v>1334304820</v>
      </c>
      <c r="K2566">
        <v>1063308759</v>
      </c>
      <c r="L2566">
        <v>1052313948</v>
      </c>
      <c r="M2566">
        <v>935160540</v>
      </c>
      <c r="N2566">
        <v>903531700</v>
      </c>
      <c r="O2566">
        <v>892458499</v>
      </c>
      <c r="P2566">
        <v>354</v>
      </c>
      <c r="Q2566" t="s">
        <v>5464</v>
      </c>
    </row>
    <row r="2567" spans="1:17" x14ac:dyDescent="0.3">
      <c r="A2567" t="s">
        <v>4729</v>
      </c>
      <c r="B2567" t="str">
        <f>"000825"</f>
        <v>000825</v>
      </c>
      <c r="C2567" t="s">
        <v>5465</v>
      </c>
      <c r="D2567" t="s">
        <v>281</v>
      </c>
      <c r="F2567">
        <v>855832199</v>
      </c>
      <c r="G2567">
        <v>928890827</v>
      </c>
      <c r="H2567">
        <v>1057808722</v>
      </c>
      <c r="I2567">
        <v>1241128334</v>
      </c>
      <c r="J2567">
        <v>1525649190</v>
      </c>
      <c r="K2567">
        <v>2014985048</v>
      </c>
      <c r="L2567">
        <v>2627025137</v>
      </c>
      <c r="M2567">
        <v>3325130586</v>
      </c>
      <c r="N2567">
        <v>2394304303</v>
      </c>
      <c r="O2567">
        <v>1637659732</v>
      </c>
      <c r="P2567">
        <v>581</v>
      </c>
      <c r="Q2567" t="s">
        <v>5466</v>
      </c>
    </row>
    <row r="2568" spans="1:17" x14ac:dyDescent="0.3">
      <c r="A2568" t="s">
        <v>4729</v>
      </c>
      <c r="B2568" t="str">
        <f>"000826"</f>
        <v>000826</v>
      </c>
      <c r="C2568" t="s">
        <v>5467</v>
      </c>
      <c r="D2568" t="s">
        <v>3575</v>
      </c>
      <c r="F2568">
        <v>5877397923</v>
      </c>
      <c r="G2568">
        <v>5588465562</v>
      </c>
      <c r="H2568">
        <v>6945367905</v>
      </c>
      <c r="I2568">
        <v>5987968979</v>
      </c>
      <c r="J2568">
        <v>3860473449</v>
      </c>
      <c r="K2568">
        <v>2745133504</v>
      </c>
      <c r="L2568">
        <v>2440567004</v>
      </c>
      <c r="M2568">
        <v>2741075094</v>
      </c>
      <c r="N2568">
        <v>1994945626</v>
      </c>
      <c r="O2568">
        <v>1614592101</v>
      </c>
      <c r="P2568">
        <v>559</v>
      </c>
      <c r="Q2568" t="s">
        <v>5468</v>
      </c>
    </row>
    <row r="2569" spans="1:17" x14ac:dyDescent="0.3">
      <c r="A2569" t="s">
        <v>4729</v>
      </c>
      <c r="B2569" t="str">
        <f>"000828"</f>
        <v>000828</v>
      </c>
      <c r="C2569" t="s">
        <v>5469</v>
      </c>
      <c r="D2569" t="s">
        <v>44</v>
      </c>
      <c r="F2569">
        <v>34130209</v>
      </c>
      <c r="G2569">
        <v>43038991</v>
      </c>
      <c r="H2569">
        <v>38150686</v>
      </c>
      <c r="I2569">
        <v>22630777</v>
      </c>
      <c r="J2569">
        <v>26524148</v>
      </c>
      <c r="K2569">
        <v>33768875</v>
      </c>
      <c r="L2569">
        <v>38471644</v>
      </c>
      <c r="M2569">
        <v>40525385</v>
      </c>
      <c r="N2569">
        <v>27318287</v>
      </c>
      <c r="O2569">
        <v>21970989</v>
      </c>
      <c r="P2569">
        <v>961</v>
      </c>
      <c r="Q2569" t="s">
        <v>5470</v>
      </c>
    </row>
    <row r="2570" spans="1:17" x14ac:dyDescent="0.3">
      <c r="A2570" t="s">
        <v>4729</v>
      </c>
      <c r="B2570" t="str">
        <f>"000829"</f>
        <v>000829</v>
      </c>
      <c r="C2570" t="s">
        <v>5471</v>
      </c>
      <c r="D2570" t="s">
        <v>295</v>
      </c>
      <c r="F2570">
        <v>870292321</v>
      </c>
      <c r="G2570">
        <v>746477953</v>
      </c>
      <c r="H2570">
        <v>681568415</v>
      </c>
      <c r="I2570">
        <v>764246233</v>
      </c>
      <c r="J2570">
        <v>804132582</v>
      </c>
      <c r="K2570">
        <v>446903065</v>
      </c>
      <c r="L2570">
        <v>622297721</v>
      </c>
      <c r="M2570">
        <v>1168338926</v>
      </c>
      <c r="N2570">
        <v>1441210687</v>
      </c>
      <c r="O2570">
        <v>1389155334</v>
      </c>
      <c r="P2570">
        <v>187</v>
      </c>
      <c r="Q2570" t="s">
        <v>5472</v>
      </c>
    </row>
    <row r="2571" spans="1:17" x14ac:dyDescent="0.3">
      <c r="A2571" t="s">
        <v>4729</v>
      </c>
      <c r="B2571" t="str">
        <f>"000830"</f>
        <v>000830</v>
      </c>
      <c r="C2571" t="s">
        <v>5473</v>
      </c>
      <c r="D2571" t="s">
        <v>914</v>
      </c>
      <c r="F2571">
        <v>90649711</v>
      </c>
      <c r="G2571">
        <v>57271432</v>
      </c>
      <c r="H2571">
        <v>83612043</v>
      </c>
      <c r="I2571">
        <v>102210001</v>
      </c>
      <c r="J2571">
        <v>102133497</v>
      </c>
      <c r="K2571">
        <v>42878065</v>
      </c>
      <c r="L2571">
        <v>70046195</v>
      </c>
      <c r="M2571">
        <v>37152355</v>
      </c>
      <c r="N2571">
        <v>8459702</v>
      </c>
      <c r="O2571">
        <v>4692546</v>
      </c>
      <c r="P2571">
        <v>891</v>
      </c>
      <c r="Q2571" t="s">
        <v>5474</v>
      </c>
    </row>
    <row r="2572" spans="1:17" x14ac:dyDescent="0.3">
      <c r="A2572" t="s">
        <v>4729</v>
      </c>
      <c r="B2572" t="str">
        <f>"000831"</f>
        <v>000831</v>
      </c>
      <c r="C2572" t="s">
        <v>5475</v>
      </c>
      <c r="D2572" t="s">
        <v>266</v>
      </c>
      <c r="F2572">
        <v>16628811</v>
      </c>
      <c r="G2572">
        <v>2066130</v>
      </c>
      <c r="H2572">
        <v>236035800</v>
      </c>
      <c r="I2572">
        <v>269316531</v>
      </c>
      <c r="J2572">
        <v>197688152</v>
      </c>
      <c r="K2572">
        <v>334063666</v>
      </c>
      <c r="L2572">
        <v>341640920</v>
      </c>
      <c r="M2572">
        <v>335518785</v>
      </c>
      <c r="N2572">
        <v>1429986931</v>
      </c>
      <c r="O2572">
        <v>100005</v>
      </c>
      <c r="P2572">
        <v>458</v>
      </c>
      <c r="Q2572" t="s">
        <v>5476</v>
      </c>
    </row>
    <row r="2573" spans="1:17" x14ac:dyDescent="0.3">
      <c r="A2573" t="s">
        <v>4729</v>
      </c>
      <c r="B2573" t="str">
        <f>"000832"</f>
        <v>000832</v>
      </c>
      <c r="C2573" t="s">
        <v>5477</v>
      </c>
      <c r="K2573">
        <v>0</v>
      </c>
      <c r="L2573">
        <v>0</v>
      </c>
      <c r="M2573">
        <v>0</v>
      </c>
      <c r="N2573">
        <v>191431.51</v>
      </c>
      <c r="O2573">
        <v>735248.31</v>
      </c>
      <c r="P2573">
        <v>6</v>
      </c>
      <c r="Q2573" t="s">
        <v>5478</v>
      </c>
    </row>
    <row r="2574" spans="1:17" x14ac:dyDescent="0.3">
      <c r="A2574" t="s">
        <v>4729</v>
      </c>
      <c r="B2574" t="str">
        <f>"000833"</f>
        <v>000833</v>
      </c>
      <c r="C2574" t="s">
        <v>5479</v>
      </c>
      <c r="D2574" t="s">
        <v>110</v>
      </c>
      <c r="F2574">
        <v>7729620</v>
      </c>
      <c r="G2574">
        <v>35453416</v>
      </c>
      <c r="H2574">
        <v>32636318</v>
      </c>
      <c r="I2574">
        <v>40717559</v>
      </c>
      <c r="J2574">
        <v>42904429</v>
      </c>
      <c r="K2574">
        <v>65382317</v>
      </c>
      <c r="L2574">
        <v>51425935</v>
      </c>
      <c r="M2574">
        <v>29817870</v>
      </c>
      <c r="N2574">
        <v>27096609</v>
      </c>
      <c r="O2574">
        <v>46141197</v>
      </c>
      <c r="P2574">
        <v>88</v>
      </c>
      <c r="Q2574" t="s">
        <v>5480</v>
      </c>
    </row>
    <row r="2575" spans="1:17" x14ac:dyDescent="0.3">
      <c r="A2575" t="s">
        <v>4729</v>
      </c>
      <c r="B2575" t="str">
        <f>"000835"</f>
        <v>000835</v>
      </c>
      <c r="C2575" t="s">
        <v>5481</v>
      </c>
      <c r="D2575" t="s">
        <v>517</v>
      </c>
      <c r="F2575">
        <v>2052</v>
      </c>
      <c r="G2575">
        <v>6221251</v>
      </c>
      <c r="H2575">
        <v>11852718</v>
      </c>
      <c r="I2575">
        <v>29600729</v>
      </c>
      <c r="J2575">
        <v>84740074</v>
      </c>
      <c r="K2575">
        <v>71106903</v>
      </c>
      <c r="L2575">
        <v>240543647</v>
      </c>
      <c r="M2575">
        <v>184972517</v>
      </c>
      <c r="N2575">
        <v>134038713</v>
      </c>
      <c r="O2575">
        <v>119825045</v>
      </c>
      <c r="P2575">
        <v>69</v>
      </c>
      <c r="Q2575" t="s">
        <v>5482</v>
      </c>
    </row>
    <row r="2576" spans="1:17" x14ac:dyDescent="0.3">
      <c r="A2576" t="s">
        <v>4729</v>
      </c>
      <c r="B2576" t="str">
        <f>"000836"</f>
        <v>000836</v>
      </c>
      <c r="C2576" t="s">
        <v>5483</v>
      </c>
      <c r="D2576" t="s">
        <v>250</v>
      </c>
      <c r="F2576">
        <v>916198772</v>
      </c>
      <c r="G2576">
        <v>677920805</v>
      </c>
      <c r="H2576">
        <v>591342081</v>
      </c>
      <c r="I2576">
        <v>534624427</v>
      </c>
      <c r="J2576">
        <v>204272568</v>
      </c>
      <c r="K2576">
        <v>242797978</v>
      </c>
      <c r="L2576">
        <v>201512064</v>
      </c>
      <c r="M2576">
        <v>196187178</v>
      </c>
      <c r="N2576">
        <v>237807743</v>
      </c>
      <c r="O2576">
        <v>227386421</v>
      </c>
      <c r="P2576">
        <v>135</v>
      </c>
      <c r="Q2576" t="s">
        <v>5484</v>
      </c>
    </row>
    <row r="2577" spans="1:17" x14ac:dyDescent="0.3">
      <c r="A2577" t="s">
        <v>4729</v>
      </c>
      <c r="B2577" t="str">
        <f>"000837"</f>
        <v>000837</v>
      </c>
      <c r="C2577" t="s">
        <v>5485</v>
      </c>
      <c r="D2577" t="s">
        <v>2321</v>
      </c>
      <c r="F2577">
        <v>673672029</v>
      </c>
      <c r="G2577">
        <v>703699459</v>
      </c>
      <c r="H2577">
        <v>731270740</v>
      </c>
      <c r="I2577">
        <v>726368539</v>
      </c>
      <c r="J2577">
        <v>769208776</v>
      </c>
      <c r="K2577">
        <v>745916249</v>
      </c>
      <c r="L2577">
        <v>694994460</v>
      </c>
      <c r="M2577">
        <v>778862390</v>
      </c>
      <c r="N2577">
        <v>224197673</v>
      </c>
      <c r="O2577">
        <v>194937324</v>
      </c>
      <c r="P2577">
        <v>129</v>
      </c>
      <c r="Q2577" t="s">
        <v>5486</v>
      </c>
    </row>
    <row r="2578" spans="1:17" x14ac:dyDescent="0.3">
      <c r="A2578" t="s">
        <v>4729</v>
      </c>
      <c r="B2578" t="str">
        <f>"000838"</f>
        <v>000838</v>
      </c>
      <c r="C2578" t="s">
        <v>5487</v>
      </c>
      <c r="D2578" t="s">
        <v>104</v>
      </c>
      <c r="F2578">
        <v>105861334</v>
      </c>
      <c r="G2578">
        <v>9480832</v>
      </c>
      <c r="H2578">
        <v>84547405</v>
      </c>
      <c r="I2578">
        <v>113118080</v>
      </c>
      <c r="J2578">
        <v>101966542</v>
      </c>
      <c r="K2578">
        <v>16128943</v>
      </c>
      <c r="L2578">
        <v>4276247</v>
      </c>
      <c r="M2578">
        <v>9655147</v>
      </c>
      <c r="N2578">
        <v>22713955</v>
      </c>
      <c r="O2578">
        <v>13192571</v>
      </c>
      <c r="P2578">
        <v>98</v>
      </c>
      <c r="Q2578" t="s">
        <v>5488</v>
      </c>
    </row>
    <row r="2579" spans="1:17" x14ac:dyDescent="0.3">
      <c r="A2579" t="s">
        <v>4729</v>
      </c>
      <c r="B2579" t="str">
        <f>"000839"</f>
        <v>000839</v>
      </c>
      <c r="C2579" t="s">
        <v>5489</v>
      </c>
      <c r="D2579" t="s">
        <v>110</v>
      </c>
      <c r="F2579">
        <v>923781913</v>
      </c>
      <c r="G2579">
        <v>851011299</v>
      </c>
      <c r="H2579">
        <v>740884905</v>
      </c>
      <c r="I2579">
        <v>550787042</v>
      </c>
      <c r="J2579">
        <v>843942514</v>
      </c>
      <c r="K2579">
        <v>885072126</v>
      </c>
      <c r="L2579">
        <v>653027034</v>
      </c>
      <c r="M2579">
        <v>445588865</v>
      </c>
      <c r="N2579">
        <v>964984844</v>
      </c>
      <c r="O2579">
        <v>665876001</v>
      </c>
      <c r="P2579">
        <v>219</v>
      </c>
      <c r="Q2579" t="s">
        <v>5490</v>
      </c>
    </row>
    <row r="2580" spans="1:17" x14ac:dyDescent="0.3">
      <c r="A2580" t="s">
        <v>4729</v>
      </c>
      <c r="B2580" t="str">
        <f>"000848"</f>
        <v>000848</v>
      </c>
      <c r="C2580" t="s">
        <v>5491</v>
      </c>
      <c r="D2580" t="s">
        <v>440</v>
      </c>
      <c r="F2580">
        <v>1430</v>
      </c>
      <c r="G2580">
        <v>500000</v>
      </c>
      <c r="H2580">
        <v>0</v>
      </c>
      <c r="I2580">
        <v>162329</v>
      </c>
      <c r="J2580">
        <v>264530</v>
      </c>
      <c r="K2580">
        <v>5433440</v>
      </c>
      <c r="L2580">
        <v>1877981</v>
      </c>
      <c r="M2580">
        <v>836190</v>
      </c>
      <c r="N2580">
        <v>943253</v>
      </c>
      <c r="O2580">
        <v>1219720</v>
      </c>
      <c r="P2580">
        <v>41203</v>
      </c>
      <c r="Q2580" t="s">
        <v>5492</v>
      </c>
    </row>
    <row r="2581" spans="1:17" x14ac:dyDescent="0.3">
      <c r="A2581" t="s">
        <v>4729</v>
      </c>
      <c r="B2581" t="str">
        <f>"000850"</f>
        <v>000850</v>
      </c>
      <c r="C2581" t="s">
        <v>5493</v>
      </c>
      <c r="D2581" t="s">
        <v>1009</v>
      </c>
      <c r="F2581">
        <v>251696897</v>
      </c>
      <c r="G2581">
        <v>301083872</v>
      </c>
      <c r="H2581">
        <v>315483767</v>
      </c>
      <c r="I2581">
        <v>241524155</v>
      </c>
      <c r="J2581">
        <v>204099548</v>
      </c>
      <c r="K2581">
        <v>153168469</v>
      </c>
      <c r="L2581">
        <v>171752922</v>
      </c>
      <c r="M2581">
        <v>173243065</v>
      </c>
      <c r="N2581">
        <v>136649016</v>
      </c>
      <c r="O2581">
        <v>125282073</v>
      </c>
      <c r="P2581">
        <v>121</v>
      </c>
      <c r="Q2581" t="s">
        <v>5494</v>
      </c>
    </row>
    <row r="2582" spans="1:17" x14ac:dyDescent="0.3">
      <c r="A2582" t="s">
        <v>4729</v>
      </c>
      <c r="B2582" t="str">
        <f>"000851"</f>
        <v>000851</v>
      </c>
      <c r="C2582" t="s">
        <v>5495</v>
      </c>
      <c r="D2582" t="s">
        <v>1019</v>
      </c>
      <c r="F2582">
        <v>2864572821</v>
      </c>
      <c r="G2582">
        <v>3871673993</v>
      </c>
      <c r="H2582">
        <v>4021030831</v>
      </c>
      <c r="I2582">
        <v>1638774921</v>
      </c>
      <c r="J2582">
        <v>992534725</v>
      </c>
      <c r="K2582">
        <v>1522119198</v>
      </c>
      <c r="L2582">
        <v>1034607330</v>
      </c>
      <c r="M2582">
        <v>1401348328</v>
      </c>
      <c r="N2582">
        <v>1107457976</v>
      </c>
      <c r="O2582">
        <v>864517887</v>
      </c>
      <c r="P2582">
        <v>224</v>
      </c>
      <c r="Q2582" t="s">
        <v>5496</v>
      </c>
    </row>
    <row r="2583" spans="1:17" x14ac:dyDescent="0.3">
      <c r="A2583" t="s">
        <v>4729</v>
      </c>
      <c r="B2583" t="str">
        <f>"000852"</f>
        <v>000852</v>
      </c>
      <c r="C2583" t="s">
        <v>5497</v>
      </c>
      <c r="D2583" t="s">
        <v>395</v>
      </c>
      <c r="F2583">
        <v>1763326639</v>
      </c>
      <c r="G2583">
        <v>1413586431</v>
      </c>
      <c r="H2583">
        <v>1661730309</v>
      </c>
      <c r="I2583">
        <v>1987155542</v>
      </c>
      <c r="J2583">
        <v>2335763011</v>
      </c>
      <c r="K2583">
        <v>1990677646</v>
      </c>
      <c r="L2583">
        <v>2366434992</v>
      </c>
      <c r="M2583">
        <v>621045463</v>
      </c>
      <c r="N2583">
        <v>650139348</v>
      </c>
      <c r="O2583">
        <v>549010568</v>
      </c>
      <c r="P2583">
        <v>155</v>
      </c>
      <c r="Q2583" t="s">
        <v>5498</v>
      </c>
    </row>
    <row r="2584" spans="1:17" x14ac:dyDescent="0.3">
      <c r="A2584" t="s">
        <v>4729</v>
      </c>
      <c r="B2584" t="str">
        <f>"000856"</f>
        <v>000856</v>
      </c>
      <c r="C2584" t="s">
        <v>5499</v>
      </c>
      <c r="D2584" t="s">
        <v>741</v>
      </c>
      <c r="F2584">
        <v>684411153</v>
      </c>
      <c r="G2584">
        <v>471732543</v>
      </c>
      <c r="H2584">
        <v>645547358</v>
      </c>
      <c r="I2584">
        <v>769053019</v>
      </c>
      <c r="J2584">
        <v>773855414</v>
      </c>
      <c r="K2584">
        <v>645178299</v>
      </c>
      <c r="L2584">
        <v>741183168</v>
      </c>
      <c r="M2584">
        <v>820607180</v>
      </c>
      <c r="N2584">
        <v>698656527</v>
      </c>
      <c r="O2584">
        <v>471891927</v>
      </c>
      <c r="P2584">
        <v>101</v>
      </c>
      <c r="Q2584" t="s">
        <v>5500</v>
      </c>
    </row>
    <row r="2585" spans="1:17" x14ac:dyDescent="0.3">
      <c r="A2585" t="s">
        <v>4729</v>
      </c>
      <c r="B2585" t="str">
        <f>"000858"</f>
        <v>000858</v>
      </c>
      <c r="C2585" t="s">
        <v>5501</v>
      </c>
      <c r="D2585" t="s">
        <v>458</v>
      </c>
      <c r="F2585">
        <v>64193116</v>
      </c>
      <c r="G2585">
        <v>41496170</v>
      </c>
      <c r="H2585">
        <v>134449693</v>
      </c>
      <c r="I2585">
        <v>127331337</v>
      </c>
      <c r="J2585">
        <v>109569527</v>
      </c>
      <c r="K2585">
        <v>107702772</v>
      </c>
      <c r="L2585">
        <v>106953033</v>
      </c>
      <c r="M2585">
        <v>122947746</v>
      </c>
      <c r="N2585">
        <v>75473277</v>
      </c>
      <c r="O2585">
        <v>80997122</v>
      </c>
      <c r="P2585">
        <v>11635</v>
      </c>
      <c r="Q2585" t="s">
        <v>5502</v>
      </c>
    </row>
    <row r="2586" spans="1:17" x14ac:dyDescent="0.3">
      <c r="A2586" t="s">
        <v>4729</v>
      </c>
      <c r="B2586" t="str">
        <f>"000859"</f>
        <v>000859</v>
      </c>
      <c r="C2586" t="s">
        <v>5503</v>
      </c>
      <c r="D2586" t="s">
        <v>324</v>
      </c>
      <c r="F2586">
        <v>207184004</v>
      </c>
      <c r="G2586">
        <v>186879442</v>
      </c>
      <c r="H2586">
        <v>146927248</v>
      </c>
      <c r="I2586">
        <v>179248483</v>
      </c>
      <c r="J2586">
        <v>199336873</v>
      </c>
      <c r="K2586">
        <v>184888398</v>
      </c>
      <c r="L2586">
        <v>139234158</v>
      </c>
      <c r="M2586">
        <v>185042241</v>
      </c>
      <c r="N2586">
        <v>197231402</v>
      </c>
      <c r="O2586">
        <v>164272263</v>
      </c>
      <c r="P2586">
        <v>118</v>
      </c>
      <c r="Q2586" t="s">
        <v>5504</v>
      </c>
    </row>
    <row r="2587" spans="1:17" x14ac:dyDescent="0.3">
      <c r="A2587" t="s">
        <v>4729</v>
      </c>
      <c r="B2587" t="str">
        <f>"000860"</f>
        <v>000860</v>
      </c>
      <c r="C2587" t="s">
        <v>5505</v>
      </c>
      <c r="D2587" t="s">
        <v>458</v>
      </c>
      <c r="F2587">
        <v>28646544</v>
      </c>
      <c r="G2587">
        <v>46291112</v>
      </c>
      <c r="H2587">
        <v>65561972</v>
      </c>
      <c r="I2587">
        <v>73786846</v>
      </c>
      <c r="J2587">
        <v>92497117</v>
      </c>
      <c r="K2587">
        <v>180803275</v>
      </c>
      <c r="L2587">
        <v>276468485</v>
      </c>
      <c r="M2587">
        <v>101662754</v>
      </c>
      <c r="N2587">
        <v>113339177</v>
      </c>
      <c r="O2587">
        <v>162411416</v>
      </c>
      <c r="P2587">
        <v>1515</v>
      </c>
      <c r="Q2587" t="s">
        <v>5506</v>
      </c>
    </row>
    <row r="2588" spans="1:17" x14ac:dyDescent="0.3">
      <c r="A2588" t="s">
        <v>4729</v>
      </c>
      <c r="B2588" t="str">
        <f>"000861"</f>
        <v>000861</v>
      </c>
      <c r="C2588" t="s">
        <v>5507</v>
      </c>
      <c r="D2588" t="s">
        <v>271</v>
      </c>
      <c r="F2588">
        <v>53653222</v>
      </c>
      <c r="G2588">
        <v>94645321</v>
      </c>
      <c r="H2588">
        <v>248828984</v>
      </c>
      <c r="I2588">
        <v>386212617</v>
      </c>
      <c r="J2588">
        <v>379140089</v>
      </c>
      <c r="K2588">
        <v>143973052</v>
      </c>
      <c r="L2588">
        <v>58867616</v>
      </c>
      <c r="M2588">
        <v>46936839</v>
      </c>
      <c r="N2588">
        <v>107617121</v>
      </c>
      <c r="O2588">
        <v>139806976</v>
      </c>
      <c r="P2588">
        <v>184</v>
      </c>
      <c r="Q2588" t="s">
        <v>5508</v>
      </c>
    </row>
    <row r="2589" spans="1:17" x14ac:dyDescent="0.3">
      <c r="A2589" t="s">
        <v>4729</v>
      </c>
      <c r="B2589" t="str">
        <f>"000862"</f>
        <v>000862</v>
      </c>
      <c r="C2589" t="s">
        <v>5509</v>
      </c>
      <c r="D2589" t="s">
        <v>383</v>
      </c>
      <c r="F2589">
        <v>923772873</v>
      </c>
      <c r="G2589">
        <v>1611629501</v>
      </c>
      <c r="H2589">
        <v>1407421462</v>
      </c>
      <c r="I2589">
        <v>1092587189</v>
      </c>
      <c r="J2589">
        <v>832601154</v>
      </c>
      <c r="K2589">
        <v>660674594</v>
      </c>
      <c r="L2589">
        <v>253765153</v>
      </c>
      <c r="M2589">
        <v>500662010</v>
      </c>
      <c r="N2589">
        <v>378182650</v>
      </c>
      <c r="O2589">
        <v>577245870</v>
      </c>
      <c r="P2589">
        <v>171</v>
      </c>
      <c r="Q2589" t="s">
        <v>5510</v>
      </c>
    </row>
    <row r="2590" spans="1:17" x14ac:dyDescent="0.3">
      <c r="A2590" t="s">
        <v>4729</v>
      </c>
      <c r="B2590" t="str">
        <f>"000863"</f>
        <v>000863</v>
      </c>
      <c r="C2590" t="s">
        <v>5511</v>
      </c>
      <c r="D2590" t="s">
        <v>104</v>
      </c>
      <c r="F2590">
        <v>55480883</v>
      </c>
      <c r="G2590">
        <v>68962073</v>
      </c>
      <c r="H2590">
        <v>96833863</v>
      </c>
      <c r="I2590">
        <v>71236981</v>
      </c>
      <c r="J2590">
        <v>159245369</v>
      </c>
      <c r="K2590">
        <v>66440336</v>
      </c>
      <c r="L2590">
        <v>22375366</v>
      </c>
      <c r="M2590">
        <v>15219653</v>
      </c>
      <c r="N2590">
        <v>21601708</v>
      </c>
      <c r="O2590">
        <v>56675055</v>
      </c>
      <c r="P2590">
        <v>171</v>
      </c>
      <c r="Q2590" t="s">
        <v>5512</v>
      </c>
    </row>
    <row r="2591" spans="1:17" x14ac:dyDescent="0.3">
      <c r="A2591" t="s">
        <v>4729</v>
      </c>
      <c r="B2591" t="str">
        <f>"000868"</f>
        <v>000868</v>
      </c>
      <c r="C2591" t="s">
        <v>5513</v>
      </c>
      <c r="D2591" t="s">
        <v>153</v>
      </c>
      <c r="F2591">
        <v>1067774534</v>
      </c>
      <c r="G2591">
        <v>960462607</v>
      </c>
      <c r="H2591">
        <v>1132477615</v>
      </c>
      <c r="I2591">
        <v>2082856671</v>
      </c>
      <c r="J2591">
        <v>2008437081</v>
      </c>
      <c r="K2591">
        <v>2209125150</v>
      </c>
      <c r="L2591">
        <v>1448548317</v>
      </c>
      <c r="M2591">
        <v>938173157</v>
      </c>
      <c r="N2591">
        <v>820516577</v>
      </c>
      <c r="O2591">
        <v>582406260</v>
      </c>
      <c r="P2591">
        <v>171</v>
      </c>
      <c r="Q2591" t="s">
        <v>5514</v>
      </c>
    </row>
    <row r="2592" spans="1:17" x14ac:dyDescent="0.3">
      <c r="A2592" t="s">
        <v>4729</v>
      </c>
      <c r="B2592" t="str">
        <f>"000869"</f>
        <v>000869</v>
      </c>
      <c r="C2592" t="s">
        <v>5515</v>
      </c>
      <c r="D2592" t="s">
        <v>134</v>
      </c>
      <c r="F2592">
        <v>291006410</v>
      </c>
      <c r="G2592">
        <v>183853362</v>
      </c>
      <c r="H2592">
        <v>266218153</v>
      </c>
      <c r="I2592">
        <v>242153083</v>
      </c>
      <c r="J2592">
        <v>263796355</v>
      </c>
      <c r="K2592">
        <v>173062628</v>
      </c>
      <c r="L2592">
        <v>197795091</v>
      </c>
      <c r="M2592">
        <v>145672411</v>
      </c>
      <c r="N2592">
        <v>177109516</v>
      </c>
      <c r="O2592">
        <v>135217384</v>
      </c>
      <c r="P2592">
        <v>833</v>
      </c>
      <c r="Q2592" t="s">
        <v>5516</v>
      </c>
    </row>
    <row r="2593" spans="1:17" x14ac:dyDescent="0.3">
      <c r="A2593" t="s">
        <v>4729</v>
      </c>
      <c r="B2593" t="str">
        <f>"000875"</f>
        <v>000875</v>
      </c>
      <c r="C2593" t="s">
        <v>5517</v>
      </c>
      <c r="D2593" t="s">
        <v>239</v>
      </c>
      <c r="F2593">
        <v>8354115884</v>
      </c>
      <c r="G2593">
        <v>6724240709</v>
      </c>
      <c r="H2593">
        <v>4513354459</v>
      </c>
      <c r="I2593">
        <v>3352032638</v>
      </c>
      <c r="J2593">
        <v>1967175490</v>
      </c>
      <c r="K2593">
        <v>1249746235</v>
      </c>
      <c r="L2593">
        <v>865367747</v>
      </c>
      <c r="M2593">
        <v>814663164</v>
      </c>
      <c r="N2593">
        <v>764369645</v>
      </c>
      <c r="O2593">
        <v>549352223</v>
      </c>
      <c r="P2593">
        <v>278</v>
      </c>
      <c r="Q2593" t="s">
        <v>5518</v>
      </c>
    </row>
    <row r="2594" spans="1:17" x14ac:dyDescent="0.3">
      <c r="A2594" t="s">
        <v>4729</v>
      </c>
      <c r="B2594" t="str">
        <f>"000876"</f>
        <v>000876</v>
      </c>
      <c r="C2594" t="s">
        <v>5519</v>
      </c>
      <c r="D2594" t="s">
        <v>1900</v>
      </c>
      <c r="F2594">
        <v>1075065337</v>
      </c>
      <c r="G2594">
        <v>865340971</v>
      </c>
      <c r="H2594">
        <v>894050168</v>
      </c>
      <c r="I2594">
        <v>567538119</v>
      </c>
      <c r="J2594">
        <v>525473713</v>
      </c>
      <c r="K2594">
        <v>482846834</v>
      </c>
      <c r="L2594">
        <v>387037030</v>
      </c>
      <c r="M2594">
        <v>434228138</v>
      </c>
      <c r="N2594">
        <v>502797388</v>
      </c>
      <c r="O2594">
        <v>568002351</v>
      </c>
      <c r="P2594">
        <v>2609</v>
      </c>
      <c r="Q2594" t="s">
        <v>5520</v>
      </c>
    </row>
    <row r="2595" spans="1:17" x14ac:dyDescent="0.3">
      <c r="A2595" t="s">
        <v>4729</v>
      </c>
      <c r="B2595" t="str">
        <f>"000877"</f>
        <v>000877</v>
      </c>
      <c r="C2595" t="s">
        <v>5521</v>
      </c>
      <c r="D2595" t="s">
        <v>731</v>
      </c>
      <c r="F2595">
        <v>32929536981</v>
      </c>
      <c r="G2595">
        <v>461781564</v>
      </c>
      <c r="H2595">
        <v>462068372</v>
      </c>
      <c r="I2595">
        <v>482551880</v>
      </c>
      <c r="J2595">
        <v>564539885</v>
      </c>
      <c r="K2595">
        <v>662349755</v>
      </c>
      <c r="L2595">
        <v>871585254</v>
      </c>
      <c r="M2595">
        <v>838289364</v>
      </c>
      <c r="N2595">
        <v>635202614</v>
      </c>
      <c r="O2595">
        <v>583762249</v>
      </c>
      <c r="P2595">
        <v>742</v>
      </c>
      <c r="Q2595" t="s">
        <v>5522</v>
      </c>
    </row>
    <row r="2596" spans="1:17" x14ac:dyDescent="0.3">
      <c r="A2596" t="s">
        <v>4729</v>
      </c>
      <c r="B2596" t="str">
        <f>"000878"</f>
        <v>000878</v>
      </c>
      <c r="C2596" t="s">
        <v>5523</v>
      </c>
      <c r="D2596" t="s">
        <v>263</v>
      </c>
      <c r="F2596">
        <v>81974159</v>
      </c>
      <c r="G2596">
        <v>89749276</v>
      </c>
      <c r="H2596">
        <v>77979967</v>
      </c>
      <c r="I2596">
        <v>343457985</v>
      </c>
      <c r="J2596">
        <v>680993272</v>
      </c>
      <c r="K2596">
        <v>503654170</v>
      </c>
      <c r="L2596">
        <v>484647196</v>
      </c>
      <c r="M2596">
        <v>614218864</v>
      </c>
      <c r="N2596">
        <v>612719354</v>
      </c>
      <c r="O2596">
        <v>651706201</v>
      </c>
      <c r="P2596">
        <v>418</v>
      </c>
      <c r="Q2596" t="s">
        <v>5524</v>
      </c>
    </row>
    <row r="2597" spans="1:17" x14ac:dyDescent="0.3">
      <c r="A2597" t="s">
        <v>4729</v>
      </c>
      <c r="B2597" t="str">
        <f>"000880"</f>
        <v>000880</v>
      </c>
      <c r="C2597" t="s">
        <v>5525</v>
      </c>
      <c r="D2597" t="s">
        <v>348</v>
      </c>
      <c r="F2597">
        <v>256382186</v>
      </c>
      <c r="G2597">
        <v>156566666</v>
      </c>
      <c r="H2597">
        <v>136527053</v>
      </c>
      <c r="I2597">
        <v>136597475</v>
      </c>
      <c r="J2597">
        <v>122328780</v>
      </c>
      <c r="K2597">
        <v>130997343</v>
      </c>
      <c r="L2597">
        <v>198177788</v>
      </c>
      <c r="M2597">
        <v>190551450</v>
      </c>
      <c r="N2597">
        <v>29081349</v>
      </c>
      <c r="O2597">
        <v>42827942</v>
      </c>
      <c r="P2597">
        <v>102</v>
      </c>
      <c r="Q2597" t="s">
        <v>5526</v>
      </c>
    </row>
    <row r="2598" spans="1:17" x14ac:dyDescent="0.3">
      <c r="A2598" t="s">
        <v>4729</v>
      </c>
      <c r="B2598" t="str">
        <f>"000881"</f>
        <v>000881</v>
      </c>
      <c r="C2598" t="s">
        <v>5527</v>
      </c>
      <c r="D2598" t="s">
        <v>386</v>
      </c>
      <c r="F2598">
        <v>2194437309</v>
      </c>
      <c r="G2598">
        <v>1989425700</v>
      </c>
      <c r="H2598">
        <v>2177838317</v>
      </c>
      <c r="I2598">
        <v>2271818539</v>
      </c>
      <c r="J2598">
        <v>1882359130</v>
      </c>
      <c r="K2598">
        <v>1257342269</v>
      </c>
      <c r="L2598">
        <v>431105227</v>
      </c>
      <c r="M2598">
        <v>252106293</v>
      </c>
      <c r="N2598">
        <v>139171382</v>
      </c>
      <c r="O2598">
        <v>175717219</v>
      </c>
      <c r="P2598">
        <v>169</v>
      </c>
      <c r="Q2598" t="s">
        <v>5528</v>
      </c>
    </row>
    <row r="2599" spans="1:17" x14ac:dyDescent="0.3">
      <c r="A2599" t="s">
        <v>4729</v>
      </c>
      <c r="B2599" t="str">
        <f>"000882"</f>
        <v>000882</v>
      </c>
      <c r="C2599" t="s">
        <v>5529</v>
      </c>
      <c r="D2599" t="s">
        <v>633</v>
      </c>
      <c r="F2599">
        <v>60471284</v>
      </c>
      <c r="G2599">
        <v>20894661</v>
      </c>
      <c r="H2599">
        <v>194715825</v>
      </c>
      <c r="I2599">
        <v>437423524</v>
      </c>
      <c r="J2599">
        <v>199191544</v>
      </c>
      <c r="K2599">
        <v>24461319</v>
      </c>
      <c r="L2599">
        <v>41205208</v>
      </c>
      <c r="M2599">
        <v>47311811</v>
      </c>
      <c r="N2599">
        <v>156147457</v>
      </c>
      <c r="O2599">
        <v>49674092</v>
      </c>
      <c r="P2599">
        <v>114</v>
      </c>
      <c r="Q2599" t="s">
        <v>5530</v>
      </c>
    </row>
    <row r="2600" spans="1:17" x14ac:dyDescent="0.3">
      <c r="A2600" t="s">
        <v>4729</v>
      </c>
      <c r="B2600" t="str">
        <f>"000883"</f>
        <v>000883</v>
      </c>
      <c r="C2600" t="s">
        <v>5531</v>
      </c>
      <c r="D2600" t="s">
        <v>239</v>
      </c>
      <c r="F2600">
        <v>3986658167</v>
      </c>
      <c r="G2600">
        <v>3008023813</v>
      </c>
      <c r="H2600">
        <v>2241612850</v>
      </c>
      <c r="I2600">
        <v>1535686255</v>
      </c>
      <c r="J2600">
        <v>1088581917</v>
      </c>
      <c r="K2600">
        <v>736284846</v>
      </c>
      <c r="L2600">
        <v>597163369</v>
      </c>
      <c r="M2600">
        <v>689696783</v>
      </c>
      <c r="N2600">
        <v>767887648</v>
      </c>
      <c r="O2600">
        <v>960941509</v>
      </c>
      <c r="P2600">
        <v>419</v>
      </c>
      <c r="Q2600" t="s">
        <v>5532</v>
      </c>
    </row>
    <row r="2601" spans="1:17" x14ac:dyDescent="0.3">
      <c r="A2601" t="s">
        <v>4729</v>
      </c>
      <c r="B2601" t="str">
        <f>"000885"</f>
        <v>000885</v>
      </c>
      <c r="C2601" t="s">
        <v>5533</v>
      </c>
      <c r="D2601" t="s">
        <v>44</v>
      </c>
      <c r="F2601">
        <v>910970403</v>
      </c>
      <c r="G2601">
        <v>206529048</v>
      </c>
      <c r="H2601">
        <v>154884359</v>
      </c>
      <c r="I2601">
        <v>56190550</v>
      </c>
      <c r="J2601">
        <v>45413225</v>
      </c>
      <c r="K2601">
        <v>83617054</v>
      </c>
      <c r="L2601">
        <v>85042442</v>
      </c>
      <c r="M2601">
        <v>80265505</v>
      </c>
      <c r="N2601">
        <v>85482746</v>
      </c>
      <c r="O2601">
        <v>75380742</v>
      </c>
      <c r="P2601">
        <v>236</v>
      </c>
      <c r="Q2601" t="s">
        <v>5534</v>
      </c>
    </row>
    <row r="2602" spans="1:17" x14ac:dyDescent="0.3">
      <c r="A2602" t="s">
        <v>4729</v>
      </c>
      <c r="B2602" t="str">
        <f>"000886"</f>
        <v>000886</v>
      </c>
      <c r="C2602" t="s">
        <v>5535</v>
      </c>
      <c r="D2602" t="s">
        <v>44</v>
      </c>
      <c r="F2602">
        <v>44514890</v>
      </c>
      <c r="G2602">
        <v>8934674</v>
      </c>
      <c r="H2602">
        <v>7686818</v>
      </c>
      <c r="I2602">
        <v>11714543</v>
      </c>
      <c r="J2602">
        <v>20225305</v>
      </c>
      <c r="K2602">
        <v>8168182</v>
      </c>
      <c r="L2602">
        <v>16995905</v>
      </c>
      <c r="M2602">
        <v>31606627</v>
      </c>
      <c r="N2602">
        <v>10121638</v>
      </c>
      <c r="O2602">
        <v>3929824</v>
      </c>
      <c r="P2602">
        <v>130</v>
      </c>
      <c r="Q2602" t="s">
        <v>5536</v>
      </c>
    </row>
    <row r="2603" spans="1:17" x14ac:dyDescent="0.3">
      <c r="A2603" t="s">
        <v>4729</v>
      </c>
      <c r="B2603" t="str">
        <f>"000887"</f>
        <v>000887</v>
      </c>
      <c r="C2603" t="s">
        <v>5537</v>
      </c>
      <c r="D2603" t="s">
        <v>985</v>
      </c>
      <c r="F2603">
        <v>2809346637</v>
      </c>
      <c r="G2603">
        <v>2862706449</v>
      </c>
      <c r="H2603">
        <v>2966637700</v>
      </c>
      <c r="I2603">
        <v>2947038158</v>
      </c>
      <c r="J2603">
        <v>2591280841</v>
      </c>
      <c r="K2603">
        <v>1985813828</v>
      </c>
      <c r="L2603">
        <v>1438374147</v>
      </c>
      <c r="M2603">
        <v>1230119795</v>
      </c>
      <c r="N2603">
        <v>995372845</v>
      </c>
      <c r="O2603">
        <v>845377880</v>
      </c>
      <c r="P2603">
        <v>7118</v>
      </c>
      <c r="Q2603" t="s">
        <v>5538</v>
      </c>
    </row>
    <row r="2604" spans="1:17" x14ac:dyDescent="0.3">
      <c r="A2604" t="s">
        <v>4729</v>
      </c>
      <c r="B2604" t="str">
        <f>"000888"</f>
        <v>000888</v>
      </c>
      <c r="C2604" t="s">
        <v>5539</v>
      </c>
      <c r="D2604" t="s">
        <v>119</v>
      </c>
      <c r="F2604">
        <v>19620484</v>
      </c>
      <c r="G2604">
        <v>23414057</v>
      </c>
      <c r="H2604">
        <v>42663832</v>
      </c>
      <c r="I2604">
        <v>31109746</v>
      </c>
      <c r="J2604">
        <v>21438386</v>
      </c>
      <c r="K2604">
        <v>21478788</v>
      </c>
      <c r="L2604">
        <v>20738426</v>
      </c>
      <c r="M2604">
        <v>19358487</v>
      </c>
      <c r="N2604">
        <v>14266420</v>
      </c>
      <c r="O2604">
        <v>19758342</v>
      </c>
      <c r="P2604">
        <v>218</v>
      </c>
      <c r="Q2604" t="s">
        <v>5540</v>
      </c>
    </row>
    <row r="2605" spans="1:17" x14ac:dyDescent="0.3">
      <c r="A2605" t="s">
        <v>4729</v>
      </c>
      <c r="B2605" t="str">
        <f>"000889"</f>
        <v>000889</v>
      </c>
      <c r="C2605" t="s">
        <v>5541</v>
      </c>
      <c r="D2605" t="s">
        <v>654</v>
      </c>
      <c r="F2605">
        <v>491697134</v>
      </c>
      <c r="G2605">
        <v>841879489</v>
      </c>
      <c r="H2605">
        <v>889919465</v>
      </c>
      <c r="I2605">
        <v>1054026627</v>
      </c>
      <c r="J2605">
        <v>689459689</v>
      </c>
      <c r="K2605">
        <v>488840418</v>
      </c>
      <c r="L2605">
        <v>417096246</v>
      </c>
      <c r="M2605">
        <v>116087551</v>
      </c>
      <c r="N2605">
        <v>37666262</v>
      </c>
      <c r="O2605">
        <v>35451232</v>
      </c>
      <c r="P2605">
        <v>157</v>
      </c>
      <c r="Q2605" t="s">
        <v>5542</v>
      </c>
    </row>
    <row r="2606" spans="1:17" x14ac:dyDescent="0.3">
      <c r="A2606" t="s">
        <v>4729</v>
      </c>
      <c r="B2606" t="str">
        <f>"000890"</f>
        <v>000890</v>
      </c>
      <c r="C2606" t="s">
        <v>5543</v>
      </c>
      <c r="D2606" t="s">
        <v>274</v>
      </c>
      <c r="F2606">
        <v>319649766</v>
      </c>
      <c r="G2606">
        <v>107621917</v>
      </c>
      <c r="H2606">
        <v>141088694</v>
      </c>
      <c r="I2606">
        <v>229780690</v>
      </c>
      <c r="J2606">
        <v>246325015</v>
      </c>
      <c r="K2606">
        <v>596308897</v>
      </c>
      <c r="L2606">
        <v>649237961</v>
      </c>
      <c r="M2606">
        <v>559814555</v>
      </c>
      <c r="N2606">
        <v>594654526</v>
      </c>
      <c r="O2606">
        <v>573936440</v>
      </c>
      <c r="P2606">
        <v>133</v>
      </c>
      <c r="Q2606" t="s">
        <v>5544</v>
      </c>
    </row>
    <row r="2607" spans="1:17" x14ac:dyDescent="0.3">
      <c r="A2607" t="s">
        <v>4729</v>
      </c>
      <c r="B2607" t="str">
        <f>"000892"</f>
        <v>000892</v>
      </c>
      <c r="C2607" t="s">
        <v>5545</v>
      </c>
      <c r="D2607" t="s">
        <v>113</v>
      </c>
      <c r="F2607">
        <v>242175680</v>
      </c>
      <c r="G2607">
        <v>186673272</v>
      </c>
      <c r="H2607">
        <v>1263166214</v>
      </c>
      <c r="I2607">
        <v>2322106990</v>
      </c>
      <c r="J2607">
        <v>1719670393</v>
      </c>
      <c r="K2607">
        <v>766354234</v>
      </c>
      <c r="L2607">
        <v>5047911</v>
      </c>
      <c r="M2607">
        <v>0</v>
      </c>
      <c r="N2607">
        <v>0</v>
      </c>
      <c r="O2607">
        <v>0</v>
      </c>
      <c r="P2607">
        <v>109</v>
      </c>
      <c r="Q2607" t="s">
        <v>5546</v>
      </c>
    </row>
    <row r="2608" spans="1:17" x14ac:dyDescent="0.3">
      <c r="A2608" t="s">
        <v>4729</v>
      </c>
      <c r="B2608" t="str">
        <f>"000893"</f>
        <v>000893</v>
      </c>
      <c r="C2608" t="s">
        <v>5547</v>
      </c>
      <c r="D2608" t="s">
        <v>3458</v>
      </c>
      <c r="F2608">
        <v>28568567</v>
      </c>
      <c r="G2608">
        <v>23096758</v>
      </c>
      <c r="H2608">
        <v>61045234</v>
      </c>
      <c r="I2608">
        <v>11041784</v>
      </c>
      <c r="J2608">
        <v>28484093</v>
      </c>
      <c r="K2608">
        <v>23045240</v>
      </c>
      <c r="L2608">
        <v>88175402</v>
      </c>
      <c r="M2608">
        <v>21312196</v>
      </c>
      <c r="N2608">
        <v>36825775</v>
      </c>
      <c r="O2608">
        <v>21314946</v>
      </c>
      <c r="P2608">
        <v>159</v>
      </c>
      <c r="Q2608" t="s">
        <v>5548</v>
      </c>
    </row>
    <row r="2609" spans="1:17" x14ac:dyDescent="0.3">
      <c r="A2609" t="s">
        <v>4729</v>
      </c>
      <c r="B2609" t="str">
        <f>"000895"</f>
        <v>000895</v>
      </c>
      <c r="C2609" t="s">
        <v>5549</v>
      </c>
      <c r="D2609" t="s">
        <v>170</v>
      </c>
      <c r="F2609">
        <v>183490883</v>
      </c>
      <c r="G2609">
        <v>235909236</v>
      </c>
      <c r="H2609">
        <v>153998533</v>
      </c>
      <c r="I2609">
        <v>99669928</v>
      </c>
      <c r="J2609">
        <v>135043453</v>
      </c>
      <c r="K2609">
        <v>100835615</v>
      </c>
      <c r="L2609">
        <v>131744098</v>
      </c>
      <c r="M2609">
        <v>129347113</v>
      </c>
      <c r="N2609">
        <v>194544400</v>
      </c>
      <c r="O2609">
        <v>225908189</v>
      </c>
      <c r="P2609">
        <v>37259</v>
      </c>
      <c r="Q2609" t="s">
        <v>5550</v>
      </c>
    </row>
    <row r="2610" spans="1:17" x14ac:dyDescent="0.3">
      <c r="A2610" t="s">
        <v>4729</v>
      </c>
      <c r="B2610" t="str">
        <f>"000897"</f>
        <v>000897</v>
      </c>
      <c r="C2610" t="s">
        <v>5551</v>
      </c>
      <c r="D2610" t="s">
        <v>104</v>
      </c>
      <c r="F2610">
        <v>65193422</v>
      </c>
      <c r="G2610">
        <v>75847691</v>
      </c>
      <c r="H2610">
        <v>69405476</v>
      </c>
      <c r="I2610">
        <v>61526431</v>
      </c>
      <c r="J2610">
        <v>91162626</v>
      </c>
      <c r="K2610">
        <v>86244515</v>
      </c>
      <c r="L2610">
        <v>82636786</v>
      </c>
      <c r="M2610">
        <v>104184188</v>
      </c>
      <c r="N2610">
        <v>277413731</v>
      </c>
      <c r="O2610">
        <v>59191112</v>
      </c>
      <c r="P2610">
        <v>170</v>
      </c>
      <c r="Q2610" t="s">
        <v>5552</v>
      </c>
    </row>
    <row r="2611" spans="1:17" x14ac:dyDescent="0.3">
      <c r="A2611" t="s">
        <v>4729</v>
      </c>
      <c r="B2611" t="str">
        <f>"000898"</f>
        <v>000898</v>
      </c>
      <c r="C2611" t="s">
        <v>5553</v>
      </c>
      <c r="D2611" t="s">
        <v>38</v>
      </c>
      <c r="F2611">
        <v>1889000000</v>
      </c>
      <c r="G2611">
        <v>2593000000</v>
      </c>
      <c r="H2611">
        <v>2569000000</v>
      </c>
      <c r="I2611">
        <v>2460000000</v>
      </c>
      <c r="J2611">
        <v>2463000000</v>
      </c>
      <c r="K2611">
        <v>1942000000</v>
      </c>
      <c r="L2611">
        <v>1123000000</v>
      </c>
      <c r="M2611">
        <v>1835000000</v>
      </c>
      <c r="N2611">
        <v>2134000000</v>
      </c>
      <c r="O2611">
        <v>2247000000</v>
      </c>
      <c r="P2611">
        <v>646</v>
      </c>
      <c r="Q2611" t="s">
        <v>5554</v>
      </c>
    </row>
    <row r="2612" spans="1:17" x14ac:dyDescent="0.3">
      <c r="A2612" t="s">
        <v>4729</v>
      </c>
      <c r="B2612" t="str">
        <f>"000899"</f>
        <v>000899</v>
      </c>
      <c r="C2612" t="s">
        <v>5555</v>
      </c>
      <c r="D2612" t="s">
        <v>41</v>
      </c>
      <c r="F2612">
        <v>217781612</v>
      </c>
      <c r="G2612">
        <v>353902904</v>
      </c>
      <c r="H2612">
        <v>274678881</v>
      </c>
      <c r="I2612">
        <v>304902273</v>
      </c>
      <c r="J2612">
        <v>359585545</v>
      </c>
      <c r="K2612">
        <v>415184097</v>
      </c>
      <c r="L2612">
        <v>242067599</v>
      </c>
      <c r="M2612">
        <v>319318935</v>
      </c>
      <c r="N2612">
        <v>257675714</v>
      </c>
      <c r="O2612">
        <v>247819912</v>
      </c>
      <c r="P2612">
        <v>174</v>
      </c>
      <c r="Q2612" t="s">
        <v>5556</v>
      </c>
    </row>
    <row r="2613" spans="1:17" x14ac:dyDescent="0.3">
      <c r="A2613" t="s">
        <v>4729</v>
      </c>
      <c r="B2613" t="str">
        <f>"000900"</f>
        <v>000900</v>
      </c>
      <c r="C2613" t="s">
        <v>5557</v>
      </c>
      <c r="D2613" t="s">
        <v>44</v>
      </c>
      <c r="F2613">
        <v>301597877</v>
      </c>
      <c r="G2613">
        <v>280347064</v>
      </c>
      <c r="H2613">
        <v>369265328</v>
      </c>
      <c r="I2613">
        <v>456717090</v>
      </c>
      <c r="J2613">
        <v>434761780</v>
      </c>
      <c r="K2613">
        <v>397780816</v>
      </c>
      <c r="L2613">
        <v>268136641</v>
      </c>
      <c r="M2613">
        <v>271972835</v>
      </c>
      <c r="N2613">
        <v>111322172</v>
      </c>
      <c r="O2613">
        <v>95992449</v>
      </c>
      <c r="P2613">
        <v>570</v>
      </c>
      <c r="Q2613" t="s">
        <v>5558</v>
      </c>
    </row>
    <row r="2614" spans="1:17" x14ac:dyDescent="0.3">
      <c r="A2614" t="s">
        <v>4729</v>
      </c>
      <c r="B2614" t="str">
        <f>"000901"</f>
        <v>000901</v>
      </c>
      <c r="C2614" t="s">
        <v>5559</v>
      </c>
      <c r="D2614" t="s">
        <v>1136</v>
      </c>
      <c r="F2614">
        <v>998883752</v>
      </c>
      <c r="G2614">
        <v>943385232</v>
      </c>
      <c r="H2614">
        <v>1008957343</v>
      </c>
      <c r="I2614">
        <v>1048546537</v>
      </c>
      <c r="J2614">
        <v>1023864669</v>
      </c>
      <c r="K2614">
        <v>1035777322</v>
      </c>
      <c r="L2614">
        <v>388684164</v>
      </c>
      <c r="M2614">
        <v>368776934</v>
      </c>
      <c r="N2614">
        <v>346859285</v>
      </c>
      <c r="O2614">
        <v>291341405</v>
      </c>
      <c r="P2614">
        <v>224</v>
      </c>
      <c r="Q2614" t="s">
        <v>5560</v>
      </c>
    </row>
    <row r="2615" spans="1:17" x14ac:dyDescent="0.3">
      <c r="A2615" t="s">
        <v>4729</v>
      </c>
      <c r="B2615" t="str">
        <f>"000902"</f>
        <v>000902</v>
      </c>
      <c r="C2615" t="s">
        <v>5561</v>
      </c>
      <c r="D2615" t="s">
        <v>5562</v>
      </c>
      <c r="F2615">
        <v>278409229</v>
      </c>
      <c r="G2615">
        <v>188454378</v>
      </c>
      <c r="H2615">
        <v>207783600</v>
      </c>
      <c r="I2615">
        <v>194174012</v>
      </c>
      <c r="J2615">
        <v>95469216</v>
      </c>
      <c r="K2615">
        <v>56338131</v>
      </c>
      <c r="L2615">
        <v>49321419</v>
      </c>
      <c r="M2615">
        <v>20479770</v>
      </c>
      <c r="N2615">
        <v>200644488</v>
      </c>
      <c r="O2615">
        <v>137600668</v>
      </c>
      <c r="P2615">
        <v>406</v>
      </c>
      <c r="Q2615" t="s">
        <v>5563</v>
      </c>
    </row>
    <row r="2616" spans="1:17" x14ac:dyDescent="0.3">
      <c r="A2616" t="s">
        <v>4729</v>
      </c>
      <c r="B2616" t="str">
        <f>"000903"</f>
        <v>000903</v>
      </c>
      <c r="C2616" t="s">
        <v>5564</v>
      </c>
      <c r="D2616" t="s">
        <v>348</v>
      </c>
      <c r="F2616">
        <v>2221329689</v>
      </c>
      <c r="G2616">
        <v>1369924251</v>
      </c>
      <c r="H2616">
        <v>1948943345</v>
      </c>
      <c r="I2616">
        <v>1428594222</v>
      </c>
      <c r="J2616">
        <v>1144372748</v>
      </c>
      <c r="K2616">
        <v>480561448</v>
      </c>
      <c r="L2616">
        <v>540558433</v>
      </c>
      <c r="M2616">
        <v>534010186</v>
      </c>
      <c r="N2616">
        <v>362149257</v>
      </c>
      <c r="O2616">
        <v>234720012</v>
      </c>
      <c r="P2616">
        <v>155</v>
      </c>
      <c r="Q2616" t="s">
        <v>5565</v>
      </c>
    </row>
    <row r="2617" spans="1:17" x14ac:dyDescent="0.3">
      <c r="A2617" t="s">
        <v>4729</v>
      </c>
      <c r="B2617" t="str">
        <f>"000905"</f>
        <v>000905</v>
      </c>
      <c r="C2617" t="s">
        <v>5566</v>
      </c>
      <c r="D2617" t="s">
        <v>51</v>
      </c>
      <c r="F2617">
        <v>947323534</v>
      </c>
      <c r="G2617">
        <v>1146433550</v>
      </c>
      <c r="H2617">
        <v>783433188</v>
      </c>
      <c r="I2617">
        <v>704514948</v>
      </c>
      <c r="J2617">
        <v>782482816</v>
      </c>
      <c r="K2617">
        <v>826009810</v>
      </c>
      <c r="L2617">
        <v>707699996</v>
      </c>
      <c r="M2617">
        <v>759179838</v>
      </c>
      <c r="N2617">
        <v>549174261</v>
      </c>
      <c r="O2617">
        <v>565835471</v>
      </c>
      <c r="P2617">
        <v>213</v>
      </c>
      <c r="Q2617" t="s">
        <v>5567</v>
      </c>
    </row>
    <row r="2618" spans="1:17" x14ac:dyDescent="0.3">
      <c r="A2618" t="s">
        <v>4729</v>
      </c>
      <c r="B2618" t="str">
        <f>"000906"</f>
        <v>000906</v>
      </c>
      <c r="C2618" t="s">
        <v>5568</v>
      </c>
      <c r="D2618" t="s">
        <v>128</v>
      </c>
      <c r="F2618">
        <v>4055932075</v>
      </c>
      <c r="G2618">
        <v>3884947170</v>
      </c>
      <c r="H2618">
        <v>3030285103</v>
      </c>
      <c r="I2618">
        <v>2738552260</v>
      </c>
      <c r="J2618">
        <v>2355164323</v>
      </c>
      <c r="K2618">
        <v>1431011433</v>
      </c>
      <c r="L2618">
        <v>1175850143</v>
      </c>
      <c r="M2618">
        <v>916451001</v>
      </c>
      <c r="N2618">
        <v>493570928</v>
      </c>
      <c r="O2618">
        <v>420124319</v>
      </c>
      <c r="P2618">
        <v>238</v>
      </c>
      <c r="Q2618" t="s">
        <v>5569</v>
      </c>
    </row>
    <row r="2619" spans="1:17" x14ac:dyDescent="0.3">
      <c r="A2619" t="s">
        <v>4729</v>
      </c>
      <c r="B2619" t="str">
        <f>"000908"</f>
        <v>000908</v>
      </c>
      <c r="C2619" t="s">
        <v>5570</v>
      </c>
      <c r="D2619" t="s">
        <v>143</v>
      </c>
      <c r="F2619">
        <v>202233546</v>
      </c>
      <c r="G2619">
        <v>444116036</v>
      </c>
      <c r="H2619">
        <v>693015107</v>
      </c>
      <c r="I2619">
        <v>766886137</v>
      </c>
      <c r="J2619">
        <v>649665142</v>
      </c>
      <c r="K2619">
        <v>763985435</v>
      </c>
      <c r="L2619">
        <v>627668626</v>
      </c>
      <c r="M2619">
        <v>354896698</v>
      </c>
      <c r="N2619">
        <v>79805818</v>
      </c>
      <c r="O2619">
        <v>82729320</v>
      </c>
      <c r="P2619">
        <v>186</v>
      </c>
      <c r="Q2619" t="s">
        <v>5571</v>
      </c>
    </row>
    <row r="2620" spans="1:17" x14ac:dyDescent="0.3">
      <c r="A2620" t="s">
        <v>4729</v>
      </c>
      <c r="B2620" t="str">
        <f>"000909"</f>
        <v>000909</v>
      </c>
      <c r="C2620" t="s">
        <v>5572</v>
      </c>
      <c r="D2620" t="s">
        <v>104</v>
      </c>
      <c r="F2620">
        <v>322413770</v>
      </c>
      <c r="G2620">
        <v>383845509</v>
      </c>
      <c r="H2620">
        <v>205611561</v>
      </c>
      <c r="I2620">
        <v>296915750</v>
      </c>
      <c r="J2620">
        <v>282251635</v>
      </c>
      <c r="K2620">
        <v>362617139</v>
      </c>
      <c r="L2620">
        <v>272081309</v>
      </c>
      <c r="M2620">
        <v>84443300</v>
      </c>
      <c r="N2620">
        <v>118929587</v>
      </c>
      <c r="O2620">
        <v>120182403</v>
      </c>
      <c r="P2620">
        <v>206</v>
      </c>
      <c r="Q2620" t="s">
        <v>5573</v>
      </c>
    </row>
    <row r="2621" spans="1:17" x14ac:dyDescent="0.3">
      <c r="A2621" t="s">
        <v>4729</v>
      </c>
      <c r="B2621" t="str">
        <f>"000910"</f>
        <v>000910</v>
      </c>
      <c r="C2621" t="s">
        <v>5574</v>
      </c>
      <c r="D2621" t="s">
        <v>178</v>
      </c>
      <c r="F2621">
        <v>1905023634</v>
      </c>
      <c r="G2621">
        <v>1343394884</v>
      </c>
      <c r="H2621">
        <v>1031833049</v>
      </c>
      <c r="I2621">
        <v>761446721</v>
      </c>
      <c r="J2621">
        <v>724197870</v>
      </c>
      <c r="K2621">
        <v>656110517</v>
      </c>
      <c r="L2621">
        <v>505815116</v>
      </c>
      <c r="M2621">
        <v>838294240</v>
      </c>
      <c r="N2621">
        <v>796924207</v>
      </c>
      <c r="O2621">
        <v>880265437</v>
      </c>
      <c r="P2621">
        <v>813</v>
      </c>
      <c r="Q2621" t="s">
        <v>5575</v>
      </c>
    </row>
    <row r="2622" spans="1:17" x14ac:dyDescent="0.3">
      <c r="A2622" t="s">
        <v>4729</v>
      </c>
      <c r="B2622" t="str">
        <f>"000911"</f>
        <v>000911</v>
      </c>
      <c r="C2622" t="s">
        <v>5576</v>
      </c>
      <c r="D2622" t="s">
        <v>445</v>
      </c>
      <c r="F2622">
        <v>328560103</v>
      </c>
      <c r="G2622">
        <v>434622979</v>
      </c>
      <c r="H2622">
        <v>314547616</v>
      </c>
      <c r="I2622">
        <v>432487939</v>
      </c>
      <c r="J2622">
        <v>628385384</v>
      </c>
      <c r="K2622">
        <v>752114666</v>
      </c>
      <c r="L2622">
        <v>597524993</v>
      </c>
      <c r="M2622">
        <v>413936000</v>
      </c>
      <c r="N2622">
        <v>551593114</v>
      </c>
      <c r="O2622">
        <v>202967481</v>
      </c>
      <c r="P2622">
        <v>334</v>
      </c>
      <c r="Q2622" t="s">
        <v>5577</v>
      </c>
    </row>
    <row r="2623" spans="1:17" x14ac:dyDescent="0.3">
      <c r="A2623" t="s">
        <v>4729</v>
      </c>
      <c r="B2623" t="str">
        <f>"000912"</f>
        <v>000912</v>
      </c>
      <c r="C2623" t="s">
        <v>5578</v>
      </c>
      <c r="D2623" t="s">
        <v>909</v>
      </c>
      <c r="F2623">
        <v>149747851</v>
      </c>
      <c r="G2623">
        <v>43744876</v>
      </c>
      <c r="H2623">
        <v>19690980</v>
      </c>
      <c r="I2623">
        <v>15038773</v>
      </c>
      <c r="J2623">
        <v>6740965</v>
      </c>
      <c r="K2623">
        <v>18106813</v>
      </c>
      <c r="L2623">
        <v>3639518</v>
      </c>
      <c r="M2623">
        <v>134610185</v>
      </c>
      <c r="N2623">
        <v>65220932</v>
      </c>
      <c r="O2623">
        <v>217252146</v>
      </c>
      <c r="P2623">
        <v>110</v>
      </c>
      <c r="Q2623" t="s">
        <v>5579</v>
      </c>
    </row>
    <row r="2624" spans="1:17" x14ac:dyDescent="0.3">
      <c r="A2624" t="s">
        <v>4729</v>
      </c>
      <c r="B2624" t="str">
        <f>"000913"</f>
        <v>000913</v>
      </c>
      <c r="C2624" t="s">
        <v>5580</v>
      </c>
      <c r="D2624" t="s">
        <v>1656</v>
      </c>
      <c r="F2624">
        <v>487768637</v>
      </c>
      <c r="G2624">
        <v>524826029</v>
      </c>
      <c r="H2624">
        <v>657472565</v>
      </c>
      <c r="I2624">
        <v>673456724</v>
      </c>
      <c r="J2624">
        <v>557866309</v>
      </c>
      <c r="K2624">
        <v>509686194</v>
      </c>
      <c r="L2624">
        <v>597236056</v>
      </c>
      <c r="M2624">
        <v>693250887</v>
      </c>
      <c r="N2624">
        <v>1066540623</v>
      </c>
      <c r="O2624">
        <v>686862385</v>
      </c>
      <c r="P2624">
        <v>176</v>
      </c>
      <c r="Q2624" t="s">
        <v>5581</v>
      </c>
    </row>
    <row r="2625" spans="1:17" x14ac:dyDescent="0.3">
      <c r="A2625" t="s">
        <v>4729</v>
      </c>
      <c r="B2625" t="str">
        <f>"000915"</f>
        <v>000915</v>
      </c>
      <c r="C2625" t="s">
        <v>5582</v>
      </c>
      <c r="D2625" t="s">
        <v>143</v>
      </c>
      <c r="F2625">
        <v>59248051</v>
      </c>
      <c r="G2625">
        <v>243901506</v>
      </c>
      <c r="H2625">
        <v>283304362</v>
      </c>
      <c r="I2625">
        <v>212531940</v>
      </c>
      <c r="J2625">
        <v>230681038</v>
      </c>
      <c r="K2625">
        <v>191232015</v>
      </c>
      <c r="L2625">
        <v>225807851</v>
      </c>
      <c r="M2625">
        <v>168142778</v>
      </c>
      <c r="N2625">
        <v>120924177</v>
      </c>
      <c r="O2625">
        <v>93901446</v>
      </c>
      <c r="P2625">
        <v>648</v>
      </c>
      <c r="Q2625" t="s">
        <v>5583</v>
      </c>
    </row>
    <row r="2626" spans="1:17" x14ac:dyDescent="0.3">
      <c r="A2626" t="s">
        <v>4729</v>
      </c>
      <c r="B2626" t="str">
        <f>"000916"</f>
        <v>000916</v>
      </c>
      <c r="C2626" t="s">
        <v>5584</v>
      </c>
      <c r="K2626">
        <v>470553449</v>
      </c>
      <c r="L2626">
        <v>337448067.17000002</v>
      </c>
      <c r="M2626">
        <v>89560193.040000007</v>
      </c>
      <c r="N2626">
        <v>39859688.829999998</v>
      </c>
      <c r="O2626">
        <v>21724485.719999999</v>
      </c>
      <c r="P2626">
        <v>27</v>
      </c>
      <c r="Q2626" t="s">
        <v>5585</v>
      </c>
    </row>
    <row r="2627" spans="1:17" x14ac:dyDescent="0.3">
      <c r="A2627" t="s">
        <v>4729</v>
      </c>
      <c r="B2627" t="str">
        <f>"000917"</f>
        <v>000917</v>
      </c>
      <c r="C2627" t="s">
        <v>5586</v>
      </c>
      <c r="D2627" t="s">
        <v>95</v>
      </c>
      <c r="F2627">
        <v>686680840</v>
      </c>
      <c r="G2627">
        <v>707311739</v>
      </c>
      <c r="H2627">
        <v>1105280822</v>
      </c>
      <c r="I2627">
        <v>1063627344</v>
      </c>
      <c r="J2627">
        <v>1225922895</v>
      </c>
      <c r="K2627">
        <v>802698662</v>
      </c>
      <c r="L2627">
        <v>439321786</v>
      </c>
      <c r="M2627">
        <v>299988307</v>
      </c>
      <c r="N2627">
        <v>145399525</v>
      </c>
      <c r="O2627">
        <v>370780346</v>
      </c>
      <c r="P2627">
        <v>267</v>
      </c>
      <c r="Q2627" t="s">
        <v>5587</v>
      </c>
    </row>
    <row r="2628" spans="1:17" x14ac:dyDescent="0.3">
      <c r="A2628" t="s">
        <v>4729</v>
      </c>
      <c r="B2628" t="str">
        <f>"000918"</f>
        <v>000918</v>
      </c>
      <c r="C2628" t="s">
        <v>5588</v>
      </c>
      <c r="D2628" t="s">
        <v>104</v>
      </c>
      <c r="F2628">
        <v>25718867</v>
      </c>
      <c r="G2628">
        <v>137579575</v>
      </c>
      <c r="H2628">
        <v>93023159</v>
      </c>
      <c r="I2628">
        <v>91486424</v>
      </c>
      <c r="J2628">
        <v>110242164</v>
      </c>
      <c r="K2628">
        <v>158989265</v>
      </c>
      <c r="L2628">
        <v>488238667</v>
      </c>
      <c r="M2628">
        <v>1291541092</v>
      </c>
      <c r="N2628">
        <v>2114396699</v>
      </c>
      <c r="O2628">
        <v>1008011679</v>
      </c>
      <c r="P2628">
        <v>123</v>
      </c>
      <c r="Q2628" t="s">
        <v>5589</v>
      </c>
    </row>
    <row r="2629" spans="1:17" x14ac:dyDescent="0.3">
      <c r="A2629" t="s">
        <v>4729</v>
      </c>
      <c r="B2629" t="str">
        <f>"000919"</f>
        <v>000919</v>
      </c>
      <c r="C2629" t="s">
        <v>5590</v>
      </c>
      <c r="D2629" t="s">
        <v>188</v>
      </c>
      <c r="F2629">
        <v>320639675</v>
      </c>
      <c r="G2629">
        <v>311292969</v>
      </c>
      <c r="H2629">
        <v>266983453</v>
      </c>
      <c r="I2629">
        <v>315537768</v>
      </c>
      <c r="J2629">
        <v>537388924</v>
      </c>
      <c r="K2629">
        <v>618039929</v>
      </c>
      <c r="L2629">
        <v>479817002</v>
      </c>
      <c r="M2629">
        <v>398346999</v>
      </c>
      <c r="N2629">
        <v>362989380</v>
      </c>
      <c r="O2629">
        <v>338012249</v>
      </c>
      <c r="P2629">
        <v>179</v>
      </c>
      <c r="Q2629" t="s">
        <v>5591</v>
      </c>
    </row>
    <row r="2630" spans="1:17" x14ac:dyDescent="0.3">
      <c r="A2630" t="s">
        <v>4729</v>
      </c>
      <c r="B2630" t="str">
        <f>"000920"</f>
        <v>000920</v>
      </c>
      <c r="C2630" t="s">
        <v>5592</v>
      </c>
      <c r="D2630" t="s">
        <v>33</v>
      </c>
      <c r="F2630">
        <v>24125421</v>
      </c>
      <c r="G2630">
        <v>87857953</v>
      </c>
      <c r="H2630">
        <v>172720022</v>
      </c>
      <c r="I2630">
        <v>133040380</v>
      </c>
      <c r="J2630">
        <v>38452269</v>
      </c>
      <c r="K2630">
        <v>33689301</v>
      </c>
      <c r="L2630">
        <v>56758440</v>
      </c>
      <c r="M2630">
        <v>29755444</v>
      </c>
      <c r="N2630">
        <v>375779237</v>
      </c>
      <c r="O2630">
        <v>267629102</v>
      </c>
      <c r="P2630">
        <v>122</v>
      </c>
      <c r="Q2630" t="s">
        <v>5593</v>
      </c>
    </row>
    <row r="2631" spans="1:17" x14ac:dyDescent="0.3">
      <c r="A2631" t="s">
        <v>4729</v>
      </c>
      <c r="B2631" t="str">
        <f>"000921"</f>
        <v>000921</v>
      </c>
      <c r="C2631" t="s">
        <v>5594</v>
      </c>
      <c r="D2631" t="s">
        <v>1727</v>
      </c>
      <c r="F2631">
        <v>8757077378</v>
      </c>
      <c r="G2631">
        <v>6594103859</v>
      </c>
      <c r="H2631">
        <v>3967576310</v>
      </c>
      <c r="I2631">
        <v>3096454625</v>
      </c>
      <c r="J2631">
        <v>2833227742</v>
      </c>
      <c r="K2631">
        <v>2725129183</v>
      </c>
      <c r="L2631">
        <v>2086596419</v>
      </c>
      <c r="M2631">
        <v>1984291387</v>
      </c>
      <c r="N2631">
        <v>1644771822</v>
      </c>
      <c r="O2631">
        <v>1455882205</v>
      </c>
      <c r="P2631">
        <v>13182</v>
      </c>
      <c r="Q2631" t="s">
        <v>5595</v>
      </c>
    </row>
    <row r="2632" spans="1:17" x14ac:dyDescent="0.3">
      <c r="A2632" t="s">
        <v>4729</v>
      </c>
      <c r="B2632" t="str">
        <f>"000922"</f>
        <v>000922</v>
      </c>
      <c r="C2632" t="s">
        <v>5596</v>
      </c>
      <c r="D2632" t="s">
        <v>1171</v>
      </c>
      <c r="F2632">
        <v>767825607</v>
      </c>
      <c r="G2632">
        <v>643937191</v>
      </c>
      <c r="H2632">
        <v>582747467</v>
      </c>
      <c r="I2632">
        <v>641657574</v>
      </c>
      <c r="J2632">
        <v>638135412</v>
      </c>
      <c r="K2632">
        <v>760600401</v>
      </c>
      <c r="L2632">
        <v>803229119</v>
      </c>
      <c r="M2632">
        <v>994168457</v>
      </c>
      <c r="N2632">
        <v>1005644272</v>
      </c>
      <c r="O2632">
        <v>871215434</v>
      </c>
      <c r="P2632">
        <v>261</v>
      </c>
      <c r="Q2632" t="s">
        <v>5597</v>
      </c>
    </row>
    <row r="2633" spans="1:17" x14ac:dyDescent="0.3">
      <c r="A2633" t="s">
        <v>4729</v>
      </c>
      <c r="B2633" t="str">
        <f>"000923"</f>
        <v>000923</v>
      </c>
      <c r="C2633" t="s">
        <v>5598</v>
      </c>
      <c r="D2633" t="s">
        <v>2376</v>
      </c>
      <c r="F2633">
        <v>785648295</v>
      </c>
      <c r="G2633">
        <v>1324373296</v>
      </c>
      <c r="H2633">
        <v>1147760414</v>
      </c>
      <c r="I2633">
        <v>1090637678</v>
      </c>
      <c r="J2633">
        <v>808042350</v>
      </c>
      <c r="K2633">
        <v>228153390</v>
      </c>
      <c r="L2633">
        <v>344044446</v>
      </c>
      <c r="M2633">
        <v>260929272</v>
      </c>
      <c r="N2633">
        <v>313084905</v>
      </c>
      <c r="O2633">
        <v>233035716</v>
      </c>
      <c r="P2633">
        <v>224</v>
      </c>
      <c r="Q2633" t="s">
        <v>5599</v>
      </c>
    </row>
    <row r="2634" spans="1:17" x14ac:dyDescent="0.3">
      <c r="A2634" t="s">
        <v>4729</v>
      </c>
      <c r="B2634" t="str">
        <f>"000925"</f>
        <v>000925</v>
      </c>
      <c r="C2634" t="s">
        <v>5600</v>
      </c>
      <c r="D2634" t="s">
        <v>1012</v>
      </c>
      <c r="F2634">
        <v>1304651573</v>
      </c>
      <c r="G2634">
        <v>1182565904</v>
      </c>
      <c r="H2634">
        <v>1869901663</v>
      </c>
      <c r="I2634">
        <v>1449147667</v>
      </c>
      <c r="J2634">
        <v>1369968814</v>
      </c>
      <c r="K2634">
        <v>1035572354</v>
      </c>
      <c r="L2634">
        <v>1313872307</v>
      </c>
      <c r="M2634">
        <v>914488900</v>
      </c>
      <c r="N2634">
        <v>953372763</v>
      </c>
      <c r="O2634">
        <v>1048544833</v>
      </c>
      <c r="P2634">
        <v>188</v>
      </c>
      <c r="Q2634" t="s">
        <v>5601</v>
      </c>
    </row>
    <row r="2635" spans="1:17" x14ac:dyDescent="0.3">
      <c r="A2635" t="s">
        <v>4729</v>
      </c>
      <c r="B2635" t="str">
        <f>"000926"</f>
        <v>000926</v>
      </c>
      <c r="C2635" t="s">
        <v>5602</v>
      </c>
      <c r="D2635" t="s">
        <v>104</v>
      </c>
      <c r="F2635">
        <v>431990300</v>
      </c>
      <c r="G2635">
        <v>394664554</v>
      </c>
      <c r="H2635">
        <v>587946316</v>
      </c>
      <c r="I2635">
        <v>532612136</v>
      </c>
      <c r="J2635">
        <v>883402140</v>
      </c>
      <c r="K2635">
        <v>564221266</v>
      </c>
      <c r="L2635">
        <v>537043492</v>
      </c>
      <c r="M2635">
        <v>430090235</v>
      </c>
      <c r="N2635">
        <v>575635086</v>
      </c>
      <c r="O2635">
        <v>609255762</v>
      </c>
      <c r="P2635">
        <v>239</v>
      </c>
      <c r="Q2635" t="s">
        <v>5603</v>
      </c>
    </row>
    <row r="2636" spans="1:17" x14ac:dyDescent="0.3">
      <c r="A2636" t="s">
        <v>4729</v>
      </c>
      <c r="B2636" t="str">
        <f>"000927"</f>
        <v>000927</v>
      </c>
      <c r="C2636" t="s">
        <v>5604</v>
      </c>
      <c r="D2636" t="s">
        <v>247</v>
      </c>
      <c r="F2636">
        <v>10736729196</v>
      </c>
      <c r="G2636">
        <v>6359902059</v>
      </c>
      <c r="H2636">
        <v>9274834</v>
      </c>
      <c r="I2636">
        <v>18529564</v>
      </c>
      <c r="J2636">
        <v>14649129</v>
      </c>
      <c r="K2636">
        <v>9335791</v>
      </c>
      <c r="L2636">
        <v>29389202</v>
      </c>
      <c r="M2636">
        <v>42517354</v>
      </c>
      <c r="N2636">
        <v>51571457</v>
      </c>
      <c r="O2636">
        <v>33021148</v>
      </c>
      <c r="P2636">
        <v>131</v>
      </c>
      <c r="Q2636" t="s">
        <v>5605</v>
      </c>
    </row>
    <row r="2637" spans="1:17" x14ac:dyDescent="0.3">
      <c r="A2637" t="s">
        <v>4729</v>
      </c>
      <c r="B2637" t="str">
        <f>"000928"</f>
        <v>000928</v>
      </c>
      <c r="C2637" t="s">
        <v>5606</v>
      </c>
      <c r="D2637" t="s">
        <v>1893</v>
      </c>
      <c r="F2637">
        <v>4208960223</v>
      </c>
      <c r="G2637">
        <v>5192034318</v>
      </c>
      <c r="H2637">
        <v>6144993097</v>
      </c>
      <c r="I2637">
        <v>4074637739</v>
      </c>
      <c r="J2637">
        <v>4329060226</v>
      </c>
      <c r="K2637">
        <v>6793352264</v>
      </c>
      <c r="L2637">
        <v>5990223523</v>
      </c>
      <c r="M2637">
        <v>5793111421</v>
      </c>
      <c r="N2637">
        <v>332876368</v>
      </c>
      <c r="O2637">
        <v>263658655</v>
      </c>
      <c r="P2637">
        <v>271</v>
      </c>
      <c r="Q2637" t="s">
        <v>5607</v>
      </c>
    </row>
    <row r="2638" spans="1:17" x14ac:dyDescent="0.3">
      <c r="A2638" t="s">
        <v>4729</v>
      </c>
      <c r="B2638" t="str">
        <f>"000929"</f>
        <v>000929</v>
      </c>
      <c r="C2638" t="s">
        <v>5608</v>
      </c>
      <c r="D2638" t="s">
        <v>319</v>
      </c>
      <c r="F2638">
        <v>13251711</v>
      </c>
      <c r="G2638">
        <v>16813961</v>
      </c>
      <c r="H2638">
        <v>27297012</v>
      </c>
      <c r="I2638">
        <v>25970160</v>
      </c>
      <c r="J2638">
        <v>18338246</v>
      </c>
      <c r="K2638">
        <v>18666551</v>
      </c>
      <c r="L2638">
        <v>10427131</v>
      </c>
      <c r="M2638">
        <v>20409658</v>
      </c>
      <c r="N2638">
        <v>11329923</v>
      </c>
      <c r="O2638">
        <v>29253804</v>
      </c>
      <c r="P2638">
        <v>144</v>
      </c>
      <c r="Q2638" t="s">
        <v>5609</v>
      </c>
    </row>
    <row r="2639" spans="1:17" x14ac:dyDescent="0.3">
      <c r="A2639" t="s">
        <v>4729</v>
      </c>
      <c r="B2639" t="str">
        <f>"000930"</f>
        <v>000930</v>
      </c>
      <c r="C2639" t="s">
        <v>5610</v>
      </c>
      <c r="D2639" t="s">
        <v>445</v>
      </c>
      <c r="F2639">
        <v>846741549</v>
      </c>
      <c r="G2639">
        <v>734456346</v>
      </c>
      <c r="H2639">
        <v>850242598</v>
      </c>
      <c r="I2639">
        <v>771570171</v>
      </c>
      <c r="J2639">
        <v>226348138</v>
      </c>
      <c r="K2639">
        <v>281069537</v>
      </c>
      <c r="L2639">
        <v>317092564</v>
      </c>
      <c r="M2639">
        <v>405702022</v>
      </c>
      <c r="N2639">
        <v>225069905</v>
      </c>
      <c r="O2639">
        <v>282070028</v>
      </c>
      <c r="P2639">
        <v>378</v>
      </c>
      <c r="Q2639" t="s">
        <v>5611</v>
      </c>
    </row>
    <row r="2640" spans="1:17" x14ac:dyDescent="0.3">
      <c r="A2640" t="s">
        <v>4729</v>
      </c>
      <c r="B2640" t="str">
        <f>"000931"</f>
        <v>000931</v>
      </c>
      <c r="C2640" t="s">
        <v>5612</v>
      </c>
      <c r="D2640" t="s">
        <v>143</v>
      </c>
      <c r="F2640">
        <v>919244679</v>
      </c>
      <c r="G2640">
        <v>1005043075</v>
      </c>
      <c r="H2640">
        <v>1118194009</v>
      </c>
      <c r="I2640">
        <v>1059516036</v>
      </c>
      <c r="J2640">
        <v>911719250</v>
      </c>
      <c r="K2640">
        <v>684396437</v>
      </c>
      <c r="L2640">
        <v>532974181</v>
      </c>
      <c r="M2640">
        <v>389326376</v>
      </c>
      <c r="N2640">
        <v>1534086010</v>
      </c>
      <c r="O2640">
        <v>1467748945</v>
      </c>
      <c r="P2640">
        <v>142</v>
      </c>
      <c r="Q2640" t="s">
        <v>5613</v>
      </c>
    </row>
    <row r="2641" spans="1:17" x14ac:dyDescent="0.3">
      <c r="A2641" t="s">
        <v>4729</v>
      </c>
      <c r="B2641" t="str">
        <f>"000932"</f>
        <v>000932</v>
      </c>
      <c r="C2641" t="s">
        <v>5614</v>
      </c>
      <c r="D2641" t="s">
        <v>38</v>
      </c>
      <c r="F2641">
        <v>4163077387</v>
      </c>
      <c r="G2641">
        <v>2822252230</v>
      </c>
      <c r="H2641">
        <v>3589961856</v>
      </c>
      <c r="I2641">
        <v>3213028040</v>
      </c>
      <c r="J2641">
        <v>2680473734</v>
      </c>
      <c r="K2641">
        <v>2451911640</v>
      </c>
      <c r="L2641">
        <v>2250706128</v>
      </c>
      <c r="M2641">
        <v>2094556811</v>
      </c>
      <c r="N2641">
        <v>1689694584</v>
      </c>
      <c r="O2641">
        <v>1367707161</v>
      </c>
      <c r="P2641">
        <v>1039</v>
      </c>
      <c r="Q2641" t="s">
        <v>5615</v>
      </c>
    </row>
    <row r="2642" spans="1:17" x14ac:dyDescent="0.3">
      <c r="A2642" t="s">
        <v>4729</v>
      </c>
      <c r="B2642" t="str">
        <f>"000933"</f>
        <v>000933</v>
      </c>
      <c r="C2642" t="s">
        <v>5616</v>
      </c>
      <c r="D2642" t="s">
        <v>504</v>
      </c>
      <c r="F2642">
        <v>388357203</v>
      </c>
      <c r="G2642">
        <v>851355315</v>
      </c>
      <c r="H2642">
        <v>963187737</v>
      </c>
      <c r="I2642">
        <v>283746867</v>
      </c>
      <c r="J2642">
        <v>170477894</v>
      </c>
      <c r="K2642">
        <v>290499850</v>
      </c>
      <c r="L2642">
        <v>413388774</v>
      </c>
      <c r="M2642">
        <v>556652926</v>
      </c>
      <c r="N2642">
        <v>516699387</v>
      </c>
      <c r="O2642">
        <v>205865921</v>
      </c>
      <c r="P2642">
        <v>461</v>
      </c>
      <c r="Q2642" t="s">
        <v>5617</v>
      </c>
    </row>
    <row r="2643" spans="1:17" x14ac:dyDescent="0.3">
      <c r="A2643" t="s">
        <v>4729</v>
      </c>
      <c r="B2643" t="str">
        <f>"000935"</f>
        <v>000935</v>
      </c>
      <c r="C2643" t="s">
        <v>5618</v>
      </c>
      <c r="D2643" t="s">
        <v>731</v>
      </c>
      <c r="F2643">
        <v>3387149</v>
      </c>
      <c r="G2643">
        <v>2627509</v>
      </c>
      <c r="H2643">
        <v>29720721</v>
      </c>
      <c r="I2643">
        <v>74620245</v>
      </c>
      <c r="J2643">
        <v>186787943</v>
      </c>
      <c r="K2643">
        <v>179195041</v>
      </c>
      <c r="L2643">
        <v>267100105</v>
      </c>
      <c r="M2643">
        <v>270038832</v>
      </c>
      <c r="N2643">
        <v>253094301</v>
      </c>
      <c r="O2643">
        <v>229362345</v>
      </c>
      <c r="P2643">
        <v>230</v>
      </c>
      <c r="Q2643" t="s">
        <v>5619</v>
      </c>
    </row>
    <row r="2644" spans="1:17" x14ac:dyDescent="0.3">
      <c r="A2644" t="s">
        <v>4729</v>
      </c>
      <c r="B2644" t="str">
        <f>"000936"</f>
        <v>000936</v>
      </c>
      <c r="C2644" t="s">
        <v>5620</v>
      </c>
      <c r="D2644" t="s">
        <v>2731</v>
      </c>
      <c r="F2644">
        <v>107657700</v>
      </c>
      <c r="G2644">
        <v>106023573</v>
      </c>
      <c r="H2644">
        <v>184417527</v>
      </c>
      <c r="I2644">
        <v>367864572</v>
      </c>
      <c r="J2644">
        <v>310200417</v>
      </c>
      <c r="K2644">
        <v>253366128</v>
      </c>
      <c r="L2644">
        <v>162526237</v>
      </c>
      <c r="M2644">
        <v>174690411</v>
      </c>
      <c r="N2644">
        <v>72416605</v>
      </c>
      <c r="O2644">
        <v>79372079</v>
      </c>
      <c r="P2644">
        <v>226</v>
      </c>
      <c r="Q2644" t="s">
        <v>5621</v>
      </c>
    </row>
    <row r="2645" spans="1:17" x14ac:dyDescent="0.3">
      <c r="A2645" t="s">
        <v>4729</v>
      </c>
      <c r="B2645" t="str">
        <f>"000937"</f>
        <v>000937</v>
      </c>
      <c r="C2645" t="s">
        <v>5622</v>
      </c>
      <c r="D2645" t="s">
        <v>298</v>
      </c>
      <c r="F2645">
        <v>1485250860</v>
      </c>
      <c r="G2645">
        <v>1544370991</v>
      </c>
      <c r="H2645">
        <v>1684455202</v>
      </c>
      <c r="I2645">
        <v>2102520932</v>
      </c>
      <c r="J2645">
        <v>3883565757</v>
      </c>
      <c r="K2645">
        <v>4566215758</v>
      </c>
      <c r="L2645">
        <v>4464537424</v>
      </c>
      <c r="M2645">
        <v>4561270097</v>
      </c>
      <c r="N2645">
        <v>4665975308</v>
      </c>
      <c r="O2645">
        <v>3941141602</v>
      </c>
      <c r="P2645">
        <v>350</v>
      </c>
      <c r="Q2645" t="s">
        <v>5623</v>
      </c>
    </row>
    <row r="2646" spans="1:17" x14ac:dyDescent="0.3">
      <c r="A2646" t="s">
        <v>4729</v>
      </c>
      <c r="B2646" t="str">
        <f>"000938"</f>
        <v>000938</v>
      </c>
      <c r="C2646" t="s">
        <v>5624</v>
      </c>
      <c r="D2646" t="s">
        <v>316</v>
      </c>
      <c r="F2646">
        <v>11081329909</v>
      </c>
      <c r="G2646">
        <v>9123301406</v>
      </c>
      <c r="H2646">
        <v>8420368522</v>
      </c>
      <c r="I2646">
        <v>7127475515</v>
      </c>
      <c r="J2646">
        <v>5503413508</v>
      </c>
      <c r="K2646">
        <v>4097904450</v>
      </c>
      <c r="L2646">
        <v>1586820001</v>
      </c>
      <c r="M2646">
        <v>1182408654</v>
      </c>
      <c r="N2646">
        <v>976888629</v>
      </c>
      <c r="O2646">
        <v>661300992</v>
      </c>
      <c r="P2646">
        <v>3894</v>
      </c>
      <c r="Q2646" t="s">
        <v>5625</v>
      </c>
    </row>
    <row r="2647" spans="1:17" x14ac:dyDescent="0.3">
      <c r="A2647" t="s">
        <v>4729</v>
      </c>
      <c r="B2647" t="str">
        <f>"000939"</f>
        <v>000939</v>
      </c>
      <c r="C2647" t="s">
        <v>5626</v>
      </c>
      <c r="H2647">
        <v>2094249019</v>
      </c>
      <c r="I2647">
        <v>1603993115</v>
      </c>
      <c r="J2647">
        <v>2723095267</v>
      </c>
      <c r="K2647">
        <v>1872835178</v>
      </c>
      <c r="L2647">
        <v>1699946749</v>
      </c>
      <c r="M2647">
        <v>1863534494</v>
      </c>
      <c r="N2647">
        <v>1566086427</v>
      </c>
      <c r="O2647">
        <v>1649460665</v>
      </c>
      <c r="P2647">
        <v>61</v>
      </c>
      <c r="Q2647" t="s">
        <v>5627</v>
      </c>
    </row>
    <row r="2648" spans="1:17" x14ac:dyDescent="0.3">
      <c r="A2648" t="s">
        <v>4729</v>
      </c>
      <c r="B2648" t="str">
        <f>"000948"</f>
        <v>000948</v>
      </c>
      <c r="C2648" t="s">
        <v>5628</v>
      </c>
      <c r="D2648" t="s">
        <v>945</v>
      </c>
      <c r="F2648">
        <v>1082225334</v>
      </c>
      <c r="G2648">
        <v>695695416</v>
      </c>
      <c r="H2648">
        <v>583983612</v>
      </c>
      <c r="I2648">
        <v>487364110</v>
      </c>
      <c r="J2648">
        <v>406446141</v>
      </c>
      <c r="K2648">
        <v>400735282</v>
      </c>
      <c r="L2648">
        <v>388021466</v>
      </c>
      <c r="M2648">
        <v>382486694</v>
      </c>
      <c r="N2648">
        <v>377008279</v>
      </c>
      <c r="O2648">
        <v>358911170</v>
      </c>
      <c r="P2648">
        <v>213</v>
      </c>
      <c r="Q2648" t="s">
        <v>5629</v>
      </c>
    </row>
    <row r="2649" spans="1:17" x14ac:dyDescent="0.3">
      <c r="A2649" t="s">
        <v>4729</v>
      </c>
      <c r="B2649" t="str">
        <f>"000949"</f>
        <v>000949</v>
      </c>
      <c r="C2649" t="s">
        <v>5630</v>
      </c>
      <c r="D2649" t="s">
        <v>5631</v>
      </c>
      <c r="F2649">
        <v>820945682</v>
      </c>
      <c r="G2649">
        <v>725136793</v>
      </c>
      <c r="H2649">
        <v>674726291</v>
      </c>
      <c r="I2649">
        <v>552192581</v>
      </c>
      <c r="J2649">
        <v>371314026</v>
      </c>
      <c r="K2649">
        <v>223923861</v>
      </c>
      <c r="L2649">
        <v>194294902</v>
      </c>
      <c r="M2649">
        <v>151072435</v>
      </c>
      <c r="N2649">
        <v>175649095</v>
      </c>
      <c r="O2649">
        <v>184903955</v>
      </c>
      <c r="P2649">
        <v>157</v>
      </c>
      <c r="Q2649" t="s">
        <v>5632</v>
      </c>
    </row>
    <row r="2650" spans="1:17" x14ac:dyDescent="0.3">
      <c r="A2650" t="s">
        <v>4729</v>
      </c>
      <c r="B2650" t="str">
        <f>"000950"</f>
        <v>000950</v>
      </c>
      <c r="C2650" t="s">
        <v>5633</v>
      </c>
      <c r="D2650" t="s">
        <v>125</v>
      </c>
      <c r="F2650">
        <v>25984078282</v>
      </c>
      <c r="G2650">
        <v>21724720510</v>
      </c>
      <c r="H2650">
        <v>11948145672</v>
      </c>
      <c r="I2650">
        <v>9913347131</v>
      </c>
      <c r="J2650">
        <v>7086938482</v>
      </c>
      <c r="K2650">
        <v>5650312691</v>
      </c>
      <c r="L2650">
        <v>78991824</v>
      </c>
      <c r="M2650">
        <v>6970883</v>
      </c>
      <c r="N2650">
        <v>2650489</v>
      </c>
      <c r="O2650">
        <v>2290548</v>
      </c>
      <c r="P2650">
        <v>145</v>
      </c>
      <c r="Q2650" t="s">
        <v>5634</v>
      </c>
    </row>
    <row r="2651" spans="1:17" x14ac:dyDescent="0.3">
      <c r="A2651" t="s">
        <v>4729</v>
      </c>
      <c r="B2651" t="str">
        <f>"000951"</f>
        <v>000951</v>
      </c>
      <c r="C2651" t="s">
        <v>5635</v>
      </c>
      <c r="D2651" t="s">
        <v>27</v>
      </c>
      <c r="F2651">
        <v>5749088981</v>
      </c>
      <c r="G2651">
        <v>3709060156</v>
      </c>
      <c r="H2651">
        <v>3353337491</v>
      </c>
      <c r="I2651">
        <v>3320589182</v>
      </c>
      <c r="J2651">
        <v>3089382687</v>
      </c>
      <c r="K2651">
        <v>3885144371</v>
      </c>
      <c r="L2651">
        <v>4692832990</v>
      </c>
      <c r="M2651">
        <v>3543395018</v>
      </c>
      <c r="N2651">
        <v>2323735440</v>
      </c>
      <c r="O2651">
        <v>1540291641</v>
      </c>
      <c r="P2651">
        <v>856</v>
      </c>
      <c r="Q2651" t="s">
        <v>5636</v>
      </c>
    </row>
    <row r="2652" spans="1:17" x14ac:dyDescent="0.3">
      <c r="A2652" t="s">
        <v>4729</v>
      </c>
      <c r="B2652" t="str">
        <f>"000952"</f>
        <v>000952</v>
      </c>
      <c r="C2652" t="s">
        <v>5637</v>
      </c>
      <c r="D2652" t="s">
        <v>496</v>
      </c>
      <c r="F2652">
        <v>182981957</v>
      </c>
      <c r="G2652">
        <v>104126190</v>
      </c>
      <c r="H2652">
        <v>99619881</v>
      </c>
      <c r="I2652">
        <v>113176456</v>
      </c>
      <c r="J2652">
        <v>95664059</v>
      </c>
      <c r="K2652">
        <v>97720680</v>
      </c>
      <c r="L2652">
        <v>77527027</v>
      </c>
      <c r="M2652">
        <v>29890397</v>
      </c>
      <c r="N2652">
        <v>63626199</v>
      </c>
      <c r="O2652">
        <v>50751569</v>
      </c>
      <c r="P2652">
        <v>169</v>
      </c>
      <c r="Q2652" t="s">
        <v>5638</v>
      </c>
    </row>
    <row r="2653" spans="1:17" x14ac:dyDescent="0.3">
      <c r="A2653" t="s">
        <v>4729</v>
      </c>
      <c r="B2653" t="str">
        <f>"000953"</f>
        <v>000953</v>
      </c>
      <c r="C2653" t="s">
        <v>5639</v>
      </c>
      <c r="D2653" t="s">
        <v>909</v>
      </c>
      <c r="F2653">
        <v>29925430</v>
      </c>
      <c r="G2653">
        <v>7618168</v>
      </c>
      <c r="H2653">
        <v>20872405</v>
      </c>
      <c r="I2653">
        <v>5356930</v>
      </c>
      <c r="J2653">
        <v>8661529</v>
      </c>
      <c r="K2653">
        <v>7517907</v>
      </c>
      <c r="L2653">
        <v>173346493</v>
      </c>
      <c r="M2653">
        <v>129026811</v>
      </c>
      <c r="N2653">
        <v>57795762</v>
      </c>
      <c r="O2653">
        <v>76140164</v>
      </c>
      <c r="P2653">
        <v>90</v>
      </c>
      <c r="Q2653" t="s">
        <v>5640</v>
      </c>
    </row>
    <row r="2654" spans="1:17" x14ac:dyDescent="0.3">
      <c r="A2654" t="s">
        <v>4729</v>
      </c>
      <c r="B2654" t="str">
        <f>"000955"</f>
        <v>000955</v>
      </c>
      <c r="C2654" t="s">
        <v>5641</v>
      </c>
      <c r="D2654" t="s">
        <v>366</v>
      </c>
      <c r="F2654">
        <v>116509752</v>
      </c>
      <c r="G2654">
        <v>97509685</v>
      </c>
      <c r="H2654">
        <v>115137325</v>
      </c>
      <c r="I2654">
        <v>96984076</v>
      </c>
      <c r="J2654">
        <v>71339430</v>
      </c>
      <c r="K2654">
        <v>67596703</v>
      </c>
      <c r="L2654">
        <v>40225852</v>
      </c>
      <c r="M2654">
        <v>26354642</v>
      </c>
      <c r="N2654">
        <v>27060062</v>
      </c>
      <c r="O2654">
        <v>23313559</v>
      </c>
      <c r="P2654">
        <v>241</v>
      </c>
      <c r="Q2654" t="s">
        <v>5642</v>
      </c>
    </row>
    <row r="2655" spans="1:17" x14ac:dyDescent="0.3">
      <c r="A2655" t="s">
        <v>4729</v>
      </c>
      <c r="B2655" t="str">
        <f>"000957"</f>
        <v>000957</v>
      </c>
      <c r="C2655" t="s">
        <v>5643</v>
      </c>
      <c r="D2655" t="s">
        <v>153</v>
      </c>
      <c r="F2655">
        <v>3315258767</v>
      </c>
      <c r="G2655">
        <v>3558030786</v>
      </c>
      <c r="H2655">
        <v>6523503212</v>
      </c>
      <c r="I2655">
        <v>7130725619</v>
      </c>
      <c r="J2655">
        <v>6578589927</v>
      </c>
      <c r="K2655">
        <v>4036181104</v>
      </c>
      <c r="L2655">
        <v>3549997104</v>
      </c>
      <c r="M2655">
        <v>952108234</v>
      </c>
      <c r="N2655">
        <v>650089243</v>
      </c>
      <c r="O2655">
        <v>698485653</v>
      </c>
      <c r="P2655">
        <v>227</v>
      </c>
      <c r="Q2655" t="s">
        <v>5644</v>
      </c>
    </row>
    <row r="2656" spans="1:17" x14ac:dyDescent="0.3">
      <c r="A2656" t="s">
        <v>4729</v>
      </c>
      <c r="B2656" t="str">
        <f>"000958"</f>
        <v>000958</v>
      </c>
      <c r="C2656" t="s">
        <v>5645</v>
      </c>
      <c r="D2656" t="s">
        <v>41</v>
      </c>
      <c r="F2656">
        <v>2688224122</v>
      </c>
      <c r="G2656">
        <v>2312333414</v>
      </c>
      <c r="H2656">
        <v>1664457204</v>
      </c>
      <c r="I2656">
        <v>696600705</v>
      </c>
      <c r="J2656">
        <v>406652154</v>
      </c>
      <c r="K2656">
        <v>330971964</v>
      </c>
      <c r="L2656">
        <v>351874350</v>
      </c>
      <c r="M2656">
        <v>128360552</v>
      </c>
      <c r="N2656">
        <v>54026458</v>
      </c>
      <c r="O2656">
        <v>149318117</v>
      </c>
      <c r="P2656">
        <v>162</v>
      </c>
      <c r="Q2656" t="s">
        <v>5646</v>
      </c>
    </row>
    <row r="2657" spans="1:17" x14ac:dyDescent="0.3">
      <c r="A2657" t="s">
        <v>4729</v>
      </c>
      <c r="B2657" t="str">
        <f>"000959"</f>
        <v>000959</v>
      </c>
      <c r="C2657" t="s">
        <v>5647</v>
      </c>
      <c r="D2657" t="s">
        <v>38</v>
      </c>
      <c r="F2657">
        <v>1678608394</v>
      </c>
      <c r="G2657">
        <v>1424092845</v>
      </c>
      <c r="H2657">
        <v>836576066</v>
      </c>
      <c r="I2657">
        <v>870151435</v>
      </c>
      <c r="J2657">
        <v>1320872275</v>
      </c>
      <c r="K2657">
        <v>976261056</v>
      </c>
      <c r="L2657">
        <v>413806540</v>
      </c>
      <c r="M2657">
        <v>681602981</v>
      </c>
      <c r="N2657">
        <v>148032336</v>
      </c>
      <c r="O2657">
        <v>115305851</v>
      </c>
      <c r="P2657">
        <v>254</v>
      </c>
      <c r="Q2657" t="s">
        <v>5648</v>
      </c>
    </row>
    <row r="2658" spans="1:17" x14ac:dyDescent="0.3">
      <c r="A2658" t="s">
        <v>4729</v>
      </c>
      <c r="B2658" t="str">
        <f>"000960"</f>
        <v>000960</v>
      </c>
      <c r="C2658" t="s">
        <v>5649</v>
      </c>
      <c r="D2658" t="s">
        <v>636</v>
      </c>
      <c r="F2658">
        <v>780894208</v>
      </c>
      <c r="G2658">
        <v>522499802</v>
      </c>
      <c r="H2658">
        <v>639509493</v>
      </c>
      <c r="I2658">
        <v>546860694</v>
      </c>
      <c r="J2658">
        <v>751242573</v>
      </c>
      <c r="K2658">
        <v>820123473</v>
      </c>
      <c r="L2658">
        <v>511024835</v>
      </c>
      <c r="M2658">
        <v>378855721</v>
      </c>
      <c r="N2658">
        <v>348004876</v>
      </c>
      <c r="O2658">
        <v>365786821</v>
      </c>
      <c r="P2658">
        <v>356</v>
      </c>
      <c r="Q2658" t="s">
        <v>5650</v>
      </c>
    </row>
    <row r="2659" spans="1:17" x14ac:dyDescent="0.3">
      <c r="A2659" t="s">
        <v>4729</v>
      </c>
      <c r="B2659" t="str">
        <f>"000961"</f>
        <v>000961</v>
      </c>
      <c r="C2659" t="s">
        <v>5651</v>
      </c>
      <c r="D2659" t="s">
        <v>104</v>
      </c>
      <c r="F2659">
        <v>6801780827</v>
      </c>
      <c r="G2659">
        <v>7110262210</v>
      </c>
      <c r="H2659">
        <v>11732392315</v>
      </c>
      <c r="I2659">
        <v>8564563512</v>
      </c>
      <c r="J2659">
        <v>7331528120</v>
      </c>
      <c r="K2659">
        <v>6508496908</v>
      </c>
      <c r="L2659">
        <v>6047370990</v>
      </c>
      <c r="M2659">
        <v>6112825352</v>
      </c>
      <c r="N2659">
        <v>6016407454</v>
      </c>
      <c r="O2659">
        <v>4929321982</v>
      </c>
      <c r="P2659">
        <v>898</v>
      </c>
      <c r="Q2659" t="s">
        <v>5652</v>
      </c>
    </row>
    <row r="2660" spans="1:17" x14ac:dyDescent="0.3">
      <c r="A2660" t="s">
        <v>4729</v>
      </c>
      <c r="B2660" t="str">
        <f>"000962"</f>
        <v>000962</v>
      </c>
      <c r="C2660" t="s">
        <v>5653</v>
      </c>
      <c r="D2660" t="s">
        <v>636</v>
      </c>
      <c r="F2660">
        <v>141807042</v>
      </c>
      <c r="G2660">
        <v>77665350</v>
      </c>
      <c r="H2660">
        <v>110711643</v>
      </c>
      <c r="I2660">
        <v>154729164</v>
      </c>
      <c r="J2660">
        <v>169930155</v>
      </c>
      <c r="K2660">
        <v>236903230</v>
      </c>
      <c r="L2660">
        <v>345822472</v>
      </c>
      <c r="M2660">
        <v>440296894</v>
      </c>
      <c r="N2660">
        <v>521208755</v>
      </c>
      <c r="O2660">
        <v>575223958</v>
      </c>
      <c r="P2660">
        <v>131</v>
      </c>
      <c r="Q2660" t="s">
        <v>5654</v>
      </c>
    </row>
    <row r="2661" spans="1:17" x14ac:dyDescent="0.3">
      <c r="A2661" t="s">
        <v>4729</v>
      </c>
      <c r="B2661" t="str">
        <f>"000963"</f>
        <v>000963</v>
      </c>
      <c r="C2661" t="s">
        <v>5655</v>
      </c>
      <c r="D2661" t="s">
        <v>143</v>
      </c>
      <c r="F2661">
        <v>6430482176</v>
      </c>
      <c r="G2661">
        <v>6137675569</v>
      </c>
      <c r="H2661">
        <v>6092305184</v>
      </c>
      <c r="I2661">
        <v>5633011225</v>
      </c>
      <c r="J2661">
        <v>4884927856</v>
      </c>
      <c r="K2661">
        <v>4466145766</v>
      </c>
      <c r="L2661">
        <v>3637323842</v>
      </c>
      <c r="M2661">
        <v>3103613748</v>
      </c>
      <c r="N2661">
        <v>2665482700</v>
      </c>
      <c r="O2661">
        <v>2275564171</v>
      </c>
      <c r="P2661">
        <v>59262</v>
      </c>
      <c r="Q2661" t="s">
        <v>5656</v>
      </c>
    </row>
    <row r="2662" spans="1:17" x14ac:dyDescent="0.3">
      <c r="A2662" t="s">
        <v>4729</v>
      </c>
      <c r="B2662" t="str">
        <f>"000965"</f>
        <v>000965</v>
      </c>
      <c r="C2662" t="s">
        <v>5657</v>
      </c>
      <c r="D2662" t="s">
        <v>104</v>
      </c>
      <c r="F2662">
        <v>9995191</v>
      </c>
      <c r="G2662">
        <v>11266910</v>
      </c>
      <c r="H2662">
        <v>3516386</v>
      </c>
      <c r="I2662">
        <v>4954106</v>
      </c>
      <c r="J2662">
        <v>8963646</v>
      </c>
      <c r="K2662">
        <v>8385108</v>
      </c>
      <c r="L2662">
        <v>4578071</v>
      </c>
      <c r="M2662">
        <v>1444474</v>
      </c>
      <c r="N2662">
        <v>1922603</v>
      </c>
      <c r="O2662">
        <v>457396</v>
      </c>
      <c r="P2662">
        <v>116</v>
      </c>
      <c r="Q2662" t="s">
        <v>5658</v>
      </c>
    </row>
    <row r="2663" spans="1:17" x14ac:dyDescent="0.3">
      <c r="A2663" t="s">
        <v>4729</v>
      </c>
      <c r="B2663" t="str">
        <f>"000966"</f>
        <v>000966</v>
      </c>
      <c r="C2663" t="s">
        <v>5659</v>
      </c>
      <c r="D2663" t="s">
        <v>41</v>
      </c>
      <c r="F2663">
        <v>1214574279</v>
      </c>
      <c r="G2663">
        <v>582724761</v>
      </c>
      <c r="H2663">
        <v>835728243</v>
      </c>
      <c r="I2663">
        <v>771149479</v>
      </c>
      <c r="J2663">
        <v>609829575</v>
      </c>
      <c r="K2663">
        <v>591215437</v>
      </c>
      <c r="L2663">
        <v>716904931</v>
      </c>
      <c r="M2663">
        <v>562685114</v>
      </c>
      <c r="N2663">
        <v>863169925</v>
      </c>
      <c r="O2663">
        <v>916593727</v>
      </c>
      <c r="P2663">
        <v>398</v>
      </c>
      <c r="Q2663" t="s">
        <v>5660</v>
      </c>
    </row>
    <row r="2664" spans="1:17" x14ac:dyDescent="0.3">
      <c r="A2664" t="s">
        <v>4729</v>
      </c>
      <c r="B2664" t="str">
        <f>"000967"</f>
        <v>000967</v>
      </c>
      <c r="C2664" t="s">
        <v>5661</v>
      </c>
      <c r="D2664" t="s">
        <v>1070</v>
      </c>
      <c r="F2664">
        <v>4946704964</v>
      </c>
      <c r="G2664">
        <v>5564834864</v>
      </c>
      <c r="H2664">
        <v>5163050940</v>
      </c>
      <c r="I2664">
        <v>5687889694</v>
      </c>
      <c r="J2664">
        <v>1511545217</v>
      </c>
      <c r="K2664">
        <v>1303833738</v>
      </c>
      <c r="L2664">
        <v>2306137404</v>
      </c>
      <c r="M2664">
        <v>910083448</v>
      </c>
      <c r="N2664">
        <v>931725066</v>
      </c>
      <c r="O2664">
        <v>611346838</v>
      </c>
      <c r="P2664">
        <v>329</v>
      </c>
      <c r="Q2664" t="s">
        <v>5662</v>
      </c>
    </row>
    <row r="2665" spans="1:17" x14ac:dyDescent="0.3">
      <c r="A2665" t="s">
        <v>4729</v>
      </c>
      <c r="B2665" t="str">
        <f>"000968"</f>
        <v>000968</v>
      </c>
      <c r="C2665" t="s">
        <v>5663</v>
      </c>
      <c r="D2665" t="s">
        <v>1541</v>
      </c>
      <c r="F2665">
        <v>1185971047</v>
      </c>
      <c r="G2665">
        <v>1291649295</v>
      </c>
      <c r="H2665">
        <v>1589999602</v>
      </c>
      <c r="I2665">
        <v>2148853111</v>
      </c>
      <c r="J2665">
        <v>862556055</v>
      </c>
      <c r="K2665">
        <v>1008367130</v>
      </c>
      <c r="L2665">
        <v>392703584</v>
      </c>
      <c r="M2665">
        <v>306821401</v>
      </c>
      <c r="N2665">
        <v>326343503</v>
      </c>
      <c r="O2665">
        <v>313759562</v>
      </c>
      <c r="P2665">
        <v>244</v>
      </c>
      <c r="Q2665" t="s">
        <v>5664</v>
      </c>
    </row>
    <row r="2666" spans="1:17" x14ac:dyDescent="0.3">
      <c r="A2666" t="s">
        <v>4729</v>
      </c>
      <c r="B2666" t="str">
        <f>"000969"</f>
        <v>000969</v>
      </c>
      <c r="C2666" t="s">
        <v>5665</v>
      </c>
      <c r="D2666" t="s">
        <v>581</v>
      </c>
      <c r="F2666">
        <v>887368950</v>
      </c>
      <c r="G2666">
        <v>953635849</v>
      </c>
      <c r="H2666">
        <v>987320934</v>
      </c>
      <c r="I2666">
        <v>1073306021</v>
      </c>
      <c r="J2666">
        <v>1073134035</v>
      </c>
      <c r="K2666">
        <v>944212557</v>
      </c>
      <c r="L2666">
        <v>882953647</v>
      </c>
      <c r="M2666">
        <v>944513242</v>
      </c>
      <c r="N2666">
        <v>701013184</v>
      </c>
      <c r="O2666">
        <v>688970926</v>
      </c>
      <c r="P2666">
        <v>224</v>
      </c>
      <c r="Q2666" t="s">
        <v>5666</v>
      </c>
    </row>
    <row r="2667" spans="1:17" x14ac:dyDescent="0.3">
      <c r="A2667" t="s">
        <v>4729</v>
      </c>
      <c r="B2667" t="str">
        <f>"000970"</f>
        <v>000970</v>
      </c>
      <c r="C2667" t="s">
        <v>5667</v>
      </c>
      <c r="D2667" t="s">
        <v>808</v>
      </c>
      <c r="F2667">
        <v>2334681137</v>
      </c>
      <c r="G2667">
        <v>1747190821</v>
      </c>
      <c r="H2667">
        <v>1179923815</v>
      </c>
      <c r="I2667">
        <v>1153504425</v>
      </c>
      <c r="J2667">
        <v>1133532863</v>
      </c>
      <c r="K2667">
        <v>1035323267</v>
      </c>
      <c r="L2667">
        <v>843257894</v>
      </c>
      <c r="M2667">
        <v>941954913</v>
      </c>
      <c r="N2667">
        <v>967954367</v>
      </c>
      <c r="O2667">
        <v>845543859</v>
      </c>
      <c r="P2667">
        <v>364</v>
      </c>
      <c r="Q2667" t="s">
        <v>5668</v>
      </c>
    </row>
    <row r="2668" spans="1:17" x14ac:dyDescent="0.3">
      <c r="A2668" t="s">
        <v>4729</v>
      </c>
      <c r="B2668" t="str">
        <f>"000971"</f>
        <v>000971</v>
      </c>
      <c r="C2668" t="s">
        <v>5669</v>
      </c>
      <c r="D2668" t="s">
        <v>5670</v>
      </c>
      <c r="F2668">
        <v>473434651</v>
      </c>
      <c r="G2668">
        <v>523995123</v>
      </c>
      <c r="H2668">
        <v>467740799</v>
      </c>
      <c r="I2668">
        <v>470298988</v>
      </c>
      <c r="J2668">
        <v>252266885</v>
      </c>
      <c r="K2668">
        <v>230704178</v>
      </c>
      <c r="L2668">
        <v>79855913</v>
      </c>
      <c r="M2668">
        <v>9628016</v>
      </c>
      <c r="N2668">
        <v>7209712</v>
      </c>
      <c r="O2668">
        <v>24256190</v>
      </c>
      <c r="P2668">
        <v>74</v>
      </c>
      <c r="Q2668" t="s">
        <v>5671</v>
      </c>
    </row>
    <row r="2669" spans="1:17" x14ac:dyDescent="0.3">
      <c r="A2669" t="s">
        <v>4729</v>
      </c>
      <c r="B2669" t="str">
        <f>"000972"</f>
        <v>000972</v>
      </c>
      <c r="C2669" t="s">
        <v>5672</v>
      </c>
      <c r="D2669" t="s">
        <v>574</v>
      </c>
      <c r="F2669">
        <v>135604962</v>
      </c>
      <c r="G2669">
        <v>142649354</v>
      </c>
      <c r="H2669">
        <v>159119490</v>
      </c>
      <c r="I2669">
        <v>168338377</v>
      </c>
      <c r="J2669">
        <v>136145244</v>
      </c>
      <c r="K2669">
        <v>183234415</v>
      </c>
      <c r="L2669">
        <v>151501183</v>
      </c>
      <c r="M2669">
        <v>110817717</v>
      </c>
      <c r="N2669">
        <v>136501151</v>
      </c>
      <c r="O2669">
        <v>236114622</v>
      </c>
      <c r="P2669">
        <v>78</v>
      </c>
      <c r="Q2669" t="s">
        <v>5673</v>
      </c>
    </row>
    <row r="2670" spans="1:17" x14ac:dyDescent="0.3">
      <c r="A2670" t="s">
        <v>4729</v>
      </c>
      <c r="B2670" t="str">
        <f>"000973"</f>
        <v>000973</v>
      </c>
      <c r="C2670" t="s">
        <v>5674</v>
      </c>
      <c r="D2670" t="s">
        <v>324</v>
      </c>
      <c r="F2670">
        <v>278488530</v>
      </c>
      <c r="G2670">
        <v>215872093</v>
      </c>
      <c r="H2670">
        <v>255496272</v>
      </c>
      <c r="I2670">
        <v>251785220</v>
      </c>
      <c r="J2670">
        <v>269676007</v>
      </c>
      <c r="K2670">
        <v>252884795</v>
      </c>
      <c r="L2670">
        <v>201604986</v>
      </c>
      <c r="M2670">
        <v>219867997</v>
      </c>
      <c r="N2670">
        <v>218303791</v>
      </c>
      <c r="O2670">
        <v>236838645</v>
      </c>
      <c r="P2670">
        <v>123</v>
      </c>
      <c r="Q2670" t="s">
        <v>5675</v>
      </c>
    </row>
    <row r="2671" spans="1:17" x14ac:dyDescent="0.3">
      <c r="A2671" t="s">
        <v>4729</v>
      </c>
      <c r="B2671" t="str">
        <f>"000975"</f>
        <v>000975</v>
      </c>
      <c r="C2671" t="s">
        <v>5676</v>
      </c>
      <c r="D2671" t="s">
        <v>701</v>
      </c>
      <c r="F2671">
        <v>39977497</v>
      </c>
      <c r="G2671">
        <v>48269866</v>
      </c>
      <c r="H2671">
        <v>40045701</v>
      </c>
      <c r="I2671">
        <v>30663542</v>
      </c>
      <c r="J2671">
        <v>0</v>
      </c>
      <c r="K2671">
        <v>0</v>
      </c>
      <c r="L2671">
        <v>0</v>
      </c>
      <c r="M2671">
        <v>0</v>
      </c>
      <c r="N2671">
        <v>120365</v>
      </c>
      <c r="O2671">
        <v>1472988</v>
      </c>
      <c r="P2671">
        <v>391</v>
      </c>
      <c r="Q2671" t="s">
        <v>5677</v>
      </c>
    </row>
    <row r="2672" spans="1:17" x14ac:dyDescent="0.3">
      <c r="A2672" t="s">
        <v>4729</v>
      </c>
      <c r="B2672" t="str">
        <f>"000976"</f>
        <v>000976</v>
      </c>
      <c r="C2672" t="s">
        <v>5678</v>
      </c>
      <c r="D2672" t="s">
        <v>1012</v>
      </c>
      <c r="F2672">
        <v>1142341131</v>
      </c>
      <c r="G2672">
        <v>1319982271</v>
      </c>
      <c r="H2672">
        <v>1054394797</v>
      </c>
      <c r="I2672">
        <v>1267907953</v>
      </c>
      <c r="J2672">
        <v>834893030</v>
      </c>
      <c r="K2672">
        <v>427826254</v>
      </c>
      <c r="L2672">
        <v>25538599</v>
      </c>
      <c r="M2672">
        <v>13391251</v>
      </c>
      <c r="N2672">
        <v>23976562</v>
      </c>
      <c r="O2672">
        <v>11802904</v>
      </c>
      <c r="P2672">
        <v>146</v>
      </c>
      <c r="Q2672" t="s">
        <v>5679</v>
      </c>
    </row>
    <row r="2673" spans="1:17" x14ac:dyDescent="0.3">
      <c r="A2673" t="s">
        <v>4729</v>
      </c>
      <c r="B2673" t="str">
        <f>"000977"</f>
        <v>000977</v>
      </c>
      <c r="C2673" t="s">
        <v>5680</v>
      </c>
      <c r="D2673" t="s">
        <v>236</v>
      </c>
      <c r="F2673">
        <v>11969771797</v>
      </c>
      <c r="G2673">
        <v>8207351932</v>
      </c>
      <c r="H2673">
        <v>10049036168</v>
      </c>
      <c r="I2673">
        <v>4963269949</v>
      </c>
      <c r="J2673">
        <v>3938733573</v>
      </c>
      <c r="K2673">
        <v>1739826437</v>
      </c>
      <c r="L2673">
        <v>1681157979</v>
      </c>
      <c r="M2673">
        <v>1068006701</v>
      </c>
      <c r="N2673">
        <v>667075376</v>
      </c>
      <c r="O2673">
        <v>366363936</v>
      </c>
      <c r="P2673">
        <v>4425</v>
      </c>
      <c r="Q2673" t="s">
        <v>5681</v>
      </c>
    </row>
    <row r="2674" spans="1:17" x14ac:dyDescent="0.3">
      <c r="A2674" t="s">
        <v>4729</v>
      </c>
      <c r="B2674" t="str">
        <f>"000978"</f>
        <v>000978</v>
      </c>
      <c r="C2674" t="s">
        <v>5682</v>
      </c>
      <c r="D2674" t="s">
        <v>119</v>
      </c>
      <c r="F2674">
        <v>61617674</v>
      </c>
      <c r="G2674">
        <v>109114705</v>
      </c>
      <c r="H2674">
        <v>111660959</v>
      </c>
      <c r="I2674">
        <v>128409458</v>
      </c>
      <c r="J2674">
        <v>90714457</v>
      </c>
      <c r="K2674">
        <v>86330376</v>
      </c>
      <c r="L2674">
        <v>197144258</v>
      </c>
      <c r="M2674">
        <v>365852334</v>
      </c>
      <c r="N2674">
        <v>66618128</v>
      </c>
      <c r="O2674">
        <v>83224085</v>
      </c>
      <c r="P2674">
        <v>140</v>
      </c>
      <c r="Q2674" t="s">
        <v>5683</v>
      </c>
    </row>
    <row r="2675" spans="1:17" x14ac:dyDescent="0.3">
      <c r="A2675" t="s">
        <v>4729</v>
      </c>
      <c r="B2675" t="str">
        <f>"000979"</f>
        <v>000979</v>
      </c>
      <c r="C2675" t="s">
        <v>5684</v>
      </c>
      <c r="J2675">
        <v>289761878</v>
      </c>
      <c r="K2675">
        <v>1243506786</v>
      </c>
      <c r="L2675">
        <v>173901856.63</v>
      </c>
      <c r="M2675">
        <v>1931832617.4000001</v>
      </c>
      <c r="N2675">
        <v>17358500.010000002</v>
      </c>
      <c r="O2675">
        <v>224030036.96000001</v>
      </c>
      <c r="P2675">
        <v>30</v>
      </c>
      <c r="Q2675" t="s">
        <v>5685</v>
      </c>
    </row>
    <row r="2676" spans="1:17" x14ac:dyDescent="0.3">
      <c r="A2676" t="s">
        <v>4729</v>
      </c>
      <c r="B2676" t="str">
        <f>"000980"</f>
        <v>000980</v>
      </c>
      <c r="C2676" t="s">
        <v>5686</v>
      </c>
      <c r="D2676" t="s">
        <v>1415</v>
      </c>
      <c r="F2676">
        <v>1822876359</v>
      </c>
      <c r="G2676">
        <v>3334110748</v>
      </c>
      <c r="H2676">
        <v>4639008807</v>
      </c>
      <c r="I2676">
        <v>6218774242</v>
      </c>
      <c r="J2676">
        <v>4655022486</v>
      </c>
      <c r="K2676">
        <v>930857840</v>
      </c>
      <c r="L2676">
        <v>580208241</v>
      </c>
      <c r="M2676">
        <v>538408859</v>
      </c>
      <c r="N2676">
        <v>374161482</v>
      </c>
      <c r="O2676">
        <v>315285295</v>
      </c>
      <c r="P2676">
        <v>161</v>
      </c>
      <c r="Q2676" t="s">
        <v>5687</v>
      </c>
    </row>
    <row r="2677" spans="1:17" x14ac:dyDescent="0.3">
      <c r="A2677" t="s">
        <v>4729</v>
      </c>
      <c r="B2677" t="str">
        <f>"000981"</f>
        <v>000981</v>
      </c>
      <c r="C2677" t="s">
        <v>5688</v>
      </c>
      <c r="D2677" t="s">
        <v>104</v>
      </c>
      <c r="F2677">
        <v>568397326</v>
      </c>
      <c r="G2677">
        <v>733447194</v>
      </c>
      <c r="H2677">
        <v>1015866435</v>
      </c>
      <c r="I2677">
        <v>1333836428</v>
      </c>
      <c r="J2677">
        <v>2712188800</v>
      </c>
      <c r="K2677">
        <v>206292224</v>
      </c>
      <c r="L2677">
        <v>316526730</v>
      </c>
      <c r="M2677">
        <v>71756294</v>
      </c>
      <c r="N2677">
        <v>85133300</v>
      </c>
      <c r="O2677">
        <v>46500737</v>
      </c>
      <c r="P2677">
        <v>118</v>
      </c>
      <c r="Q2677" t="s">
        <v>5689</v>
      </c>
    </row>
    <row r="2678" spans="1:17" x14ac:dyDescent="0.3">
      <c r="A2678" t="s">
        <v>4729</v>
      </c>
      <c r="B2678" t="str">
        <f>"000982"</f>
        <v>000982</v>
      </c>
      <c r="C2678" t="s">
        <v>5690</v>
      </c>
      <c r="D2678" t="s">
        <v>366</v>
      </c>
      <c r="F2678">
        <v>101375123</v>
      </c>
      <c r="G2678">
        <v>63448332</v>
      </c>
      <c r="H2678">
        <v>868278</v>
      </c>
      <c r="I2678">
        <v>603782864</v>
      </c>
      <c r="J2678">
        <v>1537858319</v>
      </c>
      <c r="K2678">
        <v>1303311356</v>
      </c>
      <c r="L2678">
        <v>1196382701</v>
      </c>
      <c r="M2678">
        <v>805490408</v>
      </c>
      <c r="N2678">
        <v>813443206</v>
      </c>
      <c r="O2678">
        <v>860426821</v>
      </c>
      <c r="P2678">
        <v>83</v>
      </c>
      <c r="Q2678" t="s">
        <v>5691</v>
      </c>
    </row>
    <row r="2679" spans="1:17" x14ac:dyDescent="0.3">
      <c r="A2679" t="s">
        <v>4729</v>
      </c>
      <c r="B2679" t="str">
        <f>"000983"</f>
        <v>000983</v>
      </c>
      <c r="C2679" t="s">
        <v>5692</v>
      </c>
      <c r="D2679" t="s">
        <v>298</v>
      </c>
      <c r="F2679">
        <v>1518592799</v>
      </c>
      <c r="G2679">
        <v>1896670132</v>
      </c>
      <c r="H2679">
        <v>1666749218</v>
      </c>
      <c r="I2679">
        <v>1854070585</v>
      </c>
      <c r="J2679">
        <v>2609227794</v>
      </c>
      <c r="K2679">
        <v>4383724225</v>
      </c>
      <c r="L2679">
        <v>4337361472</v>
      </c>
      <c r="M2679">
        <v>4544355826</v>
      </c>
      <c r="N2679">
        <v>2669996921</v>
      </c>
      <c r="O2679">
        <v>2919207022</v>
      </c>
      <c r="P2679">
        <v>688</v>
      </c>
      <c r="Q2679" t="s">
        <v>5693</v>
      </c>
    </row>
    <row r="2680" spans="1:17" x14ac:dyDescent="0.3">
      <c r="A2680" t="s">
        <v>4729</v>
      </c>
      <c r="B2680" t="str">
        <f>"000985"</f>
        <v>000985</v>
      </c>
      <c r="C2680" t="s">
        <v>5694</v>
      </c>
      <c r="D2680" t="s">
        <v>1617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305481</v>
      </c>
      <c r="L2680">
        <v>1020968</v>
      </c>
      <c r="M2680">
        <v>2567719</v>
      </c>
      <c r="N2680">
        <v>2116666</v>
      </c>
      <c r="O2680">
        <v>1602333</v>
      </c>
      <c r="P2680">
        <v>82</v>
      </c>
      <c r="Q2680" t="s">
        <v>5695</v>
      </c>
    </row>
    <row r="2681" spans="1:17" x14ac:dyDescent="0.3">
      <c r="A2681" t="s">
        <v>4729</v>
      </c>
      <c r="B2681" t="str">
        <f>"000987"</f>
        <v>000987</v>
      </c>
      <c r="C2681" t="s">
        <v>5696</v>
      </c>
      <c r="D2681" t="s">
        <v>140</v>
      </c>
      <c r="F2681">
        <v>110973401</v>
      </c>
      <c r="G2681">
        <v>63986495</v>
      </c>
      <c r="H2681">
        <v>62989386</v>
      </c>
      <c r="I2681">
        <v>491057022</v>
      </c>
      <c r="J2681">
        <v>163145781</v>
      </c>
      <c r="K2681">
        <v>233283150</v>
      </c>
      <c r="L2681">
        <v>258791</v>
      </c>
      <c r="M2681">
        <v>680273</v>
      </c>
      <c r="N2681">
        <v>1237327</v>
      </c>
      <c r="O2681">
        <v>1201182</v>
      </c>
      <c r="P2681">
        <v>520</v>
      </c>
      <c r="Q2681" t="s">
        <v>5697</v>
      </c>
    </row>
    <row r="2682" spans="1:17" x14ac:dyDescent="0.3">
      <c r="A2682" t="s">
        <v>4729</v>
      </c>
      <c r="B2682" t="str">
        <f>"000988"</f>
        <v>000988</v>
      </c>
      <c r="C2682" t="s">
        <v>5698</v>
      </c>
      <c r="D2682" t="s">
        <v>3811</v>
      </c>
      <c r="F2682">
        <v>3008647664</v>
      </c>
      <c r="G2682">
        <v>2146606146</v>
      </c>
      <c r="H2682">
        <v>2211716538</v>
      </c>
      <c r="I2682">
        <v>1988812837</v>
      </c>
      <c r="J2682">
        <v>1982257783</v>
      </c>
      <c r="K2682">
        <v>1258033086</v>
      </c>
      <c r="L2682">
        <v>1117905312</v>
      </c>
      <c r="M2682">
        <v>919347206</v>
      </c>
      <c r="N2682">
        <v>758529532</v>
      </c>
      <c r="O2682">
        <v>842584095</v>
      </c>
      <c r="P2682">
        <v>710</v>
      </c>
      <c r="Q2682" t="s">
        <v>5699</v>
      </c>
    </row>
    <row r="2683" spans="1:17" x14ac:dyDescent="0.3">
      <c r="A2683" t="s">
        <v>4729</v>
      </c>
      <c r="B2683" t="str">
        <f>"000989"</f>
        <v>000989</v>
      </c>
      <c r="C2683" t="s">
        <v>5700</v>
      </c>
      <c r="D2683" t="s">
        <v>188</v>
      </c>
      <c r="F2683">
        <v>404199734</v>
      </c>
      <c r="G2683">
        <v>392372555</v>
      </c>
      <c r="H2683">
        <v>475673085</v>
      </c>
      <c r="I2683">
        <v>796241092</v>
      </c>
      <c r="J2683">
        <v>1083463796</v>
      </c>
      <c r="K2683">
        <v>211504526</v>
      </c>
      <c r="L2683">
        <v>147761588</v>
      </c>
      <c r="M2683">
        <v>103322630</v>
      </c>
      <c r="N2683">
        <v>102483981</v>
      </c>
      <c r="O2683">
        <v>91199280</v>
      </c>
      <c r="P2683">
        <v>370</v>
      </c>
      <c r="Q2683" t="s">
        <v>5701</v>
      </c>
    </row>
    <row r="2684" spans="1:17" x14ac:dyDescent="0.3">
      <c r="A2684" t="s">
        <v>4729</v>
      </c>
      <c r="B2684" t="str">
        <f>"000990"</f>
        <v>000990</v>
      </c>
      <c r="C2684" t="s">
        <v>5702</v>
      </c>
      <c r="D2684" t="s">
        <v>914</v>
      </c>
      <c r="F2684">
        <v>827942086</v>
      </c>
      <c r="G2684">
        <v>1098298633</v>
      </c>
      <c r="H2684">
        <v>1081876361</v>
      </c>
      <c r="I2684">
        <v>808180369</v>
      </c>
      <c r="J2684">
        <v>993509763</v>
      </c>
      <c r="K2684">
        <v>1406084704</v>
      </c>
      <c r="L2684">
        <v>1095144213</v>
      </c>
      <c r="M2684">
        <v>846335124</v>
      </c>
      <c r="N2684">
        <v>416730972</v>
      </c>
      <c r="O2684">
        <v>353069987</v>
      </c>
      <c r="P2684">
        <v>194</v>
      </c>
      <c r="Q2684" t="s">
        <v>5703</v>
      </c>
    </row>
    <row r="2685" spans="1:17" x14ac:dyDescent="0.3">
      <c r="A2685" t="s">
        <v>4729</v>
      </c>
      <c r="B2685" t="str">
        <f>"000993"</f>
        <v>000993</v>
      </c>
      <c r="C2685" t="s">
        <v>5704</v>
      </c>
      <c r="D2685" t="s">
        <v>66</v>
      </c>
      <c r="F2685">
        <v>218395928</v>
      </c>
      <c r="G2685">
        <v>172982424</v>
      </c>
      <c r="H2685">
        <v>137301350</v>
      </c>
      <c r="I2685">
        <v>121823231</v>
      </c>
      <c r="J2685">
        <v>78852471</v>
      </c>
      <c r="K2685">
        <v>74130619</v>
      </c>
      <c r="L2685">
        <v>69500069</v>
      </c>
      <c r="M2685">
        <v>56403508</v>
      </c>
      <c r="N2685">
        <v>89585404</v>
      </c>
      <c r="O2685">
        <v>53533666</v>
      </c>
      <c r="P2685">
        <v>163</v>
      </c>
      <c r="Q2685" t="s">
        <v>5705</v>
      </c>
    </row>
    <row r="2686" spans="1:17" x14ac:dyDescent="0.3">
      <c r="A2686" t="s">
        <v>4729</v>
      </c>
      <c r="B2686" t="str">
        <f>"000995"</f>
        <v>000995</v>
      </c>
      <c r="C2686" t="s">
        <v>5706</v>
      </c>
      <c r="D2686" t="s">
        <v>458</v>
      </c>
      <c r="F2686">
        <v>6308244</v>
      </c>
      <c r="G2686">
        <v>15344521</v>
      </c>
      <c r="H2686">
        <v>2486719</v>
      </c>
      <c r="I2686">
        <v>1145479</v>
      </c>
      <c r="J2686">
        <v>783127</v>
      </c>
      <c r="K2686">
        <v>5613520</v>
      </c>
      <c r="L2686">
        <v>7904091</v>
      </c>
      <c r="M2686">
        <v>827744</v>
      </c>
      <c r="N2686">
        <v>883833</v>
      </c>
      <c r="O2686">
        <v>2416745</v>
      </c>
      <c r="P2686">
        <v>175</v>
      </c>
      <c r="Q2686" t="s">
        <v>5707</v>
      </c>
    </row>
    <row r="2687" spans="1:17" x14ac:dyDescent="0.3">
      <c r="A2687" t="s">
        <v>4729</v>
      </c>
      <c r="B2687" t="str">
        <f>"000996"</f>
        <v>000996</v>
      </c>
      <c r="C2687" t="s">
        <v>5708</v>
      </c>
      <c r="D2687" t="s">
        <v>672</v>
      </c>
      <c r="F2687">
        <v>386422</v>
      </c>
      <c r="G2687">
        <v>84922</v>
      </c>
      <c r="H2687">
        <v>75636</v>
      </c>
      <c r="I2687">
        <v>2370992</v>
      </c>
      <c r="J2687">
        <v>1442230</v>
      </c>
      <c r="K2687">
        <v>2839929</v>
      </c>
      <c r="L2687">
        <v>1727504</v>
      </c>
      <c r="M2687">
        <v>1574687</v>
      </c>
      <c r="N2687">
        <v>875285</v>
      </c>
      <c r="O2687">
        <v>2007481</v>
      </c>
      <c r="P2687">
        <v>70</v>
      </c>
      <c r="Q2687" t="s">
        <v>5709</v>
      </c>
    </row>
    <row r="2688" spans="1:17" x14ac:dyDescent="0.3">
      <c r="A2688" t="s">
        <v>4729</v>
      </c>
      <c r="B2688" t="str">
        <f>"000997"</f>
        <v>000997</v>
      </c>
      <c r="C2688" t="s">
        <v>5710</v>
      </c>
      <c r="D2688" t="s">
        <v>236</v>
      </c>
      <c r="F2688">
        <v>1089435015</v>
      </c>
      <c r="G2688">
        <v>1007252484</v>
      </c>
      <c r="H2688">
        <v>730113325</v>
      </c>
      <c r="I2688">
        <v>741503716</v>
      </c>
      <c r="J2688">
        <v>730720140</v>
      </c>
      <c r="K2688">
        <v>787810006</v>
      </c>
      <c r="L2688">
        <v>657964377</v>
      </c>
      <c r="M2688">
        <v>463223816</v>
      </c>
      <c r="N2688">
        <v>369929888</v>
      </c>
      <c r="O2688">
        <v>288913658</v>
      </c>
      <c r="P2688">
        <v>581</v>
      </c>
      <c r="Q2688" t="s">
        <v>5711</v>
      </c>
    </row>
    <row r="2689" spans="1:17" x14ac:dyDescent="0.3">
      <c r="A2689" t="s">
        <v>4729</v>
      </c>
      <c r="B2689" t="str">
        <f>"000998"</f>
        <v>000998</v>
      </c>
      <c r="C2689" t="s">
        <v>5712</v>
      </c>
      <c r="D2689" t="s">
        <v>706</v>
      </c>
      <c r="F2689">
        <v>570968913</v>
      </c>
      <c r="G2689">
        <v>735036695</v>
      </c>
      <c r="H2689">
        <v>897546882</v>
      </c>
      <c r="I2689">
        <v>796524026</v>
      </c>
      <c r="J2689">
        <v>540800038</v>
      </c>
      <c r="K2689">
        <v>333608533</v>
      </c>
      <c r="L2689">
        <v>303928440</v>
      </c>
      <c r="M2689">
        <v>259691467</v>
      </c>
      <c r="N2689">
        <v>165275727</v>
      </c>
      <c r="O2689">
        <v>145011172</v>
      </c>
      <c r="P2689">
        <v>649</v>
      </c>
      <c r="Q2689" t="s">
        <v>5713</v>
      </c>
    </row>
    <row r="2690" spans="1:17" x14ac:dyDescent="0.3">
      <c r="A2690" t="s">
        <v>4729</v>
      </c>
      <c r="B2690" t="str">
        <f>"000999"</f>
        <v>000999</v>
      </c>
      <c r="C2690" t="s">
        <v>5714</v>
      </c>
      <c r="D2690" t="s">
        <v>188</v>
      </c>
      <c r="F2690">
        <v>3040380278</v>
      </c>
      <c r="G2690">
        <v>2979940641</v>
      </c>
      <c r="H2690">
        <v>2750955246</v>
      </c>
      <c r="I2690">
        <v>2314888788</v>
      </c>
      <c r="J2690">
        <v>1825200549</v>
      </c>
      <c r="K2690">
        <v>1345725282</v>
      </c>
      <c r="L2690">
        <v>887318998</v>
      </c>
      <c r="M2690">
        <v>542367374</v>
      </c>
      <c r="N2690">
        <v>556656341</v>
      </c>
      <c r="O2690">
        <v>476734070</v>
      </c>
      <c r="P2690">
        <v>5773</v>
      </c>
      <c r="Q2690" t="s">
        <v>5715</v>
      </c>
    </row>
    <row r="2691" spans="1:17" x14ac:dyDescent="0.3">
      <c r="A2691" t="s">
        <v>4729</v>
      </c>
      <c r="B2691" t="str">
        <f>"001201"</f>
        <v>001201</v>
      </c>
      <c r="C2691" t="s">
        <v>5716</v>
      </c>
      <c r="D2691" t="s">
        <v>1900</v>
      </c>
      <c r="F2691">
        <v>4882360</v>
      </c>
      <c r="G2691">
        <v>5738548</v>
      </c>
      <c r="H2691">
        <v>6156584</v>
      </c>
      <c r="I2691">
        <v>14349756</v>
      </c>
      <c r="J2691">
        <v>9531809</v>
      </c>
      <c r="P2691">
        <v>61</v>
      </c>
      <c r="Q2691" t="s">
        <v>5717</v>
      </c>
    </row>
    <row r="2692" spans="1:17" x14ac:dyDescent="0.3">
      <c r="A2692" t="s">
        <v>4729</v>
      </c>
      <c r="B2692" t="str">
        <f>"001202"</f>
        <v>001202</v>
      </c>
      <c r="C2692" t="s">
        <v>5718</v>
      </c>
      <c r="D2692" t="s">
        <v>128</v>
      </c>
      <c r="F2692">
        <v>99792340</v>
      </c>
      <c r="G2692">
        <v>45153787</v>
      </c>
      <c r="H2692">
        <v>45388863</v>
      </c>
      <c r="I2692">
        <v>20633254</v>
      </c>
      <c r="J2692">
        <v>13443400</v>
      </c>
      <c r="P2692">
        <v>32</v>
      </c>
      <c r="Q2692" t="s">
        <v>5719</v>
      </c>
    </row>
    <row r="2693" spans="1:17" x14ac:dyDescent="0.3">
      <c r="A2693" t="s">
        <v>4729</v>
      </c>
      <c r="B2693" t="str">
        <f>"001203"</f>
        <v>001203</v>
      </c>
      <c r="C2693" t="s">
        <v>5720</v>
      </c>
      <c r="D2693" t="s">
        <v>2376</v>
      </c>
      <c r="F2693">
        <v>226527366</v>
      </c>
      <c r="G2693">
        <v>203874614</v>
      </c>
      <c r="H2693">
        <v>89861035</v>
      </c>
      <c r="I2693">
        <v>118389337</v>
      </c>
      <c r="J2693">
        <v>165237482</v>
      </c>
      <c r="P2693">
        <v>80</v>
      </c>
      <c r="Q2693" t="s">
        <v>5721</v>
      </c>
    </row>
    <row r="2694" spans="1:17" x14ac:dyDescent="0.3">
      <c r="A2694" t="s">
        <v>4729</v>
      </c>
      <c r="B2694" t="str">
        <f>"001205"</f>
        <v>001205</v>
      </c>
      <c r="C2694" t="s">
        <v>5722</v>
      </c>
      <c r="D2694" t="s">
        <v>69</v>
      </c>
      <c r="F2694">
        <v>90850766</v>
      </c>
      <c r="G2694">
        <v>76751843</v>
      </c>
      <c r="H2694">
        <v>56216078</v>
      </c>
      <c r="I2694">
        <v>38564090</v>
      </c>
      <c r="J2694">
        <v>30711863</v>
      </c>
      <c r="P2694">
        <v>44</v>
      </c>
      <c r="Q2694" t="s">
        <v>5723</v>
      </c>
    </row>
    <row r="2695" spans="1:17" x14ac:dyDescent="0.3">
      <c r="A2695" t="s">
        <v>4729</v>
      </c>
      <c r="B2695" t="str">
        <f>"001206"</f>
        <v>001206</v>
      </c>
      <c r="C2695" t="s">
        <v>5724</v>
      </c>
      <c r="D2695" t="s">
        <v>2751</v>
      </c>
      <c r="F2695">
        <v>280536041</v>
      </c>
      <c r="G2695">
        <v>205156804</v>
      </c>
      <c r="H2695">
        <v>159390829</v>
      </c>
      <c r="I2695">
        <v>156004574</v>
      </c>
      <c r="J2695">
        <v>119838365</v>
      </c>
      <c r="P2695">
        <v>53</v>
      </c>
      <c r="Q2695" t="s">
        <v>5725</v>
      </c>
    </row>
    <row r="2696" spans="1:17" x14ac:dyDescent="0.3">
      <c r="A2696" t="s">
        <v>4729</v>
      </c>
      <c r="B2696" t="str">
        <f>"001207"</f>
        <v>001207</v>
      </c>
      <c r="C2696" t="s">
        <v>5726</v>
      </c>
      <c r="D2696" t="s">
        <v>3646</v>
      </c>
      <c r="F2696">
        <v>247517222</v>
      </c>
      <c r="G2696">
        <v>150221311</v>
      </c>
      <c r="H2696">
        <v>154450130</v>
      </c>
      <c r="I2696">
        <v>169586439</v>
      </c>
      <c r="J2696">
        <v>172137108</v>
      </c>
      <c r="P2696">
        <v>25</v>
      </c>
      <c r="Q2696" t="s">
        <v>5727</v>
      </c>
    </row>
    <row r="2697" spans="1:17" x14ac:dyDescent="0.3">
      <c r="A2697" t="s">
        <v>4729</v>
      </c>
      <c r="B2697" t="str">
        <f>"001208"</f>
        <v>001208</v>
      </c>
      <c r="C2697" t="s">
        <v>5728</v>
      </c>
      <c r="D2697" t="s">
        <v>1164</v>
      </c>
      <c r="F2697">
        <v>737539175</v>
      </c>
      <c r="G2697">
        <v>455771403</v>
      </c>
      <c r="H2697">
        <v>367543865</v>
      </c>
      <c r="I2697">
        <v>259801574</v>
      </c>
      <c r="J2697">
        <v>251097330</v>
      </c>
      <c r="P2697">
        <v>66</v>
      </c>
      <c r="Q2697" t="s">
        <v>5729</v>
      </c>
    </row>
    <row r="2698" spans="1:17" x14ac:dyDescent="0.3">
      <c r="A2698" t="s">
        <v>4729</v>
      </c>
      <c r="B2698" t="str">
        <f>"001209"</f>
        <v>001209</v>
      </c>
      <c r="C2698" t="s">
        <v>5730</v>
      </c>
      <c r="D2698" t="s">
        <v>255</v>
      </c>
      <c r="F2698">
        <v>95548606</v>
      </c>
      <c r="G2698">
        <v>61263314</v>
      </c>
      <c r="H2698">
        <v>78200378</v>
      </c>
      <c r="I2698">
        <v>46229563</v>
      </c>
      <c r="J2698">
        <v>41214467</v>
      </c>
      <c r="P2698">
        <v>22</v>
      </c>
      <c r="Q2698" t="s">
        <v>5731</v>
      </c>
    </row>
    <row r="2699" spans="1:17" x14ac:dyDescent="0.3">
      <c r="A2699" t="s">
        <v>4729</v>
      </c>
      <c r="B2699" t="str">
        <f>"001210"</f>
        <v>001210</v>
      </c>
      <c r="C2699" t="s">
        <v>5732</v>
      </c>
      <c r="D2699" t="s">
        <v>351</v>
      </c>
      <c r="F2699">
        <v>213695694</v>
      </c>
      <c r="G2699">
        <v>168878658</v>
      </c>
      <c r="H2699">
        <v>164883748</v>
      </c>
      <c r="I2699">
        <v>179056318</v>
      </c>
      <c r="J2699">
        <v>167411731</v>
      </c>
      <c r="P2699">
        <v>27</v>
      </c>
      <c r="Q2699" t="s">
        <v>5733</v>
      </c>
    </row>
    <row r="2700" spans="1:17" x14ac:dyDescent="0.3">
      <c r="A2700" t="s">
        <v>4729</v>
      </c>
      <c r="B2700" t="str">
        <f>"001211"</f>
        <v>001211</v>
      </c>
      <c r="C2700" t="s">
        <v>5734</v>
      </c>
      <c r="D2700" t="s">
        <v>2445</v>
      </c>
      <c r="F2700">
        <v>289640811</v>
      </c>
      <c r="G2700">
        <v>210717012</v>
      </c>
      <c r="H2700">
        <v>213842355</v>
      </c>
      <c r="I2700">
        <v>212060324</v>
      </c>
      <c r="J2700">
        <v>158868400</v>
      </c>
      <c r="P2700">
        <v>13</v>
      </c>
      <c r="Q2700" t="s">
        <v>5735</v>
      </c>
    </row>
    <row r="2701" spans="1:17" x14ac:dyDescent="0.3">
      <c r="A2701" t="s">
        <v>4729</v>
      </c>
      <c r="B2701" t="str">
        <f>"001212"</f>
        <v>001212</v>
      </c>
      <c r="C2701" t="s">
        <v>5736</v>
      </c>
      <c r="D2701" t="s">
        <v>722</v>
      </c>
      <c r="F2701">
        <v>99661367</v>
      </c>
      <c r="G2701">
        <v>79376192</v>
      </c>
      <c r="H2701">
        <v>66776499</v>
      </c>
      <c r="I2701">
        <v>48856586</v>
      </c>
      <c r="J2701">
        <v>50135130</v>
      </c>
      <c r="P2701">
        <v>19</v>
      </c>
      <c r="Q2701" t="s">
        <v>5737</v>
      </c>
    </row>
    <row r="2702" spans="1:17" x14ac:dyDescent="0.3">
      <c r="A2702" t="s">
        <v>4729</v>
      </c>
      <c r="B2702" t="str">
        <f>"001213"</f>
        <v>001213</v>
      </c>
      <c r="C2702" t="s">
        <v>5738</v>
      </c>
      <c r="D2702" t="s">
        <v>301</v>
      </c>
      <c r="F2702">
        <v>1988949340</v>
      </c>
      <c r="G2702">
        <v>1696963965</v>
      </c>
      <c r="H2702">
        <v>1983587432</v>
      </c>
      <c r="I2702">
        <v>1634080379</v>
      </c>
      <c r="J2702">
        <v>1317858400</v>
      </c>
      <c r="P2702">
        <v>27</v>
      </c>
      <c r="Q2702" t="s">
        <v>5739</v>
      </c>
    </row>
    <row r="2703" spans="1:17" x14ac:dyDescent="0.3">
      <c r="A2703" t="s">
        <v>4729</v>
      </c>
      <c r="B2703" t="str">
        <f>"001215"</f>
        <v>001215</v>
      </c>
      <c r="C2703" t="s">
        <v>5740</v>
      </c>
      <c r="D2703" t="s">
        <v>2865</v>
      </c>
      <c r="F2703">
        <v>62250527</v>
      </c>
      <c r="G2703">
        <v>52247700</v>
      </c>
      <c r="H2703">
        <v>44555792</v>
      </c>
      <c r="I2703">
        <v>42029191</v>
      </c>
      <c r="J2703">
        <v>14040409</v>
      </c>
      <c r="P2703">
        <v>59</v>
      </c>
      <c r="Q2703" t="s">
        <v>5741</v>
      </c>
    </row>
    <row r="2704" spans="1:17" x14ac:dyDescent="0.3">
      <c r="A2704" t="s">
        <v>4729</v>
      </c>
      <c r="B2704" t="str">
        <f>"001216"</f>
        <v>001216</v>
      </c>
      <c r="C2704" t="s">
        <v>5742</v>
      </c>
      <c r="D2704" t="s">
        <v>2445</v>
      </c>
      <c r="F2704">
        <v>107929133</v>
      </c>
      <c r="G2704">
        <v>87757935</v>
      </c>
      <c r="H2704">
        <v>79654223</v>
      </c>
      <c r="I2704">
        <v>75428308</v>
      </c>
      <c r="J2704">
        <v>80231803</v>
      </c>
      <c r="P2704">
        <v>19</v>
      </c>
      <c r="Q2704" t="s">
        <v>5743</v>
      </c>
    </row>
    <row r="2705" spans="1:17" x14ac:dyDescent="0.3">
      <c r="A2705" t="s">
        <v>4729</v>
      </c>
      <c r="B2705" t="str">
        <f>"001217"</f>
        <v>001217</v>
      </c>
      <c r="C2705" t="s">
        <v>5744</v>
      </c>
      <c r="D2705" t="s">
        <v>1233</v>
      </c>
      <c r="F2705">
        <v>65484434</v>
      </c>
      <c r="G2705">
        <v>40464576</v>
      </c>
      <c r="H2705">
        <v>31396952</v>
      </c>
      <c r="I2705">
        <v>41164836</v>
      </c>
      <c r="J2705">
        <v>36069964</v>
      </c>
      <c r="P2705">
        <v>27</v>
      </c>
      <c r="Q2705" t="s">
        <v>5745</v>
      </c>
    </row>
    <row r="2706" spans="1:17" x14ac:dyDescent="0.3">
      <c r="A2706" t="s">
        <v>4729</v>
      </c>
      <c r="B2706" t="str">
        <f>"001218"</f>
        <v>001218</v>
      </c>
      <c r="C2706" t="s">
        <v>5746</v>
      </c>
      <c r="D2706" t="s">
        <v>386</v>
      </c>
      <c r="F2706">
        <v>374765397</v>
      </c>
      <c r="G2706">
        <v>309057600</v>
      </c>
      <c r="H2706">
        <v>276705963</v>
      </c>
      <c r="I2706">
        <v>258111782</v>
      </c>
      <c r="J2706">
        <v>262648800</v>
      </c>
      <c r="P2706">
        <v>15</v>
      </c>
      <c r="Q2706" t="s">
        <v>5747</v>
      </c>
    </row>
    <row r="2707" spans="1:17" x14ac:dyDescent="0.3">
      <c r="A2707" t="s">
        <v>4729</v>
      </c>
      <c r="B2707" t="str">
        <f>"001219"</f>
        <v>001219</v>
      </c>
      <c r="C2707" t="s">
        <v>5748</v>
      </c>
      <c r="D2707" t="s">
        <v>2488</v>
      </c>
      <c r="F2707">
        <v>11026063</v>
      </c>
      <c r="G2707">
        <v>14629673</v>
      </c>
      <c r="H2707">
        <v>10930716</v>
      </c>
      <c r="I2707">
        <v>17651713</v>
      </c>
      <c r="J2707">
        <v>15799844</v>
      </c>
      <c r="P2707">
        <v>33</v>
      </c>
      <c r="Q2707" t="s">
        <v>5749</v>
      </c>
    </row>
    <row r="2708" spans="1:17" x14ac:dyDescent="0.3">
      <c r="A2708" t="s">
        <v>4729</v>
      </c>
      <c r="B2708" t="str">
        <f>"001227"</f>
        <v>001227</v>
      </c>
      <c r="C2708" t="s">
        <v>5750</v>
      </c>
      <c r="D2708" t="s">
        <v>1842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0</v>
      </c>
      <c r="P2708">
        <v>31</v>
      </c>
      <c r="Q2708" t="s">
        <v>5751</v>
      </c>
    </row>
    <row r="2709" spans="1:17" x14ac:dyDescent="0.3">
      <c r="A2709" t="s">
        <v>4729</v>
      </c>
      <c r="B2709" t="str">
        <f>"001228"</f>
        <v>001228</v>
      </c>
      <c r="C2709" t="s">
        <v>5752</v>
      </c>
      <c r="F2709">
        <v>479526283</v>
      </c>
      <c r="G2709">
        <v>219397839</v>
      </c>
      <c r="H2709">
        <v>184837502</v>
      </c>
      <c r="I2709">
        <v>138178803</v>
      </c>
      <c r="J2709">
        <v>132118906</v>
      </c>
      <c r="P2709">
        <v>2</v>
      </c>
      <c r="Q2709" t="s">
        <v>5753</v>
      </c>
    </row>
    <row r="2710" spans="1:17" x14ac:dyDescent="0.3">
      <c r="A2710" t="s">
        <v>4729</v>
      </c>
      <c r="B2710" t="str">
        <f>"001234"</f>
        <v>001234</v>
      </c>
      <c r="C2710" t="s">
        <v>5754</v>
      </c>
      <c r="D2710" t="s">
        <v>366</v>
      </c>
      <c r="F2710">
        <v>168089425</v>
      </c>
      <c r="G2710">
        <v>132311920</v>
      </c>
      <c r="H2710">
        <v>147865249</v>
      </c>
      <c r="I2710">
        <v>151157149</v>
      </c>
      <c r="J2710">
        <v>115439930</v>
      </c>
      <c r="P2710">
        <v>16</v>
      </c>
      <c r="Q2710" t="s">
        <v>5755</v>
      </c>
    </row>
    <row r="2711" spans="1:17" x14ac:dyDescent="0.3">
      <c r="A2711" t="s">
        <v>4729</v>
      </c>
      <c r="B2711" t="str">
        <f>"001235"</f>
        <v>001235</v>
      </c>
      <c r="C2711" t="s">
        <v>5756</v>
      </c>
      <c r="F2711">
        <v>307839398</v>
      </c>
      <c r="G2711">
        <v>245440283</v>
      </c>
      <c r="H2711">
        <v>204453301</v>
      </c>
      <c r="I2711">
        <v>144421782</v>
      </c>
      <c r="Q2711" t="s">
        <v>5757</v>
      </c>
    </row>
    <row r="2712" spans="1:17" x14ac:dyDescent="0.3">
      <c r="A2712" t="s">
        <v>4729</v>
      </c>
      <c r="B2712" t="str">
        <f>"001266"</f>
        <v>001266</v>
      </c>
      <c r="C2712" t="s">
        <v>5758</v>
      </c>
      <c r="F2712">
        <v>90130369</v>
      </c>
      <c r="G2712">
        <v>119219722</v>
      </c>
      <c r="H2712">
        <v>55668012</v>
      </c>
      <c r="I2712">
        <v>45595400</v>
      </c>
      <c r="P2712">
        <v>8</v>
      </c>
      <c r="Q2712" t="s">
        <v>5759</v>
      </c>
    </row>
    <row r="2713" spans="1:17" x14ac:dyDescent="0.3">
      <c r="A2713" t="s">
        <v>4729</v>
      </c>
      <c r="B2713" t="str">
        <f>"001267"</f>
        <v>001267</v>
      </c>
      <c r="C2713" t="s">
        <v>5760</v>
      </c>
      <c r="D2713" t="s">
        <v>2417</v>
      </c>
      <c r="F2713">
        <v>491179706</v>
      </c>
      <c r="G2713">
        <v>355690347</v>
      </c>
      <c r="H2713">
        <v>624582126</v>
      </c>
      <c r="I2713">
        <v>545393053</v>
      </c>
      <c r="P2713">
        <v>10</v>
      </c>
      <c r="Q2713" t="s">
        <v>5761</v>
      </c>
    </row>
    <row r="2714" spans="1:17" x14ac:dyDescent="0.3">
      <c r="A2714" t="s">
        <v>4729</v>
      </c>
      <c r="B2714" t="str">
        <f>"001288"</f>
        <v>001288</v>
      </c>
      <c r="C2714" t="s">
        <v>5762</v>
      </c>
      <c r="D2714" t="s">
        <v>395</v>
      </c>
      <c r="F2714">
        <v>752945627</v>
      </c>
      <c r="G2714">
        <v>770352028</v>
      </c>
      <c r="H2714">
        <v>832039294</v>
      </c>
      <c r="I2714">
        <v>586657788</v>
      </c>
      <c r="J2714">
        <v>475615350</v>
      </c>
      <c r="P2714">
        <v>14</v>
      </c>
      <c r="Q2714" t="s">
        <v>5763</v>
      </c>
    </row>
    <row r="2715" spans="1:17" x14ac:dyDescent="0.3">
      <c r="A2715" t="s">
        <v>4729</v>
      </c>
      <c r="B2715" t="str">
        <f>"001289"</f>
        <v>001289</v>
      </c>
      <c r="C2715" t="s">
        <v>5764</v>
      </c>
      <c r="F2715">
        <v>128165003</v>
      </c>
      <c r="P2715">
        <v>28</v>
      </c>
      <c r="Q2715" t="s">
        <v>5765</v>
      </c>
    </row>
    <row r="2716" spans="1:17" x14ac:dyDescent="0.3">
      <c r="A2716" t="s">
        <v>4729</v>
      </c>
      <c r="B2716" t="str">
        <f>"001296"</f>
        <v>001296</v>
      </c>
      <c r="C2716" t="s">
        <v>5766</v>
      </c>
      <c r="D2716" t="s">
        <v>2762</v>
      </c>
      <c r="F2716">
        <v>289238858</v>
      </c>
      <c r="G2716">
        <v>273998279</v>
      </c>
      <c r="H2716">
        <v>274578005</v>
      </c>
      <c r="I2716">
        <v>202407099</v>
      </c>
      <c r="K2716">
        <v>191218383</v>
      </c>
      <c r="P2716">
        <v>15</v>
      </c>
      <c r="Q2716" t="s">
        <v>5767</v>
      </c>
    </row>
    <row r="2717" spans="1:17" x14ac:dyDescent="0.3">
      <c r="A2717" t="s">
        <v>4729</v>
      </c>
      <c r="B2717" t="str">
        <f>"001308"</f>
        <v>001308</v>
      </c>
      <c r="C2717" t="s">
        <v>5768</v>
      </c>
      <c r="F2717">
        <v>1699452713</v>
      </c>
      <c r="G2717">
        <v>1092722863</v>
      </c>
      <c r="H2717">
        <v>1023142614</v>
      </c>
      <c r="I2717">
        <v>801824477</v>
      </c>
      <c r="P2717">
        <v>5</v>
      </c>
      <c r="Q2717" t="s">
        <v>5769</v>
      </c>
    </row>
    <row r="2718" spans="1:17" x14ac:dyDescent="0.3">
      <c r="A2718" t="s">
        <v>4729</v>
      </c>
      <c r="B2718" t="str">
        <f>"001313"</f>
        <v>001313</v>
      </c>
      <c r="C2718" t="s">
        <v>5770</v>
      </c>
      <c r="F2718">
        <v>768275373</v>
      </c>
      <c r="G2718">
        <v>875802663</v>
      </c>
      <c r="H2718">
        <v>773770938</v>
      </c>
      <c r="I2718">
        <v>993319078</v>
      </c>
      <c r="J2718">
        <v>868706552</v>
      </c>
      <c r="P2718">
        <v>10</v>
      </c>
      <c r="Q2718" t="s">
        <v>5771</v>
      </c>
    </row>
    <row r="2719" spans="1:17" x14ac:dyDescent="0.3">
      <c r="A2719" t="s">
        <v>4729</v>
      </c>
      <c r="B2719" t="str">
        <f>"001317"</f>
        <v>001317</v>
      </c>
      <c r="C2719" t="s">
        <v>5772</v>
      </c>
      <c r="D2719" t="s">
        <v>301</v>
      </c>
      <c r="F2719">
        <v>299541992</v>
      </c>
      <c r="G2719">
        <v>310862601</v>
      </c>
      <c r="H2719">
        <v>288132496</v>
      </c>
      <c r="I2719">
        <v>277676259</v>
      </c>
      <c r="J2719">
        <v>259128113</v>
      </c>
      <c r="P2719">
        <v>23</v>
      </c>
      <c r="Q2719" t="s">
        <v>5773</v>
      </c>
    </row>
    <row r="2720" spans="1:17" x14ac:dyDescent="0.3">
      <c r="A2720" t="s">
        <v>4729</v>
      </c>
      <c r="B2720" t="str">
        <f>"001318"</f>
        <v>001318</v>
      </c>
      <c r="C2720" t="s">
        <v>5774</v>
      </c>
      <c r="F2720">
        <v>34977083</v>
      </c>
      <c r="G2720">
        <v>28932859</v>
      </c>
      <c r="H2720">
        <v>27621124</v>
      </c>
      <c r="I2720">
        <v>32922649</v>
      </c>
      <c r="Q2720" t="s">
        <v>5775</v>
      </c>
    </row>
    <row r="2721" spans="1:17" x14ac:dyDescent="0.3">
      <c r="A2721" t="s">
        <v>4729</v>
      </c>
      <c r="B2721" t="str">
        <f>"001319"</f>
        <v>001319</v>
      </c>
      <c r="C2721" t="s">
        <v>5776</v>
      </c>
      <c r="F2721">
        <v>253578083</v>
      </c>
      <c r="G2721">
        <v>220692906</v>
      </c>
      <c r="H2721">
        <v>201018136</v>
      </c>
      <c r="I2721">
        <v>165733161</v>
      </c>
      <c r="P2721">
        <v>0</v>
      </c>
      <c r="Q2721" t="s">
        <v>5777</v>
      </c>
    </row>
    <row r="2722" spans="1:17" x14ac:dyDescent="0.3">
      <c r="A2722" t="s">
        <v>4729</v>
      </c>
      <c r="B2722" t="str">
        <f>"001696"</f>
        <v>001696</v>
      </c>
      <c r="C2722" t="s">
        <v>5778</v>
      </c>
      <c r="D2722" t="s">
        <v>560</v>
      </c>
      <c r="F2722">
        <v>1662816981</v>
      </c>
      <c r="G2722">
        <v>1334549279</v>
      </c>
      <c r="H2722">
        <v>1020012389</v>
      </c>
      <c r="I2722">
        <v>982253453</v>
      </c>
      <c r="J2722">
        <v>582368023</v>
      </c>
      <c r="K2722">
        <v>624193958</v>
      </c>
      <c r="L2722">
        <v>529934706</v>
      </c>
      <c r="M2722">
        <v>608467419</v>
      </c>
      <c r="N2722">
        <v>459531551</v>
      </c>
      <c r="O2722">
        <v>409384292</v>
      </c>
      <c r="P2722">
        <v>274</v>
      </c>
      <c r="Q2722" t="s">
        <v>5779</v>
      </c>
    </row>
    <row r="2723" spans="1:17" x14ac:dyDescent="0.3">
      <c r="A2723" t="s">
        <v>4729</v>
      </c>
      <c r="B2723" t="str">
        <f>"001872"</f>
        <v>001872</v>
      </c>
      <c r="C2723" t="s">
        <v>5780</v>
      </c>
      <c r="D2723" t="s">
        <v>51</v>
      </c>
      <c r="F2723">
        <v>1320577578</v>
      </c>
      <c r="G2723">
        <v>1372650236</v>
      </c>
      <c r="H2723">
        <v>1356460130</v>
      </c>
      <c r="I2723">
        <v>1109230503</v>
      </c>
      <c r="J2723">
        <v>257081962</v>
      </c>
      <c r="K2723">
        <v>173934497</v>
      </c>
      <c r="L2723">
        <v>189016565</v>
      </c>
      <c r="M2723">
        <v>203641945</v>
      </c>
      <c r="N2723">
        <v>223441477</v>
      </c>
      <c r="O2723">
        <v>251420961</v>
      </c>
      <c r="P2723">
        <v>254</v>
      </c>
      <c r="Q2723" t="s">
        <v>5781</v>
      </c>
    </row>
    <row r="2724" spans="1:17" x14ac:dyDescent="0.3">
      <c r="A2724" t="s">
        <v>4729</v>
      </c>
      <c r="B2724" t="str">
        <f>"001896"</f>
        <v>001896</v>
      </c>
      <c r="C2724" t="s">
        <v>5782</v>
      </c>
      <c r="D2724" t="s">
        <v>41</v>
      </c>
      <c r="F2724">
        <v>1769016400</v>
      </c>
      <c r="G2724">
        <v>1734878502</v>
      </c>
      <c r="H2724">
        <v>1227374663</v>
      </c>
      <c r="I2724">
        <v>1761978542</v>
      </c>
      <c r="J2724">
        <v>2334218010</v>
      </c>
      <c r="K2724">
        <v>1268451802</v>
      </c>
      <c r="L2724">
        <v>550108657</v>
      </c>
      <c r="M2724">
        <v>385911861</v>
      </c>
      <c r="N2724">
        <v>406827714</v>
      </c>
      <c r="O2724">
        <v>406183253</v>
      </c>
      <c r="P2724">
        <v>202</v>
      </c>
      <c r="Q2724" t="s">
        <v>5783</v>
      </c>
    </row>
    <row r="2725" spans="1:17" x14ac:dyDescent="0.3">
      <c r="A2725" t="s">
        <v>4729</v>
      </c>
      <c r="B2725" t="str">
        <f>"001914"</f>
        <v>001914</v>
      </c>
      <c r="C2725" t="s">
        <v>5784</v>
      </c>
      <c r="D2725" t="s">
        <v>2975</v>
      </c>
      <c r="F2725">
        <v>1510661060</v>
      </c>
      <c r="G2725">
        <v>1125315003</v>
      </c>
      <c r="H2725">
        <v>1094715782</v>
      </c>
      <c r="I2725">
        <v>605480914</v>
      </c>
      <c r="J2725">
        <v>510903068</v>
      </c>
      <c r="K2725">
        <v>560470332</v>
      </c>
      <c r="L2725">
        <v>402305579</v>
      </c>
      <c r="M2725">
        <v>364171453</v>
      </c>
      <c r="N2725">
        <v>450450578</v>
      </c>
      <c r="O2725">
        <v>379927220</v>
      </c>
      <c r="P2725">
        <v>264</v>
      </c>
      <c r="Q2725" t="s">
        <v>5785</v>
      </c>
    </row>
    <row r="2726" spans="1:17" x14ac:dyDescent="0.3">
      <c r="A2726" t="s">
        <v>4729</v>
      </c>
      <c r="B2726" t="str">
        <f>"001965"</f>
        <v>001965</v>
      </c>
      <c r="C2726" t="s">
        <v>5786</v>
      </c>
      <c r="D2726" t="s">
        <v>44</v>
      </c>
      <c r="F2726">
        <v>1396378537</v>
      </c>
      <c r="G2726">
        <v>1195227856</v>
      </c>
      <c r="H2726">
        <v>1566251588</v>
      </c>
      <c r="I2726">
        <v>1569964708</v>
      </c>
      <c r="J2726">
        <v>1246895326</v>
      </c>
      <c r="K2726">
        <v>1344478300</v>
      </c>
      <c r="L2726">
        <v>1085422900</v>
      </c>
      <c r="M2726">
        <v>984542000</v>
      </c>
      <c r="P2726">
        <v>359</v>
      </c>
      <c r="Q2726" t="s">
        <v>5787</v>
      </c>
    </row>
    <row r="2727" spans="1:17" x14ac:dyDescent="0.3">
      <c r="A2727" t="s">
        <v>4729</v>
      </c>
      <c r="B2727" t="str">
        <f>"001979"</f>
        <v>001979</v>
      </c>
      <c r="C2727" t="s">
        <v>5788</v>
      </c>
      <c r="D2727" t="s">
        <v>30</v>
      </c>
      <c r="F2727">
        <v>3279273985</v>
      </c>
      <c r="G2727">
        <v>2759249530</v>
      </c>
      <c r="H2727">
        <v>1794789683</v>
      </c>
      <c r="I2727">
        <v>1203551895</v>
      </c>
      <c r="J2727">
        <v>219960309</v>
      </c>
      <c r="K2727">
        <v>227009988</v>
      </c>
      <c r="L2727">
        <v>96903245</v>
      </c>
      <c r="M2727">
        <v>91913100</v>
      </c>
      <c r="N2727">
        <v>109672800</v>
      </c>
      <c r="O2727">
        <v>644048300</v>
      </c>
      <c r="P2727">
        <v>1456</v>
      </c>
      <c r="Q2727" t="s">
        <v>5789</v>
      </c>
    </row>
    <row r="2728" spans="1:17" x14ac:dyDescent="0.3">
      <c r="A2728" t="s">
        <v>4729</v>
      </c>
      <c r="B2728" t="str">
        <f>"002001"</f>
        <v>002001</v>
      </c>
      <c r="C2728" t="s">
        <v>5790</v>
      </c>
      <c r="D2728" t="s">
        <v>496</v>
      </c>
      <c r="F2728">
        <v>2755168573</v>
      </c>
      <c r="G2728">
        <v>1930930930</v>
      </c>
      <c r="H2728">
        <v>1561391147</v>
      </c>
      <c r="I2728">
        <v>1706995999</v>
      </c>
      <c r="J2728">
        <v>1688142509</v>
      </c>
      <c r="K2728">
        <v>882300490</v>
      </c>
      <c r="L2728">
        <v>726509209</v>
      </c>
      <c r="M2728">
        <v>834071369</v>
      </c>
      <c r="N2728">
        <v>856805624</v>
      </c>
      <c r="O2728">
        <v>712098526</v>
      </c>
      <c r="P2728">
        <v>1984</v>
      </c>
      <c r="Q2728" t="s">
        <v>5791</v>
      </c>
    </row>
    <row r="2729" spans="1:17" x14ac:dyDescent="0.3">
      <c r="A2729" t="s">
        <v>4729</v>
      </c>
      <c r="B2729" t="str">
        <f>"002002"</f>
        <v>002002</v>
      </c>
      <c r="C2729" t="s">
        <v>5792</v>
      </c>
      <c r="D2729" t="s">
        <v>175</v>
      </c>
      <c r="F2729">
        <v>2527069501</v>
      </c>
      <c r="G2729">
        <v>1909533539</v>
      </c>
      <c r="H2729">
        <v>1948693600</v>
      </c>
      <c r="I2729">
        <v>1752943443</v>
      </c>
      <c r="J2729">
        <v>1384561917</v>
      </c>
      <c r="K2729">
        <v>1177316175</v>
      </c>
      <c r="L2729">
        <v>836879137</v>
      </c>
      <c r="M2729">
        <v>460806105</v>
      </c>
      <c r="N2729">
        <v>240879196</v>
      </c>
      <c r="O2729">
        <v>23486495</v>
      </c>
      <c r="P2729">
        <v>451</v>
      </c>
      <c r="Q2729" t="s">
        <v>5793</v>
      </c>
    </row>
    <row r="2730" spans="1:17" x14ac:dyDescent="0.3">
      <c r="A2730" t="s">
        <v>4729</v>
      </c>
      <c r="B2730" t="str">
        <f>"002003"</f>
        <v>002003</v>
      </c>
      <c r="C2730" t="s">
        <v>5794</v>
      </c>
      <c r="D2730" t="s">
        <v>2956</v>
      </c>
      <c r="F2730">
        <v>427204886</v>
      </c>
      <c r="G2730">
        <v>289472848</v>
      </c>
      <c r="H2730">
        <v>458227989</v>
      </c>
      <c r="I2730">
        <v>509364469</v>
      </c>
      <c r="J2730">
        <v>401981989</v>
      </c>
      <c r="K2730">
        <v>313534965</v>
      </c>
      <c r="L2730">
        <v>175670692</v>
      </c>
      <c r="M2730">
        <v>180903589</v>
      </c>
      <c r="N2730">
        <v>166976225</v>
      </c>
      <c r="O2730">
        <v>188275232</v>
      </c>
      <c r="P2730">
        <v>761</v>
      </c>
      <c r="Q2730" t="s">
        <v>5795</v>
      </c>
    </row>
    <row r="2731" spans="1:17" x14ac:dyDescent="0.3">
      <c r="A2731" t="s">
        <v>4729</v>
      </c>
      <c r="B2731" t="str">
        <f>"002004"</f>
        <v>002004</v>
      </c>
      <c r="C2731" t="s">
        <v>5796</v>
      </c>
      <c r="D2731" t="s">
        <v>143</v>
      </c>
      <c r="F2731">
        <v>2374489030</v>
      </c>
      <c r="G2731">
        <v>1921132161</v>
      </c>
      <c r="H2731">
        <v>2069503423</v>
      </c>
      <c r="I2731">
        <v>2504907145</v>
      </c>
      <c r="J2731">
        <v>2670060534</v>
      </c>
      <c r="K2731">
        <v>2283630265</v>
      </c>
      <c r="L2731">
        <v>1571712380</v>
      </c>
      <c r="M2731">
        <v>981517717</v>
      </c>
      <c r="N2731">
        <v>1131357789</v>
      </c>
      <c r="O2731">
        <v>1004658530</v>
      </c>
      <c r="P2731">
        <v>328</v>
      </c>
      <c r="Q2731" t="s">
        <v>5797</v>
      </c>
    </row>
    <row r="2732" spans="1:17" x14ac:dyDescent="0.3">
      <c r="A2732" t="s">
        <v>4729</v>
      </c>
      <c r="B2732" t="str">
        <f>"002005"</f>
        <v>002005</v>
      </c>
      <c r="C2732" t="s">
        <v>5798</v>
      </c>
      <c r="D2732" t="s">
        <v>5799</v>
      </c>
      <c r="F2732">
        <v>404305621</v>
      </c>
      <c r="G2732">
        <v>497936167</v>
      </c>
      <c r="H2732">
        <v>627237641</v>
      </c>
      <c r="I2732">
        <v>987949103</v>
      </c>
      <c r="J2732">
        <v>1080646744</v>
      </c>
      <c r="K2732">
        <v>1221834140</v>
      </c>
      <c r="L2732">
        <v>1378549077</v>
      </c>
      <c r="M2732">
        <v>1459550452</v>
      </c>
      <c r="N2732">
        <v>1243037506</v>
      </c>
      <c r="O2732">
        <v>1233035102</v>
      </c>
      <c r="P2732">
        <v>74</v>
      </c>
      <c r="Q2732" t="s">
        <v>5800</v>
      </c>
    </row>
    <row r="2733" spans="1:17" x14ac:dyDescent="0.3">
      <c r="A2733" t="s">
        <v>4729</v>
      </c>
      <c r="B2733" t="str">
        <f>"002006"</f>
        <v>002006</v>
      </c>
      <c r="C2733" t="s">
        <v>5801</v>
      </c>
      <c r="D2733" t="s">
        <v>741</v>
      </c>
      <c r="F2733">
        <v>190634885</v>
      </c>
      <c r="G2733">
        <v>319476772</v>
      </c>
      <c r="H2733">
        <v>282662665</v>
      </c>
      <c r="I2733">
        <v>301858335</v>
      </c>
      <c r="J2733">
        <v>248087785</v>
      </c>
      <c r="K2733">
        <v>145824700</v>
      </c>
      <c r="L2733">
        <v>246929323</v>
      </c>
      <c r="M2733">
        <v>190166207</v>
      </c>
      <c r="N2733">
        <v>267681938</v>
      </c>
      <c r="O2733">
        <v>381378643</v>
      </c>
      <c r="P2733">
        <v>127</v>
      </c>
      <c r="Q2733" t="s">
        <v>5802</v>
      </c>
    </row>
    <row r="2734" spans="1:17" x14ac:dyDescent="0.3">
      <c r="A2734" t="s">
        <v>4729</v>
      </c>
      <c r="B2734" t="str">
        <f>"002007"</f>
        <v>002007</v>
      </c>
      <c r="C2734" t="s">
        <v>5803</v>
      </c>
      <c r="D2734" t="s">
        <v>378</v>
      </c>
      <c r="F2734">
        <v>1830148297</v>
      </c>
      <c r="G2734">
        <v>1753608636</v>
      </c>
      <c r="H2734">
        <v>964630552</v>
      </c>
      <c r="I2734">
        <v>909732701</v>
      </c>
      <c r="J2734">
        <v>778280121</v>
      </c>
      <c r="K2734">
        <v>288838191</v>
      </c>
      <c r="L2734">
        <v>126349829</v>
      </c>
      <c r="M2734">
        <v>152617011</v>
      </c>
      <c r="N2734">
        <v>170710177</v>
      </c>
      <c r="O2734">
        <v>126142394</v>
      </c>
      <c r="P2734">
        <v>13194</v>
      </c>
      <c r="Q2734" t="s">
        <v>5804</v>
      </c>
    </row>
    <row r="2735" spans="1:17" x14ac:dyDescent="0.3">
      <c r="A2735" t="s">
        <v>4729</v>
      </c>
      <c r="B2735" t="str">
        <f>"002008"</f>
        <v>002008</v>
      </c>
      <c r="C2735" t="s">
        <v>5805</v>
      </c>
      <c r="D2735" t="s">
        <v>3811</v>
      </c>
      <c r="F2735">
        <v>5886250630</v>
      </c>
      <c r="G2735">
        <v>4151925721</v>
      </c>
      <c r="H2735">
        <v>3931435333</v>
      </c>
      <c r="I2735">
        <v>4502323424</v>
      </c>
      <c r="J2735">
        <v>3665680709</v>
      </c>
      <c r="K2735">
        <v>2411086066</v>
      </c>
      <c r="L2735">
        <v>1757916730</v>
      </c>
      <c r="M2735">
        <v>1673765762</v>
      </c>
      <c r="N2735">
        <v>1413727991</v>
      </c>
      <c r="O2735">
        <v>1609796453</v>
      </c>
      <c r="P2735">
        <v>4830</v>
      </c>
      <c r="Q2735" t="s">
        <v>5806</v>
      </c>
    </row>
    <row r="2736" spans="1:17" x14ac:dyDescent="0.3">
      <c r="A2736" t="s">
        <v>4729</v>
      </c>
      <c r="B2736" t="str">
        <f>"002009"</f>
        <v>002009</v>
      </c>
      <c r="C2736" t="s">
        <v>5807</v>
      </c>
      <c r="D2736" t="s">
        <v>741</v>
      </c>
      <c r="F2736">
        <v>866805778</v>
      </c>
      <c r="G2736">
        <v>1066372262</v>
      </c>
      <c r="H2736">
        <v>1416396056</v>
      </c>
      <c r="I2736">
        <v>1300284625</v>
      </c>
      <c r="J2736">
        <v>1174191009</v>
      </c>
      <c r="K2736">
        <v>1075053294</v>
      </c>
      <c r="L2736">
        <v>960751246</v>
      </c>
      <c r="M2736">
        <v>928312147</v>
      </c>
      <c r="N2736">
        <v>702034094</v>
      </c>
      <c r="O2736">
        <v>580568258</v>
      </c>
      <c r="P2736">
        <v>148</v>
      </c>
      <c r="Q2736" t="s">
        <v>5808</v>
      </c>
    </row>
    <row r="2737" spans="1:17" x14ac:dyDescent="0.3">
      <c r="A2737" t="s">
        <v>4729</v>
      </c>
      <c r="B2737" t="str">
        <f>"002010"</f>
        <v>002010</v>
      </c>
      <c r="C2737" t="s">
        <v>5809</v>
      </c>
      <c r="D2737" t="s">
        <v>2503</v>
      </c>
      <c r="F2737">
        <v>1369469424</v>
      </c>
      <c r="G2737">
        <v>1093430998</v>
      </c>
      <c r="H2737">
        <v>1233550651</v>
      </c>
      <c r="I2737">
        <v>1649705898</v>
      </c>
      <c r="J2737">
        <v>1598294063</v>
      </c>
      <c r="K2737">
        <v>773235238</v>
      </c>
      <c r="L2737">
        <v>475069315</v>
      </c>
      <c r="M2737">
        <v>631729477</v>
      </c>
      <c r="N2737">
        <v>502567551</v>
      </c>
      <c r="O2737">
        <v>378783354</v>
      </c>
      <c r="P2737">
        <v>279</v>
      </c>
      <c r="Q2737" t="s">
        <v>5810</v>
      </c>
    </row>
    <row r="2738" spans="1:17" x14ac:dyDescent="0.3">
      <c r="A2738" t="s">
        <v>4729</v>
      </c>
      <c r="B2738" t="str">
        <f>"002011"</f>
        <v>002011</v>
      </c>
      <c r="C2738" t="s">
        <v>5811</v>
      </c>
      <c r="D2738" t="s">
        <v>1253</v>
      </c>
      <c r="F2738">
        <v>1154048619</v>
      </c>
      <c r="G2738">
        <v>1072820496</v>
      </c>
      <c r="H2738">
        <v>1712846522</v>
      </c>
      <c r="I2738">
        <v>2277193412</v>
      </c>
      <c r="J2738">
        <v>1822827525</v>
      </c>
      <c r="K2738">
        <v>1493353201</v>
      </c>
      <c r="L2738">
        <v>1079838556</v>
      </c>
      <c r="M2738">
        <v>1230250050</v>
      </c>
      <c r="N2738">
        <v>1079415115</v>
      </c>
      <c r="O2738">
        <v>987285022</v>
      </c>
      <c r="P2738">
        <v>201</v>
      </c>
      <c r="Q2738" t="s">
        <v>5812</v>
      </c>
    </row>
    <row r="2739" spans="1:17" x14ac:dyDescent="0.3">
      <c r="A2739" t="s">
        <v>4729</v>
      </c>
      <c r="B2739" t="str">
        <f>"002012"</f>
        <v>002012</v>
      </c>
      <c r="C2739" t="s">
        <v>5813</v>
      </c>
      <c r="D2739" t="s">
        <v>244</v>
      </c>
      <c r="F2739">
        <v>362332313</v>
      </c>
      <c r="G2739">
        <v>289193848</v>
      </c>
      <c r="H2739">
        <v>215254524</v>
      </c>
      <c r="I2739">
        <v>203925536</v>
      </c>
      <c r="J2739">
        <v>193677283</v>
      </c>
      <c r="K2739">
        <v>256452218</v>
      </c>
      <c r="L2739">
        <v>247709543</v>
      </c>
      <c r="M2739">
        <v>206680731</v>
      </c>
      <c r="N2739">
        <v>218400424</v>
      </c>
      <c r="O2739">
        <v>182324521</v>
      </c>
      <c r="P2739">
        <v>131</v>
      </c>
      <c r="Q2739" t="s">
        <v>5814</v>
      </c>
    </row>
    <row r="2740" spans="1:17" x14ac:dyDescent="0.3">
      <c r="A2740" t="s">
        <v>4729</v>
      </c>
      <c r="B2740" t="str">
        <f>"002013"</f>
        <v>002013</v>
      </c>
      <c r="C2740" t="s">
        <v>5815</v>
      </c>
      <c r="D2740" t="s">
        <v>98</v>
      </c>
      <c r="F2740">
        <v>6410089587</v>
      </c>
      <c r="G2740">
        <v>7280326554</v>
      </c>
      <c r="H2740">
        <v>6931721890</v>
      </c>
      <c r="I2740">
        <v>6776128370</v>
      </c>
      <c r="J2740">
        <v>4282757424</v>
      </c>
      <c r="K2740">
        <v>4634301868</v>
      </c>
      <c r="L2740">
        <v>4761492647</v>
      </c>
      <c r="M2740">
        <v>4656425051</v>
      </c>
      <c r="N2740">
        <v>4005070196</v>
      </c>
      <c r="O2740">
        <v>3265769844</v>
      </c>
      <c r="P2740">
        <v>656</v>
      </c>
      <c r="Q2740" t="s">
        <v>5816</v>
      </c>
    </row>
    <row r="2741" spans="1:17" x14ac:dyDescent="0.3">
      <c r="A2741" t="s">
        <v>4729</v>
      </c>
      <c r="B2741" t="str">
        <f>"002014"</f>
        <v>002014</v>
      </c>
      <c r="C2741" t="s">
        <v>5817</v>
      </c>
      <c r="D2741" t="s">
        <v>485</v>
      </c>
      <c r="F2741">
        <v>542913250</v>
      </c>
      <c r="G2741">
        <v>492640372</v>
      </c>
      <c r="H2741">
        <v>458534590</v>
      </c>
      <c r="I2741">
        <v>445665931</v>
      </c>
      <c r="J2741">
        <v>396627668</v>
      </c>
      <c r="K2741">
        <v>389410913</v>
      </c>
      <c r="L2741">
        <v>319488642</v>
      </c>
      <c r="M2741">
        <v>274453855</v>
      </c>
      <c r="N2741">
        <v>274036027</v>
      </c>
      <c r="O2741">
        <v>229818550</v>
      </c>
      <c r="P2741">
        <v>467</v>
      </c>
      <c r="Q2741" t="s">
        <v>5818</v>
      </c>
    </row>
    <row r="2742" spans="1:17" x14ac:dyDescent="0.3">
      <c r="A2742" t="s">
        <v>4729</v>
      </c>
      <c r="B2742" t="str">
        <f>"002015"</f>
        <v>002015</v>
      </c>
      <c r="C2742" t="s">
        <v>5819</v>
      </c>
      <c r="D2742" t="s">
        <v>351</v>
      </c>
      <c r="F2742">
        <v>2552902491</v>
      </c>
      <c r="G2742">
        <v>1855949510</v>
      </c>
      <c r="H2742">
        <v>1892580320</v>
      </c>
      <c r="I2742">
        <v>48111000</v>
      </c>
      <c r="J2742">
        <v>24471401</v>
      </c>
      <c r="K2742">
        <v>26189223</v>
      </c>
      <c r="L2742">
        <v>6560753</v>
      </c>
      <c r="M2742">
        <v>120901652</v>
      </c>
      <c r="N2742">
        <v>13724444</v>
      </c>
      <c r="O2742">
        <v>32940847</v>
      </c>
      <c r="P2742">
        <v>239</v>
      </c>
      <c r="Q2742" t="s">
        <v>5820</v>
      </c>
    </row>
    <row r="2743" spans="1:17" x14ac:dyDescent="0.3">
      <c r="A2743" t="s">
        <v>4729</v>
      </c>
      <c r="B2743" t="str">
        <f>"002016"</f>
        <v>002016</v>
      </c>
      <c r="C2743" t="s">
        <v>5821</v>
      </c>
      <c r="D2743" t="s">
        <v>104</v>
      </c>
      <c r="F2743">
        <v>23148818</v>
      </c>
      <c r="G2743">
        <v>15193483</v>
      </c>
      <c r="H2743">
        <v>15132632</v>
      </c>
      <c r="I2743">
        <v>10820374</v>
      </c>
      <c r="J2743">
        <v>9755589</v>
      </c>
      <c r="K2743">
        <v>7873442</v>
      </c>
      <c r="L2743">
        <v>2919420</v>
      </c>
      <c r="M2743">
        <v>4037316</v>
      </c>
      <c r="N2743">
        <v>632133</v>
      </c>
      <c r="O2743">
        <v>869287</v>
      </c>
      <c r="P2743">
        <v>457</v>
      </c>
      <c r="Q2743" t="s">
        <v>5822</v>
      </c>
    </row>
    <row r="2744" spans="1:17" x14ac:dyDescent="0.3">
      <c r="A2744" t="s">
        <v>4729</v>
      </c>
      <c r="B2744" t="str">
        <f>"002017"</f>
        <v>002017</v>
      </c>
      <c r="C2744" t="s">
        <v>5823</v>
      </c>
      <c r="D2744" t="s">
        <v>786</v>
      </c>
      <c r="F2744">
        <v>142524218</v>
      </c>
      <c r="G2744">
        <v>111147707</v>
      </c>
      <c r="H2744">
        <v>121934245</v>
      </c>
      <c r="I2744">
        <v>118423330</v>
      </c>
      <c r="J2744">
        <v>137628083</v>
      </c>
      <c r="K2744">
        <v>157545718</v>
      </c>
      <c r="L2744">
        <v>146974300</v>
      </c>
      <c r="M2744">
        <v>184040948</v>
      </c>
      <c r="N2744">
        <v>195077067</v>
      </c>
      <c r="O2744">
        <v>193240724</v>
      </c>
      <c r="P2744">
        <v>216</v>
      </c>
      <c r="Q2744" t="s">
        <v>5824</v>
      </c>
    </row>
    <row r="2745" spans="1:17" x14ac:dyDescent="0.3">
      <c r="A2745" t="s">
        <v>4729</v>
      </c>
      <c r="B2745" t="str">
        <f>"002018"</f>
        <v>002018</v>
      </c>
      <c r="C2745" t="s">
        <v>5825</v>
      </c>
      <c r="H2745">
        <v>7295340</v>
      </c>
      <c r="I2745">
        <v>38644914</v>
      </c>
      <c r="J2745">
        <v>535521895</v>
      </c>
      <c r="K2745">
        <v>6991123511</v>
      </c>
      <c r="L2745">
        <v>2732476157</v>
      </c>
      <c r="M2745">
        <v>979991118</v>
      </c>
      <c r="N2745">
        <v>108793299</v>
      </c>
      <c r="O2745">
        <v>142068485</v>
      </c>
      <c r="P2745">
        <v>40</v>
      </c>
      <c r="Q2745" t="s">
        <v>5826</v>
      </c>
    </row>
    <row r="2746" spans="1:17" x14ac:dyDescent="0.3">
      <c r="A2746" t="s">
        <v>4729</v>
      </c>
      <c r="B2746" t="str">
        <f>"002019"</f>
        <v>002019</v>
      </c>
      <c r="C2746" t="s">
        <v>5827</v>
      </c>
      <c r="D2746" t="s">
        <v>143</v>
      </c>
      <c r="F2746">
        <v>1077308600</v>
      </c>
      <c r="G2746">
        <v>1005285714</v>
      </c>
      <c r="H2746">
        <v>945291892</v>
      </c>
      <c r="I2746">
        <v>893310888</v>
      </c>
      <c r="J2746">
        <v>887816178</v>
      </c>
      <c r="K2746">
        <v>656664538</v>
      </c>
      <c r="L2746">
        <v>448089663</v>
      </c>
      <c r="M2746">
        <v>431903909</v>
      </c>
      <c r="N2746">
        <v>166423064</v>
      </c>
      <c r="O2746">
        <v>157988529</v>
      </c>
      <c r="P2746">
        <v>974</v>
      </c>
      <c r="Q2746" t="s">
        <v>5828</v>
      </c>
    </row>
    <row r="2747" spans="1:17" x14ac:dyDescent="0.3">
      <c r="A2747" t="s">
        <v>4729</v>
      </c>
      <c r="B2747" t="str">
        <f>"002020"</f>
        <v>002020</v>
      </c>
      <c r="C2747" t="s">
        <v>5829</v>
      </c>
      <c r="D2747" t="s">
        <v>143</v>
      </c>
      <c r="F2747">
        <v>441968374</v>
      </c>
      <c r="G2747">
        <v>334736388</v>
      </c>
      <c r="H2747">
        <v>408642654</v>
      </c>
      <c r="I2747">
        <v>429837663</v>
      </c>
      <c r="J2747">
        <v>366175625</v>
      </c>
      <c r="K2747">
        <v>306796667</v>
      </c>
      <c r="L2747">
        <v>276915038</v>
      </c>
      <c r="M2747">
        <v>181805049</v>
      </c>
      <c r="N2747">
        <v>146837541</v>
      </c>
      <c r="O2747">
        <v>101123552</v>
      </c>
      <c r="P2747">
        <v>619</v>
      </c>
      <c r="Q2747" t="s">
        <v>5830</v>
      </c>
    </row>
    <row r="2748" spans="1:17" x14ac:dyDescent="0.3">
      <c r="A2748" t="s">
        <v>4729</v>
      </c>
      <c r="B2748" t="str">
        <f>"002021"</f>
        <v>002021</v>
      </c>
      <c r="C2748" t="s">
        <v>5831</v>
      </c>
      <c r="D2748" t="s">
        <v>534</v>
      </c>
      <c r="F2748">
        <v>134536409</v>
      </c>
      <c r="G2748">
        <v>125139013</v>
      </c>
      <c r="H2748">
        <v>152127857</v>
      </c>
      <c r="I2748">
        <v>190590601</v>
      </c>
      <c r="J2748">
        <v>237072135</v>
      </c>
      <c r="K2748">
        <v>169820152</v>
      </c>
      <c r="L2748">
        <v>173064014</v>
      </c>
      <c r="M2748">
        <v>313449584</v>
      </c>
      <c r="N2748">
        <v>376107816</v>
      </c>
      <c r="O2748">
        <v>310337285</v>
      </c>
      <c r="P2748">
        <v>57</v>
      </c>
      <c r="Q2748" t="s">
        <v>5832</v>
      </c>
    </row>
    <row r="2749" spans="1:17" x14ac:dyDescent="0.3">
      <c r="A2749" t="s">
        <v>4729</v>
      </c>
      <c r="B2749" t="str">
        <f>"002022"</f>
        <v>002022</v>
      </c>
      <c r="C2749" t="s">
        <v>5833</v>
      </c>
      <c r="D2749" t="s">
        <v>1305</v>
      </c>
      <c r="F2749">
        <v>540577353</v>
      </c>
      <c r="G2749">
        <v>813731697</v>
      </c>
      <c r="H2749">
        <v>662909568</v>
      </c>
      <c r="I2749">
        <v>531286310</v>
      </c>
      <c r="J2749">
        <v>345234401</v>
      </c>
      <c r="K2749">
        <v>219966385</v>
      </c>
      <c r="L2749">
        <v>230796126</v>
      </c>
      <c r="M2749">
        <v>180214201</v>
      </c>
      <c r="N2749">
        <v>139172485</v>
      </c>
      <c r="O2749">
        <v>109559428</v>
      </c>
      <c r="P2749">
        <v>1024</v>
      </c>
      <c r="Q2749" t="s">
        <v>5834</v>
      </c>
    </row>
    <row r="2750" spans="1:17" x14ac:dyDescent="0.3">
      <c r="A2750" t="s">
        <v>4729</v>
      </c>
      <c r="B2750" t="str">
        <f>"002023"</f>
        <v>002023</v>
      </c>
      <c r="C2750" t="s">
        <v>5835</v>
      </c>
      <c r="D2750" t="s">
        <v>98</v>
      </c>
      <c r="F2750">
        <v>589173241</v>
      </c>
      <c r="G2750">
        <v>695642078</v>
      </c>
      <c r="H2750">
        <v>608537529</v>
      </c>
      <c r="I2750">
        <v>592087312</v>
      </c>
      <c r="J2750">
        <v>583655555</v>
      </c>
      <c r="K2750">
        <v>527806550</v>
      </c>
      <c r="L2750">
        <v>480927036</v>
      </c>
      <c r="M2750">
        <v>357631296</v>
      </c>
      <c r="N2750">
        <v>191374151</v>
      </c>
      <c r="O2750">
        <v>161597618</v>
      </c>
      <c r="P2750">
        <v>580</v>
      </c>
      <c r="Q2750" t="s">
        <v>5836</v>
      </c>
    </row>
    <row r="2751" spans="1:17" x14ac:dyDescent="0.3">
      <c r="A2751" t="s">
        <v>4729</v>
      </c>
      <c r="B2751" t="str">
        <f>"002024"</f>
        <v>002024</v>
      </c>
      <c r="C2751" t="s">
        <v>5837</v>
      </c>
      <c r="D2751" t="s">
        <v>3093</v>
      </c>
      <c r="F2751">
        <v>5466713000</v>
      </c>
      <c r="G2751">
        <v>7696449000</v>
      </c>
      <c r="H2751">
        <v>7194464000</v>
      </c>
      <c r="I2751">
        <v>0</v>
      </c>
      <c r="J2751">
        <v>2389180000</v>
      </c>
      <c r="K2751">
        <v>1103531000</v>
      </c>
      <c r="L2751">
        <v>705617000</v>
      </c>
      <c r="M2751">
        <v>535579000</v>
      </c>
      <c r="N2751">
        <v>671075000</v>
      </c>
      <c r="O2751">
        <v>1270502000</v>
      </c>
      <c r="P2751">
        <v>1902</v>
      </c>
      <c r="Q2751" t="s">
        <v>5838</v>
      </c>
    </row>
    <row r="2752" spans="1:17" x14ac:dyDescent="0.3">
      <c r="A2752" t="s">
        <v>4729</v>
      </c>
      <c r="B2752" t="str">
        <f>"002025"</f>
        <v>002025</v>
      </c>
      <c r="C2752" t="s">
        <v>5839</v>
      </c>
      <c r="D2752" t="s">
        <v>1136</v>
      </c>
      <c r="F2752">
        <v>1729252099</v>
      </c>
      <c r="G2752">
        <v>1876263410</v>
      </c>
      <c r="H2752">
        <v>1531096178</v>
      </c>
      <c r="I2752">
        <v>1448864848</v>
      </c>
      <c r="J2752">
        <v>1233387135</v>
      </c>
      <c r="K2752">
        <v>864043103</v>
      </c>
      <c r="L2752">
        <v>694187950</v>
      </c>
      <c r="M2752">
        <v>644461600</v>
      </c>
      <c r="N2752">
        <v>479583501</v>
      </c>
      <c r="O2752">
        <v>354802910</v>
      </c>
      <c r="P2752">
        <v>468</v>
      </c>
      <c r="Q2752" t="s">
        <v>5840</v>
      </c>
    </row>
    <row r="2753" spans="1:17" x14ac:dyDescent="0.3">
      <c r="A2753" t="s">
        <v>4729</v>
      </c>
      <c r="B2753" t="str">
        <f>"002026"</f>
        <v>002026</v>
      </c>
      <c r="C2753" t="s">
        <v>5841</v>
      </c>
      <c r="D2753" t="s">
        <v>274</v>
      </c>
      <c r="F2753">
        <v>591025776</v>
      </c>
      <c r="G2753">
        <v>535462285</v>
      </c>
      <c r="H2753">
        <v>446250627</v>
      </c>
      <c r="I2753">
        <v>467325257</v>
      </c>
      <c r="J2753">
        <v>427849974</v>
      </c>
      <c r="K2753">
        <v>365794644</v>
      </c>
      <c r="L2753">
        <v>243678959</v>
      </c>
      <c r="M2753">
        <v>224697704</v>
      </c>
      <c r="N2753">
        <v>165833710</v>
      </c>
      <c r="O2753">
        <v>124653449</v>
      </c>
      <c r="P2753">
        <v>208</v>
      </c>
      <c r="Q2753" t="s">
        <v>5842</v>
      </c>
    </row>
    <row r="2754" spans="1:17" x14ac:dyDescent="0.3">
      <c r="A2754" t="s">
        <v>4729</v>
      </c>
      <c r="B2754" t="str">
        <f>"002027"</f>
        <v>002027</v>
      </c>
      <c r="C2754" t="s">
        <v>5843</v>
      </c>
      <c r="D2754" t="s">
        <v>5132</v>
      </c>
      <c r="F2754">
        <v>2978809573</v>
      </c>
      <c r="G2754">
        <v>3618913011</v>
      </c>
      <c r="H2754">
        <v>4169529890</v>
      </c>
      <c r="I2754">
        <v>4823083297</v>
      </c>
      <c r="J2754">
        <v>2980245462</v>
      </c>
      <c r="K2754">
        <v>2161763100</v>
      </c>
      <c r="L2754">
        <v>2181654488</v>
      </c>
      <c r="M2754">
        <v>30558927</v>
      </c>
      <c r="N2754">
        <v>20461899</v>
      </c>
      <c r="O2754">
        <v>140248891</v>
      </c>
      <c r="P2754">
        <v>5235</v>
      </c>
      <c r="Q2754" t="s">
        <v>5844</v>
      </c>
    </row>
    <row r="2755" spans="1:17" x14ac:dyDescent="0.3">
      <c r="A2755" t="s">
        <v>4729</v>
      </c>
      <c r="B2755" t="str">
        <f>"002028"</f>
        <v>002028</v>
      </c>
      <c r="C2755" t="s">
        <v>5845</v>
      </c>
      <c r="D2755" t="s">
        <v>210</v>
      </c>
      <c r="F2755">
        <v>2659284095</v>
      </c>
      <c r="G2755">
        <v>2118257118</v>
      </c>
      <c r="H2755">
        <v>2513780034</v>
      </c>
      <c r="I2755">
        <v>2618513679</v>
      </c>
      <c r="J2755">
        <v>2310155573</v>
      </c>
      <c r="K2755">
        <v>2294685679</v>
      </c>
      <c r="L2755">
        <v>1916757687</v>
      </c>
      <c r="M2755">
        <v>1887029654</v>
      </c>
      <c r="N2755">
        <v>1466929380</v>
      </c>
      <c r="O2755">
        <v>1121498535</v>
      </c>
      <c r="P2755">
        <v>603</v>
      </c>
      <c r="Q2755" t="s">
        <v>5846</v>
      </c>
    </row>
    <row r="2756" spans="1:17" x14ac:dyDescent="0.3">
      <c r="A2756" t="s">
        <v>4729</v>
      </c>
      <c r="B2756" t="str">
        <f>"002029"</f>
        <v>002029</v>
      </c>
      <c r="C2756" t="s">
        <v>5847</v>
      </c>
      <c r="D2756" t="s">
        <v>255</v>
      </c>
      <c r="F2756">
        <v>364143048</v>
      </c>
      <c r="G2756">
        <v>385514024</v>
      </c>
      <c r="H2756">
        <v>412186445</v>
      </c>
      <c r="I2756">
        <v>418487838</v>
      </c>
      <c r="J2756">
        <v>289080319</v>
      </c>
      <c r="K2756">
        <v>171832160</v>
      </c>
      <c r="L2756">
        <v>260126688</v>
      </c>
      <c r="M2756">
        <v>294747772</v>
      </c>
      <c r="N2756">
        <v>440732085</v>
      </c>
      <c r="O2756">
        <v>612195655</v>
      </c>
      <c r="P2756">
        <v>217</v>
      </c>
      <c r="Q2756" t="s">
        <v>5848</v>
      </c>
    </row>
    <row r="2757" spans="1:17" x14ac:dyDescent="0.3">
      <c r="A2757" t="s">
        <v>4729</v>
      </c>
      <c r="B2757" t="str">
        <f>"002030"</f>
        <v>002030</v>
      </c>
      <c r="C2757" t="s">
        <v>5849</v>
      </c>
      <c r="D2757" t="s">
        <v>1305</v>
      </c>
      <c r="F2757">
        <v>2259665605</v>
      </c>
      <c r="G2757">
        <v>1495395014</v>
      </c>
      <c r="H2757">
        <v>710868423</v>
      </c>
      <c r="I2757">
        <v>687655279</v>
      </c>
      <c r="J2757">
        <v>944184756</v>
      </c>
      <c r="K2757">
        <v>837431961</v>
      </c>
      <c r="L2757">
        <v>698042066</v>
      </c>
      <c r="M2757">
        <v>550749178</v>
      </c>
      <c r="N2757">
        <v>425659319</v>
      </c>
      <c r="O2757">
        <v>280911668</v>
      </c>
      <c r="P2757">
        <v>1177</v>
      </c>
      <c r="Q2757" t="s">
        <v>5850</v>
      </c>
    </row>
    <row r="2758" spans="1:17" x14ac:dyDescent="0.3">
      <c r="A2758" t="s">
        <v>4729</v>
      </c>
      <c r="B2758" t="str">
        <f>"002031"</f>
        <v>002031</v>
      </c>
      <c r="C2758" t="s">
        <v>5851</v>
      </c>
      <c r="D2758" t="s">
        <v>741</v>
      </c>
      <c r="F2758">
        <v>368373598</v>
      </c>
      <c r="G2758">
        <v>286289993</v>
      </c>
      <c r="H2758">
        <v>264386725</v>
      </c>
      <c r="I2758">
        <v>297287559</v>
      </c>
      <c r="J2758">
        <v>465615011</v>
      </c>
      <c r="K2758">
        <v>572034895</v>
      </c>
      <c r="L2758">
        <v>568004479</v>
      </c>
      <c r="M2758">
        <v>494591018</v>
      </c>
      <c r="N2758">
        <v>372356358</v>
      </c>
      <c r="O2758">
        <v>339737265</v>
      </c>
      <c r="P2758">
        <v>137</v>
      </c>
      <c r="Q2758" t="s">
        <v>5852</v>
      </c>
    </row>
    <row r="2759" spans="1:17" x14ac:dyDescent="0.3">
      <c r="A2759" t="s">
        <v>4729</v>
      </c>
      <c r="B2759" t="str">
        <f>"002032"</f>
        <v>002032</v>
      </c>
      <c r="C2759" t="s">
        <v>5853</v>
      </c>
      <c r="D2759" t="s">
        <v>5799</v>
      </c>
      <c r="F2759">
        <v>2716945985</v>
      </c>
      <c r="G2759">
        <v>2228302318</v>
      </c>
      <c r="H2759">
        <v>1796909432</v>
      </c>
      <c r="I2759">
        <v>1727619713</v>
      </c>
      <c r="J2759">
        <v>1394611744</v>
      </c>
      <c r="K2759">
        <v>1160117827</v>
      </c>
      <c r="L2759">
        <v>1057146369</v>
      </c>
      <c r="M2759">
        <v>1004256292</v>
      </c>
      <c r="N2759">
        <v>655589352</v>
      </c>
      <c r="O2759">
        <v>667350324</v>
      </c>
      <c r="P2759">
        <v>52892</v>
      </c>
      <c r="Q2759" t="s">
        <v>5854</v>
      </c>
    </row>
    <row r="2760" spans="1:17" x14ac:dyDescent="0.3">
      <c r="A2760" t="s">
        <v>4729</v>
      </c>
      <c r="B2760" t="str">
        <f>"002033"</f>
        <v>002033</v>
      </c>
      <c r="C2760" t="s">
        <v>5855</v>
      </c>
      <c r="D2760" t="s">
        <v>119</v>
      </c>
      <c r="F2760">
        <v>6871636</v>
      </c>
      <c r="G2760">
        <v>3830540</v>
      </c>
      <c r="H2760">
        <v>7426174</v>
      </c>
      <c r="I2760">
        <v>7043004</v>
      </c>
      <c r="J2760">
        <v>11380384</v>
      </c>
      <c r="K2760">
        <v>8318346</v>
      </c>
      <c r="L2760">
        <v>11759609</v>
      </c>
      <c r="M2760">
        <v>20390590</v>
      </c>
      <c r="N2760">
        <v>9942304</v>
      </c>
      <c r="O2760">
        <v>4599417</v>
      </c>
      <c r="P2760">
        <v>278</v>
      </c>
      <c r="Q2760" t="s">
        <v>5856</v>
      </c>
    </row>
    <row r="2761" spans="1:17" x14ac:dyDescent="0.3">
      <c r="A2761" t="s">
        <v>4729</v>
      </c>
      <c r="B2761" t="str">
        <f>"002034"</f>
        <v>002034</v>
      </c>
      <c r="C2761" t="s">
        <v>5857</v>
      </c>
      <c r="D2761" t="s">
        <v>499</v>
      </c>
      <c r="F2761">
        <v>758456697</v>
      </c>
      <c r="G2761">
        <v>363604661</v>
      </c>
      <c r="H2761">
        <v>404347189</v>
      </c>
      <c r="I2761">
        <v>202170210</v>
      </c>
      <c r="J2761">
        <v>161444338</v>
      </c>
      <c r="K2761">
        <v>97480916</v>
      </c>
      <c r="L2761">
        <v>124924589</v>
      </c>
      <c r="M2761">
        <v>99355398</v>
      </c>
      <c r="N2761">
        <v>106720451</v>
      </c>
      <c r="O2761">
        <v>152363320</v>
      </c>
      <c r="P2761">
        <v>244</v>
      </c>
      <c r="Q2761" t="s">
        <v>5858</v>
      </c>
    </row>
    <row r="2762" spans="1:17" x14ac:dyDescent="0.3">
      <c r="A2762" t="s">
        <v>4729</v>
      </c>
      <c r="B2762" t="str">
        <f>"002035"</f>
        <v>002035</v>
      </c>
      <c r="C2762" t="s">
        <v>5859</v>
      </c>
      <c r="D2762" t="s">
        <v>3707</v>
      </c>
      <c r="F2762">
        <v>1179733516</v>
      </c>
      <c r="G2762">
        <v>706762747</v>
      </c>
      <c r="H2762">
        <v>805567266</v>
      </c>
      <c r="I2762">
        <v>760547926</v>
      </c>
      <c r="J2762">
        <v>393669075</v>
      </c>
      <c r="K2762">
        <v>264310235</v>
      </c>
      <c r="L2762">
        <v>358054643</v>
      </c>
      <c r="M2762">
        <v>303562401</v>
      </c>
      <c r="N2762">
        <v>152950903</v>
      </c>
      <c r="O2762">
        <v>137528602</v>
      </c>
      <c r="P2762">
        <v>1344</v>
      </c>
      <c r="Q2762" t="s">
        <v>5860</v>
      </c>
    </row>
    <row r="2763" spans="1:17" x14ac:dyDescent="0.3">
      <c r="A2763" t="s">
        <v>4729</v>
      </c>
      <c r="B2763" t="str">
        <f>"002036"</f>
        <v>002036</v>
      </c>
      <c r="C2763" t="s">
        <v>5861</v>
      </c>
      <c r="D2763" t="s">
        <v>164</v>
      </c>
      <c r="F2763">
        <v>2534944067</v>
      </c>
      <c r="G2763">
        <v>1987625542</v>
      </c>
      <c r="H2763">
        <v>1905622098</v>
      </c>
      <c r="I2763">
        <v>1328654247</v>
      </c>
      <c r="J2763">
        <v>1063149852</v>
      </c>
      <c r="K2763">
        <v>794097225</v>
      </c>
      <c r="L2763">
        <v>481551523</v>
      </c>
      <c r="M2763">
        <v>103284120</v>
      </c>
      <c r="N2763">
        <v>86661662</v>
      </c>
      <c r="O2763">
        <v>71355629</v>
      </c>
      <c r="P2763">
        <v>548</v>
      </c>
      <c r="Q2763" t="s">
        <v>5862</v>
      </c>
    </row>
    <row r="2764" spans="1:17" x14ac:dyDescent="0.3">
      <c r="A2764" t="s">
        <v>4729</v>
      </c>
      <c r="B2764" t="str">
        <f>"002037"</f>
        <v>002037</v>
      </c>
      <c r="C2764" t="s">
        <v>5863</v>
      </c>
      <c r="D2764" t="s">
        <v>2736</v>
      </c>
      <c r="F2764">
        <v>6232729829</v>
      </c>
      <c r="G2764">
        <v>6309372463</v>
      </c>
      <c r="H2764">
        <v>5592800082</v>
      </c>
      <c r="I2764">
        <v>5100486265</v>
      </c>
      <c r="J2764">
        <v>3818755115</v>
      </c>
      <c r="K2764">
        <v>2201941835</v>
      </c>
      <c r="L2764">
        <v>2132548172</v>
      </c>
      <c r="M2764">
        <v>2087304055</v>
      </c>
      <c r="N2764">
        <v>1604076976</v>
      </c>
      <c r="O2764">
        <v>1247038884</v>
      </c>
      <c r="P2764">
        <v>81</v>
      </c>
      <c r="Q2764" t="s">
        <v>5864</v>
      </c>
    </row>
    <row r="2765" spans="1:17" x14ac:dyDescent="0.3">
      <c r="A2765" t="s">
        <v>4729</v>
      </c>
      <c r="B2765" t="str">
        <f>"002038"</f>
        <v>002038</v>
      </c>
      <c r="C2765" t="s">
        <v>5865</v>
      </c>
      <c r="D2765" t="s">
        <v>1379</v>
      </c>
      <c r="F2765">
        <v>345833196</v>
      </c>
      <c r="G2765">
        <v>445861766</v>
      </c>
      <c r="H2765">
        <v>603837204</v>
      </c>
      <c r="I2765">
        <v>673757097</v>
      </c>
      <c r="J2765">
        <v>591472969</v>
      </c>
      <c r="K2765">
        <v>643723856</v>
      </c>
      <c r="L2765">
        <v>682926942</v>
      </c>
      <c r="M2765">
        <v>607680397</v>
      </c>
      <c r="N2765">
        <v>447645283</v>
      </c>
      <c r="O2765">
        <v>274844248</v>
      </c>
      <c r="P2765">
        <v>5163</v>
      </c>
      <c r="Q2765" t="s">
        <v>5866</v>
      </c>
    </row>
    <row r="2766" spans="1:17" x14ac:dyDescent="0.3">
      <c r="A2766" t="s">
        <v>4729</v>
      </c>
      <c r="B2766" t="str">
        <f>"002039"</f>
        <v>002039</v>
      </c>
      <c r="C2766" t="s">
        <v>5867</v>
      </c>
      <c r="D2766" t="s">
        <v>66</v>
      </c>
      <c r="F2766">
        <v>75509939</v>
      </c>
      <c r="G2766">
        <v>17623027</v>
      </c>
      <c r="H2766">
        <v>52053424</v>
      </c>
      <c r="I2766">
        <v>86192693</v>
      </c>
      <c r="J2766">
        <v>110498362</v>
      </c>
      <c r="K2766">
        <v>38723320</v>
      </c>
      <c r="L2766">
        <v>145080100</v>
      </c>
      <c r="M2766">
        <v>76369947</v>
      </c>
      <c r="N2766">
        <v>40685485</v>
      </c>
      <c r="O2766">
        <v>20974483</v>
      </c>
      <c r="P2766">
        <v>431</v>
      </c>
      <c r="Q2766" t="s">
        <v>5868</v>
      </c>
    </row>
    <row r="2767" spans="1:17" x14ac:dyDescent="0.3">
      <c r="A2767" t="s">
        <v>4729</v>
      </c>
      <c r="B2767" t="str">
        <f>"002040"</f>
        <v>002040</v>
      </c>
      <c r="C2767" t="s">
        <v>5869</v>
      </c>
      <c r="D2767" t="s">
        <v>51</v>
      </c>
      <c r="F2767">
        <v>70521968</v>
      </c>
      <c r="G2767">
        <v>80059489</v>
      </c>
      <c r="H2767">
        <v>88494917</v>
      </c>
      <c r="I2767">
        <v>99105861</v>
      </c>
      <c r="J2767">
        <v>78853210</v>
      </c>
      <c r="K2767">
        <v>86342612</v>
      </c>
      <c r="L2767">
        <v>11642177</v>
      </c>
      <c r="M2767">
        <v>10197856</v>
      </c>
      <c r="N2767">
        <v>14994270</v>
      </c>
      <c r="O2767">
        <v>11002671</v>
      </c>
      <c r="P2767">
        <v>100</v>
      </c>
      <c r="Q2767" t="s">
        <v>5870</v>
      </c>
    </row>
    <row r="2768" spans="1:17" x14ac:dyDescent="0.3">
      <c r="A2768" t="s">
        <v>4729</v>
      </c>
      <c r="B2768" t="str">
        <f>"002041"</f>
        <v>002041</v>
      </c>
      <c r="C2768" t="s">
        <v>5871</v>
      </c>
      <c r="D2768" t="s">
        <v>706</v>
      </c>
      <c r="F2768">
        <v>21230702</v>
      </c>
      <c r="G2768">
        <v>24343943</v>
      </c>
      <c r="H2768">
        <v>18979554</v>
      </c>
      <c r="I2768">
        <v>24398468</v>
      </c>
      <c r="J2768">
        <v>31493432</v>
      </c>
      <c r="K2768">
        <v>52309058</v>
      </c>
      <c r="L2768">
        <v>85014408</v>
      </c>
      <c r="M2768">
        <v>62492964</v>
      </c>
      <c r="N2768">
        <v>73698113</v>
      </c>
      <c r="O2768">
        <v>67562989</v>
      </c>
      <c r="P2768">
        <v>446</v>
      </c>
      <c r="Q2768" t="s">
        <v>5872</v>
      </c>
    </row>
    <row r="2769" spans="1:17" x14ac:dyDescent="0.3">
      <c r="A2769" t="s">
        <v>4729</v>
      </c>
      <c r="B2769" t="str">
        <f>"002042"</f>
        <v>002042</v>
      </c>
      <c r="C2769" t="s">
        <v>5873</v>
      </c>
      <c r="D2769" t="s">
        <v>1009</v>
      </c>
      <c r="F2769">
        <v>921916655</v>
      </c>
      <c r="G2769">
        <v>725867698</v>
      </c>
      <c r="H2769">
        <v>756313987</v>
      </c>
      <c r="I2769">
        <v>829086495</v>
      </c>
      <c r="J2769">
        <v>785557891</v>
      </c>
      <c r="K2769">
        <v>862486522</v>
      </c>
      <c r="L2769">
        <v>731204111</v>
      </c>
      <c r="M2769">
        <v>671644506</v>
      </c>
      <c r="N2769">
        <v>719840870</v>
      </c>
      <c r="O2769">
        <v>540098314</v>
      </c>
      <c r="P2769">
        <v>196</v>
      </c>
      <c r="Q2769" t="s">
        <v>5874</v>
      </c>
    </row>
    <row r="2770" spans="1:17" x14ac:dyDescent="0.3">
      <c r="A2770" t="s">
        <v>4729</v>
      </c>
      <c r="B2770" t="str">
        <f>"002043"</f>
        <v>002043</v>
      </c>
      <c r="C2770" t="s">
        <v>5875</v>
      </c>
      <c r="D2770" t="s">
        <v>722</v>
      </c>
      <c r="F2770">
        <v>1296731258</v>
      </c>
      <c r="G2770">
        <v>875886569</v>
      </c>
      <c r="H2770">
        <v>114199439</v>
      </c>
      <c r="I2770">
        <v>94425923</v>
      </c>
      <c r="J2770">
        <v>71859282</v>
      </c>
      <c r="K2770">
        <v>62612808</v>
      </c>
      <c r="L2770">
        <v>60530049</v>
      </c>
      <c r="M2770">
        <v>54172540</v>
      </c>
      <c r="N2770">
        <v>51820963</v>
      </c>
      <c r="O2770">
        <v>75444183</v>
      </c>
      <c r="P2770">
        <v>665</v>
      </c>
      <c r="Q2770" t="s">
        <v>5876</v>
      </c>
    </row>
    <row r="2771" spans="1:17" x14ac:dyDescent="0.3">
      <c r="A2771" t="s">
        <v>4729</v>
      </c>
      <c r="B2771" t="str">
        <f>"002044"</f>
        <v>002044</v>
      </c>
      <c r="C2771" t="s">
        <v>5877</v>
      </c>
      <c r="D2771" t="s">
        <v>1147</v>
      </c>
      <c r="F2771">
        <v>2564878137</v>
      </c>
      <c r="G2771">
        <v>2538393447</v>
      </c>
      <c r="H2771">
        <v>2292574441</v>
      </c>
      <c r="I2771">
        <v>1969487061</v>
      </c>
      <c r="J2771">
        <v>1406439386</v>
      </c>
      <c r="K2771">
        <v>866765725</v>
      </c>
      <c r="L2771">
        <v>537576766</v>
      </c>
      <c r="M2771">
        <v>55991607</v>
      </c>
      <c r="N2771">
        <v>63551740</v>
      </c>
      <c r="O2771">
        <v>91124817</v>
      </c>
      <c r="P2771">
        <v>1237</v>
      </c>
      <c r="Q2771" t="s">
        <v>5878</v>
      </c>
    </row>
    <row r="2772" spans="1:17" x14ac:dyDescent="0.3">
      <c r="A2772" t="s">
        <v>4729</v>
      </c>
      <c r="B2772" t="str">
        <f>"002045"</f>
        <v>002045</v>
      </c>
      <c r="C2772" t="s">
        <v>5879</v>
      </c>
      <c r="D2772" t="s">
        <v>3526</v>
      </c>
      <c r="F2772">
        <v>1352828714</v>
      </c>
      <c r="G2772">
        <v>1150285088</v>
      </c>
      <c r="H2772">
        <v>1210148292</v>
      </c>
      <c r="I2772">
        <v>1025538474</v>
      </c>
      <c r="J2772">
        <v>1234393978</v>
      </c>
      <c r="K2772">
        <v>924136826</v>
      </c>
      <c r="L2772">
        <v>681536897</v>
      </c>
      <c r="M2772">
        <v>567820442</v>
      </c>
      <c r="N2772">
        <v>575068412</v>
      </c>
      <c r="O2772">
        <v>500100189</v>
      </c>
      <c r="P2772">
        <v>216</v>
      </c>
      <c r="Q2772" t="s">
        <v>5880</v>
      </c>
    </row>
    <row r="2773" spans="1:17" x14ac:dyDescent="0.3">
      <c r="A2773" t="s">
        <v>4729</v>
      </c>
      <c r="B2773" t="str">
        <f>"002046"</f>
        <v>002046</v>
      </c>
      <c r="C2773" t="s">
        <v>5881</v>
      </c>
      <c r="D2773" t="s">
        <v>274</v>
      </c>
      <c r="F2773">
        <v>617153222</v>
      </c>
      <c r="G2773">
        <v>463840027</v>
      </c>
      <c r="H2773">
        <v>471786663</v>
      </c>
      <c r="I2773">
        <v>403010930</v>
      </c>
      <c r="J2773">
        <v>390140663</v>
      </c>
      <c r="K2773">
        <v>139866368</v>
      </c>
      <c r="L2773">
        <v>162362745</v>
      </c>
      <c r="M2773">
        <v>197417579</v>
      </c>
      <c r="N2773">
        <v>175375128</v>
      </c>
      <c r="O2773">
        <v>207538263</v>
      </c>
      <c r="P2773">
        <v>148</v>
      </c>
      <c r="Q2773" t="s">
        <v>5882</v>
      </c>
    </row>
    <row r="2774" spans="1:17" x14ac:dyDescent="0.3">
      <c r="A2774" t="s">
        <v>4729</v>
      </c>
      <c r="B2774" t="str">
        <f>"002047"</f>
        <v>002047</v>
      </c>
      <c r="C2774" t="s">
        <v>5883</v>
      </c>
      <c r="D2774" t="s">
        <v>450</v>
      </c>
      <c r="F2774">
        <v>3524316596</v>
      </c>
      <c r="G2774">
        <v>2526746120</v>
      </c>
      <c r="H2774">
        <v>6796473313</v>
      </c>
      <c r="I2774">
        <v>6083480713</v>
      </c>
      <c r="J2774">
        <v>5128336363</v>
      </c>
      <c r="K2774">
        <v>5495872609</v>
      </c>
      <c r="L2774">
        <v>4258047253</v>
      </c>
      <c r="M2774">
        <v>3128100316</v>
      </c>
      <c r="N2774">
        <v>1537893788</v>
      </c>
      <c r="O2774">
        <v>269491114</v>
      </c>
      <c r="P2774">
        <v>103</v>
      </c>
      <c r="Q2774" t="s">
        <v>5884</v>
      </c>
    </row>
    <row r="2775" spans="1:17" x14ac:dyDescent="0.3">
      <c r="A2775" t="s">
        <v>4729</v>
      </c>
      <c r="B2775" t="str">
        <f>"002048"</f>
        <v>002048</v>
      </c>
      <c r="C2775" t="s">
        <v>5885</v>
      </c>
      <c r="D2775" t="s">
        <v>191</v>
      </c>
      <c r="F2775">
        <v>4034086676</v>
      </c>
      <c r="G2775">
        <v>2932349793</v>
      </c>
      <c r="H2775">
        <v>3549470371</v>
      </c>
      <c r="I2775">
        <v>2903916858</v>
      </c>
      <c r="J2775">
        <v>2679309398</v>
      </c>
      <c r="K2775">
        <v>2621049385</v>
      </c>
      <c r="L2775">
        <v>1807899659</v>
      </c>
      <c r="M2775">
        <v>1411099443</v>
      </c>
      <c r="N2775">
        <v>1177662338</v>
      </c>
      <c r="O2775">
        <v>821471685</v>
      </c>
      <c r="P2775">
        <v>645</v>
      </c>
      <c r="Q2775" t="s">
        <v>5886</v>
      </c>
    </row>
    <row r="2776" spans="1:17" x14ac:dyDescent="0.3">
      <c r="A2776" t="s">
        <v>4729</v>
      </c>
      <c r="B2776" t="str">
        <f>"002049"</f>
        <v>002049</v>
      </c>
      <c r="C2776" t="s">
        <v>5887</v>
      </c>
      <c r="D2776" t="s">
        <v>461</v>
      </c>
      <c r="F2776">
        <v>2371982197</v>
      </c>
      <c r="G2776">
        <v>1665391670</v>
      </c>
      <c r="H2776">
        <v>1313498304</v>
      </c>
      <c r="I2776">
        <v>1089483457</v>
      </c>
      <c r="J2776">
        <v>817022438</v>
      </c>
      <c r="K2776">
        <v>643701767</v>
      </c>
      <c r="L2776">
        <v>629566676</v>
      </c>
      <c r="M2776">
        <v>508795229</v>
      </c>
      <c r="N2776">
        <v>412332198</v>
      </c>
      <c r="O2776">
        <v>321197104</v>
      </c>
      <c r="P2776">
        <v>4605</v>
      </c>
      <c r="Q2776" t="s">
        <v>5888</v>
      </c>
    </row>
    <row r="2777" spans="1:17" x14ac:dyDescent="0.3">
      <c r="A2777" t="s">
        <v>4729</v>
      </c>
      <c r="B2777" t="str">
        <f>"002050"</f>
        <v>002050</v>
      </c>
      <c r="C2777" t="s">
        <v>5889</v>
      </c>
      <c r="D2777" t="s">
        <v>1253</v>
      </c>
      <c r="F2777">
        <v>3516292868</v>
      </c>
      <c r="G2777">
        <v>2355613300</v>
      </c>
      <c r="H2777">
        <v>1871323523</v>
      </c>
      <c r="I2777">
        <v>1845661599</v>
      </c>
      <c r="J2777">
        <v>1631738035</v>
      </c>
      <c r="K2777">
        <v>1160095440</v>
      </c>
      <c r="L2777">
        <v>1084310732</v>
      </c>
      <c r="M2777">
        <v>931576293</v>
      </c>
      <c r="N2777">
        <v>944215264</v>
      </c>
      <c r="O2777">
        <v>706583622</v>
      </c>
      <c r="P2777">
        <v>2043</v>
      </c>
      <c r="Q2777" t="s">
        <v>5890</v>
      </c>
    </row>
    <row r="2778" spans="1:17" x14ac:dyDescent="0.3">
      <c r="A2778" t="s">
        <v>4729</v>
      </c>
      <c r="B2778" t="str">
        <f>"002051"</f>
        <v>002051</v>
      </c>
      <c r="C2778" t="s">
        <v>5891</v>
      </c>
      <c r="D2778" t="s">
        <v>1893</v>
      </c>
      <c r="F2778">
        <v>4396047822</v>
      </c>
      <c r="G2778">
        <v>4279833957</v>
      </c>
      <c r="H2778">
        <v>4865762238</v>
      </c>
      <c r="I2778">
        <v>4133668030</v>
      </c>
      <c r="J2778">
        <v>5978811694</v>
      </c>
      <c r="K2778">
        <v>4119370472</v>
      </c>
      <c r="L2778">
        <v>4404392898</v>
      </c>
      <c r="M2778">
        <v>3691445268</v>
      </c>
      <c r="N2778">
        <v>2403950329</v>
      </c>
      <c r="O2778">
        <v>2488792871</v>
      </c>
      <c r="P2778">
        <v>556</v>
      </c>
      <c r="Q2778" t="s">
        <v>5892</v>
      </c>
    </row>
    <row r="2779" spans="1:17" x14ac:dyDescent="0.3">
      <c r="A2779" t="s">
        <v>4729</v>
      </c>
      <c r="B2779" t="str">
        <f>"002052"</f>
        <v>002052</v>
      </c>
      <c r="C2779" t="s">
        <v>5893</v>
      </c>
      <c r="D2779" t="s">
        <v>4467</v>
      </c>
      <c r="F2779">
        <v>97157553</v>
      </c>
      <c r="G2779">
        <v>186749136</v>
      </c>
      <c r="H2779">
        <v>354372501</v>
      </c>
      <c r="I2779">
        <v>388884765</v>
      </c>
      <c r="J2779">
        <v>424977918</v>
      </c>
      <c r="K2779">
        <v>355703618</v>
      </c>
      <c r="L2779">
        <v>806520878</v>
      </c>
      <c r="M2779">
        <v>1107685993</v>
      </c>
      <c r="N2779">
        <v>1378382329</v>
      </c>
      <c r="O2779">
        <v>1382087125</v>
      </c>
      <c r="P2779">
        <v>76</v>
      </c>
      <c r="Q2779" t="s">
        <v>5894</v>
      </c>
    </row>
    <row r="2780" spans="1:17" x14ac:dyDescent="0.3">
      <c r="A2780" t="s">
        <v>4729</v>
      </c>
      <c r="B2780" t="str">
        <f>"002053"</f>
        <v>002053</v>
      </c>
      <c r="C2780" t="s">
        <v>5895</v>
      </c>
      <c r="D2780" t="s">
        <v>736</v>
      </c>
      <c r="F2780">
        <v>1060522488</v>
      </c>
      <c r="G2780">
        <v>875353652</v>
      </c>
      <c r="H2780">
        <v>756089249</v>
      </c>
      <c r="I2780">
        <v>223651399</v>
      </c>
      <c r="J2780">
        <v>212278571</v>
      </c>
      <c r="K2780">
        <v>107756389</v>
      </c>
      <c r="L2780">
        <v>73274710</v>
      </c>
      <c r="M2780">
        <v>59117928</v>
      </c>
      <c r="N2780">
        <v>31197606</v>
      </c>
      <c r="O2780">
        <v>35238656</v>
      </c>
      <c r="P2780">
        <v>105</v>
      </c>
      <c r="Q2780" t="s">
        <v>5896</v>
      </c>
    </row>
    <row r="2781" spans="1:17" x14ac:dyDescent="0.3">
      <c r="A2781" t="s">
        <v>4729</v>
      </c>
      <c r="B2781" t="str">
        <f>"002054"</f>
        <v>002054</v>
      </c>
      <c r="C2781" t="s">
        <v>5897</v>
      </c>
      <c r="D2781" t="s">
        <v>779</v>
      </c>
      <c r="F2781">
        <v>519871812</v>
      </c>
      <c r="G2781">
        <v>456992594</v>
      </c>
      <c r="H2781">
        <v>452962705</v>
      </c>
      <c r="I2781">
        <v>407857336</v>
      </c>
      <c r="J2781">
        <v>431260497</v>
      </c>
      <c r="K2781">
        <v>409858865</v>
      </c>
      <c r="L2781">
        <v>317328720</v>
      </c>
      <c r="M2781">
        <v>295150433</v>
      </c>
      <c r="N2781">
        <v>297298910</v>
      </c>
      <c r="O2781">
        <v>288490732</v>
      </c>
      <c r="P2781">
        <v>110</v>
      </c>
      <c r="Q2781" t="s">
        <v>5898</v>
      </c>
    </row>
    <row r="2782" spans="1:17" x14ac:dyDescent="0.3">
      <c r="A2782" t="s">
        <v>4729</v>
      </c>
      <c r="B2782" t="str">
        <f>"002055"</f>
        <v>002055</v>
      </c>
      <c r="C2782" t="s">
        <v>5899</v>
      </c>
      <c r="D2782" t="s">
        <v>313</v>
      </c>
      <c r="F2782">
        <v>1635147523</v>
      </c>
      <c r="G2782">
        <v>1714123284</v>
      </c>
      <c r="H2782">
        <v>2193030992</v>
      </c>
      <c r="I2782">
        <v>2008160315</v>
      </c>
      <c r="J2782">
        <v>1725868512</v>
      </c>
      <c r="K2782">
        <v>1378074742</v>
      </c>
      <c r="L2782">
        <v>1099404576</v>
      </c>
      <c r="M2782">
        <v>843763965</v>
      </c>
      <c r="N2782">
        <v>773344812</v>
      </c>
      <c r="O2782">
        <v>592297572</v>
      </c>
      <c r="P2782">
        <v>245</v>
      </c>
      <c r="Q2782" t="s">
        <v>5900</v>
      </c>
    </row>
    <row r="2783" spans="1:17" x14ac:dyDescent="0.3">
      <c r="A2783" t="s">
        <v>4729</v>
      </c>
      <c r="B2783" t="str">
        <f>"002056"</f>
        <v>002056</v>
      </c>
      <c r="C2783" t="s">
        <v>5901</v>
      </c>
      <c r="D2783" t="s">
        <v>808</v>
      </c>
      <c r="F2783">
        <v>1959641331</v>
      </c>
      <c r="G2783">
        <v>1768611085</v>
      </c>
      <c r="H2783">
        <v>1422576733</v>
      </c>
      <c r="I2783">
        <v>1254704713</v>
      </c>
      <c r="J2783">
        <v>999644258</v>
      </c>
      <c r="K2783">
        <v>631354486</v>
      </c>
      <c r="L2783">
        <v>649138730</v>
      </c>
      <c r="M2783">
        <v>592202314</v>
      </c>
      <c r="N2783">
        <v>655812643</v>
      </c>
      <c r="O2783">
        <v>531932472</v>
      </c>
      <c r="P2783">
        <v>783</v>
      </c>
      <c r="Q2783" t="s">
        <v>5902</v>
      </c>
    </row>
    <row r="2784" spans="1:17" x14ac:dyDescent="0.3">
      <c r="A2784" t="s">
        <v>4729</v>
      </c>
      <c r="B2784" t="str">
        <f>"002057"</f>
        <v>002057</v>
      </c>
      <c r="C2784" t="s">
        <v>5903</v>
      </c>
      <c r="D2784" t="s">
        <v>808</v>
      </c>
      <c r="F2784">
        <v>946649255</v>
      </c>
      <c r="G2784">
        <v>676266194</v>
      </c>
      <c r="H2784">
        <v>468631278</v>
      </c>
      <c r="I2784">
        <v>333855173</v>
      </c>
      <c r="J2784">
        <v>294114416</v>
      </c>
      <c r="K2784">
        <v>133601383</v>
      </c>
      <c r="L2784">
        <v>131563576</v>
      </c>
      <c r="M2784">
        <v>135578111</v>
      </c>
      <c r="N2784">
        <v>119228391</v>
      </c>
      <c r="O2784">
        <v>122597374</v>
      </c>
      <c r="P2784">
        <v>126</v>
      </c>
      <c r="Q2784" t="s">
        <v>5904</v>
      </c>
    </row>
    <row r="2785" spans="1:17" x14ac:dyDescent="0.3">
      <c r="A2785" t="s">
        <v>4729</v>
      </c>
      <c r="B2785" t="str">
        <f>"002058"</f>
        <v>002058</v>
      </c>
      <c r="C2785" t="s">
        <v>5905</v>
      </c>
      <c r="D2785" t="s">
        <v>2180</v>
      </c>
      <c r="F2785">
        <v>64541406</v>
      </c>
      <c r="G2785">
        <v>24274185</v>
      </c>
      <c r="H2785">
        <v>22651716</v>
      </c>
      <c r="I2785">
        <v>29346740</v>
      </c>
      <c r="J2785">
        <v>28064119</v>
      </c>
      <c r="K2785">
        <v>26660854</v>
      </c>
      <c r="L2785">
        <v>29825874</v>
      </c>
      <c r="M2785">
        <v>36976922</v>
      </c>
      <c r="N2785">
        <v>40104143</v>
      </c>
      <c r="O2785">
        <v>35122639</v>
      </c>
      <c r="P2785">
        <v>55</v>
      </c>
      <c r="Q2785" t="s">
        <v>5906</v>
      </c>
    </row>
    <row r="2786" spans="1:17" x14ac:dyDescent="0.3">
      <c r="A2786" t="s">
        <v>4729</v>
      </c>
      <c r="B2786" t="str">
        <f>"002059"</f>
        <v>002059</v>
      </c>
      <c r="C2786" t="s">
        <v>5907</v>
      </c>
      <c r="D2786" t="s">
        <v>333</v>
      </c>
      <c r="F2786">
        <v>621878179</v>
      </c>
      <c r="G2786">
        <v>590249562</v>
      </c>
      <c r="H2786">
        <v>900500113</v>
      </c>
      <c r="I2786">
        <v>592077312</v>
      </c>
      <c r="J2786">
        <v>400034060</v>
      </c>
      <c r="K2786">
        <v>394542533</v>
      </c>
      <c r="L2786">
        <v>422161590</v>
      </c>
      <c r="M2786">
        <v>433356441</v>
      </c>
      <c r="N2786">
        <v>41493334</v>
      </c>
      <c r="O2786">
        <v>13719218</v>
      </c>
      <c r="P2786">
        <v>160</v>
      </c>
      <c r="Q2786" t="s">
        <v>5908</v>
      </c>
    </row>
    <row r="2787" spans="1:17" x14ac:dyDescent="0.3">
      <c r="A2787" t="s">
        <v>4729</v>
      </c>
      <c r="B2787" t="str">
        <f>"002060"</f>
        <v>002060</v>
      </c>
      <c r="C2787" t="s">
        <v>5909</v>
      </c>
      <c r="D2787" t="s">
        <v>101</v>
      </c>
      <c r="F2787">
        <v>6676267045</v>
      </c>
      <c r="G2787">
        <v>5686168478</v>
      </c>
      <c r="H2787">
        <v>3347004777</v>
      </c>
      <c r="I2787">
        <v>2029394124</v>
      </c>
      <c r="J2787">
        <v>1619507509</v>
      </c>
      <c r="K2787">
        <v>1351986700</v>
      </c>
      <c r="L2787">
        <v>1080364738</v>
      </c>
      <c r="M2787">
        <v>1015985538</v>
      </c>
      <c r="N2787">
        <v>884912449</v>
      </c>
      <c r="O2787">
        <v>423184254</v>
      </c>
      <c r="P2787">
        <v>169</v>
      </c>
      <c r="Q2787" t="s">
        <v>5910</v>
      </c>
    </row>
    <row r="2788" spans="1:17" x14ac:dyDescent="0.3">
      <c r="A2788" t="s">
        <v>4729</v>
      </c>
      <c r="B2788" t="str">
        <f>"002061"</f>
        <v>002061</v>
      </c>
      <c r="C2788" t="s">
        <v>5911</v>
      </c>
      <c r="D2788" t="s">
        <v>101</v>
      </c>
      <c r="F2788">
        <v>4608217072</v>
      </c>
      <c r="G2788">
        <v>2303845581</v>
      </c>
      <c r="H2788">
        <v>4516144474</v>
      </c>
      <c r="I2788">
        <v>3462704161</v>
      </c>
      <c r="J2788">
        <v>2666501457</v>
      </c>
      <c r="K2788">
        <v>67533486</v>
      </c>
      <c r="L2788">
        <v>103204977</v>
      </c>
      <c r="M2788">
        <v>102822904</v>
      </c>
      <c r="N2788">
        <v>69837951</v>
      </c>
      <c r="O2788">
        <v>65696261</v>
      </c>
      <c r="P2788">
        <v>215</v>
      </c>
      <c r="Q2788" t="s">
        <v>5912</v>
      </c>
    </row>
    <row r="2789" spans="1:17" x14ac:dyDescent="0.3">
      <c r="A2789" t="s">
        <v>4729</v>
      </c>
      <c r="B2789" t="str">
        <f>"002062"</f>
        <v>002062</v>
      </c>
      <c r="C2789" t="s">
        <v>5913</v>
      </c>
      <c r="D2789" t="s">
        <v>101</v>
      </c>
      <c r="F2789">
        <v>1410375474</v>
      </c>
      <c r="G2789">
        <v>1213566577</v>
      </c>
      <c r="H2789">
        <v>1224938041</v>
      </c>
      <c r="I2789">
        <v>589369868</v>
      </c>
      <c r="J2789">
        <v>535917481</v>
      </c>
      <c r="K2789">
        <v>642721521</v>
      </c>
      <c r="L2789">
        <v>720350845</v>
      </c>
      <c r="M2789">
        <v>571040221</v>
      </c>
      <c r="N2789">
        <v>574802782</v>
      </c>
      <c r="O2789">
        <v>556352707</v>
      </c>
      <c r="P2789">
        <v>145</v>
      </c>
      <c r="Q2789" t="s">
        <v>5914</v>
      </c>
    </row>
    <row r="2790" spans="1:17" x14ac:dyDescent="0.3">
      <c r="A2790" t="s">
        <v>4729</v>
      </c>
      <c r="B2790" t="str">
        <f>"002063"</f>
        <v>002063</v>
      </c>
      <c r="C2790" t="s">
        <v>5915</v>
      </c>
      <c r="D2790" t="s">
        <v>945</v>
      </c>
      <c r="F2790">
        <v>1124488004</v>
      </c>
      <c r="G2790">
        <v>913793228</v>
      </c>
      <c r="H2790">
        <v>791526391</v>
      </c>
      <c r="I2790">
        <v>686087606</v>
      </c>
      <c r="J2790">
        <v>684122596</v>
      </c>
      <c r="K2790">
        <v>541093889</v>
      </c>
      <c r="L2790">
        <v>425944058</v>
      </c>
      <c r="M2790">
        <v>325301737</v>
      </c>
      <c r="N2790">
        <v>247061497</v>
      </c>
      <c r="O2790">
        <v>167490254</v>
      </c>
      <c r="P2790">
        <v>489</v>
      </c>
      <c r="Q2790" t="s">
        <v>5916</v>
      </c>
    </row>
    <row r="2791" spans="1:17" x14ac:dyDescent="0.3">
      <c r="A2791" t="s">
        <v>4729</v>
      </c>
      <c r="B2791" t="str">
        <f>"002064"</f>
        <v>002064</v>
      </c>
      <c r="C2791" t="s">
        <v>5917</v>
      </c>
      <c r="D2791" t="s">
        <v>5631</v>
      </c>
      <c r="F2791">
        <v>2013077521</v>
      </c>
      <c r="G2791">
        <v>1600722963</v>
      </c>
      <c r="H2791">
        <v>1997280128</v>
      </c>
      <c r="I2791">
        <v>443193333</v>
      </c>
      <c r="J2791">
        <v>432847552</v>
      </c>
      <c r="K2791">
        <v>428245594</v>
      </c>
      <c r="L2791">
        <v>443989745</v>
      </c>
      <c r="M2791">
        <v>290033262</v>
      </c>
      <c r="N2791">
        <v>243994264</v>
      </c>
      <c r="O2791">
        <v>246573970</v>
      </c>
      <c r="P2791">
        <v>686</v>
      </c>
      <c r="Q2791" t="s">
        <v>5918</v>
      </c>
    </row>
    <row r="2792" spans="1:17" x14ac:dyDescent="0.3">
      <c r="A2792" t="s">
        <v>4729</v>
      </c>
      <c r="B2792" t="str">
        <f>"002065"</f>
        <v>002065</v>
      </c>
      <c r="C2792" t="s">
        <v>5919</v>
      </c>
      <c r="D2792" t="s">
        <v>316</v>
      </c>
      <c r="F2792">
        <v>6078583947</v>
      </c>
      <c r="G2792">
        <v>5371255741</v>
      </c>
      <c r="H2792">
        <v>5939629520</v>
      </c>
      <c r="I2792">
        <v>5560938612</v>
      </c>
      <c r="J2792">
        <v>4728364250</v>
      </c>
      <c r="K2792">
        <v>4250040364</v>
      </c>
      <c r="L2792">
        <v>3585237976</v>
      </c>
      <c r="M2792">
        <v>2952086559</v>
      </c>
      <c r="N2792">
        <v>1817558355</v>
      </c>
      <c r="O2792">
        <v>1005465725</v>
      </c>
      <c r="P2792">
        <v>942</v>
      </c>
      <c r="Q2792" t="s">
        <v>5920</v>
      </c>
    </row>
    <row r="2793" spans="1:17" x14ac:dyDescent="0.3">
      <c r="A2793" t="s">
        <v>4729</v>
      </c>
      <c r="B2793" t="str">
        <f>"002066"</f>
        <v>002066</v>
      </c>
      <c r="C2793" t="s">
        <v>5921</v>
      </c>
      <c r="D2793" t="s">
        <v>5922</v>
      </c>
      <c r="F2793">
        <v>761831161</v>
      </c>
      <c r="G2793">
        <v>623708484</v>
      </c>
      <c r="H2793">
        <v>704448332</v>
      </c>
      <c r="I2793">
        <v>704000515</v>
      </c>
      <c r="J2793">
        <v>750166295</v>
      </c>
      <c r="K2793">
        <v>861684185</v>
      </c>
      <c r="L2793">
        <v>1014636901</v>
      </c>
      <c r="M2793">
        <v>873818369</v>
      </c>
      <c r="N2793">
        <v>759644331</v>
      </c>
      <c r="O2793">
        <v>677450693</v>
      </c>
      <c r="P2793">
        <v>74</v>
      </c>
      <c r="Q2793" t="s">
        <v>5923</v>
      </c>
    </row>
    <row r="2794" spans="1:17" x14ac:dyDescent="0.3">
      <c r="A2794" t="s">
        <v>4729</v>
      </c>
      <c r="B2794" t="str">
        <f>"002067"</f>
        <v>002067</v>
      </c>
      <c r="C2794" t="s">
        <v>5924</v>
      </c>
      <c r="D2794" t="s">
        <v>694</v>
      </c>
      <c r="F2794">
        <v>567684828</v>
      </c>
      <c r="G2794">
        <v>449527550</v>
      </c>
      <c r="H2794">
        <v>438209973</v>
      </c>
      <c r="I2794">
        <v>515422045</v>
      </c>
      <c r="J2794">
        <v>553883856</v>
      </c>
      <c r="K2794">
        <v>419698178</v>
      </c>
      <c r="L2794">
        <v>517006126</v>
      </c>
      <c r="M2794">
        <v>502004568</v>
      </c>
      <c r="N2794">
        <v>543710386</v>
      </c>
      <c r="O2794">
        <v>509992336</v>
      </c>
      <c r="P2794">
        <v>173</v>
      </c>
      <c r="Q2794" t="s">
        <v>5925</v>
      </c>
    </row>
    <row r="2795" spans="1:17" x14ac:dyDescent="0.3">
      <c r="A2795" t="s">
        <v>4729</v>
      </c>
      <c r="B2795" t="str">
        <f>"002068"</f>
        <v>002068</v>
      </c>
      <c r="C2795" t="s">
        <v>5926</v>
      </c>
      <c r="D2795" t="s">
        <v>3646</v>
      </c>
      <c r="F2795">
        <v>1739661210</v>
      </c>
      <c r="G2795">
        <v>1382403836</v>
      </c>
      <c r="H2795">
        <v>1203140148</v>
      </c>
      <c r="I2795">
        <v>1264045108</v>
      </c>
      <c r="J2795">
        <v>1299377445</v>
      </c>
      <c r="K2795">
        <v>915612495</v>
      </c>
      <c r="L2795">
        <v>789048084</v>
      </c>
      <c r="M2795">
        <v>1126568725</v>
      </c>
      <c r="N2795">
        <v>1143117574</v>
      </c>
      <c r="O2795">
        <v>939913615</v>
      </c>
      <c r="P2795">
        <v>300</v>
      </c>
      <c r="Q2795" t="s">
        <v>5927</v>
      </c>
    </row>
    <row r="2796" spans="1:17" x14ac:dyDescent="0.3">
      <c r="A2796" t="s">
        <v>4729</v>
      </c>
      <c r="B2796" t="str">
        <f>"002069"</f>
        <v>002069</v>
      </c>
      <c r="C2796" t="s">
        <v>5928</v>
      </c>
      <c r="D2796" t="s">
        <v>587</v>
      </c>
      <c r="F2796">
        <v>261791817</v>
      </c>
      <c r="G2796">
        <v>250971044</v>
      </c>
      <c r="H2796">
        <v>311322027</v>
      </c>
      <c r="I2796">
        <v>365281904</v>
      </c>
      <c r="J2796">
        <v>436687855</v>
      </c>
      <c r="K2796">
        <v>348773194</v>
      </c>
      <c r="L2796">
        <v>254954880</v>
      </c>
      <c r="M2796">
        <v>201939813</v>
      </c>
      <c r="N2796">
        <v>180141567</v>
      </c>
      <c r="O2796">
        <v>172182648</v>
      </c>
      <c r="P2796">
        <v>406</v>
      </c>
      <c r="Q2796" t="s">
        <v>5929</v>
      </c>
    </row>
    <row r="2797" spans="1:17" x14ac:dyDescent="0.3">
      <c r="A2797" t="s">
        <v>4729</v>
      </c>
      <c r="B2797" t="str">
        <f>"002070"</f>
        <v>002070</v>
      </c>
      <c r="C2797" t="s">
        <v>5930</v>
      </c>
      <c r="I2797">
        <v>222851447</v>
      </c>
      <c r="J2797">
        <v>386597545</v>
      </c>
      <c r="K2797">
        <v>494746527</v>
      </c>
      <c r="L2797">
        <v>399034864</v>
      </c>
      <c r="M2797">
        <v>614188093.82000005</v>
      </c>
      <c r="N2797">
        <v>427712106.25999999</v>
      </c>
      <c r="O2797">
        <v>321999900.25</v>
      </c>
      <c r="P2797">
        <v>27</v>
      </c>
      <c r="Q2797" t="s">
        <v>5931</v>
      </c>
    </row>
    <row r="2798" spans="1:17" x14ac:dyDescent="0.3">
      <c r="A2798" t="s">
        <v>4729</v>
      </c>
      <c r="B2798" t="str">
        <f>"002071"</f>
        <v>002071</v>
      </c>
      <c r="C2798" t="s">
        <v>5932</v>
      </c>
      <c r="G2798">
        <v>153689457</v>
      </c>
      <c r="H2798">
        <v>301562903</v>
      </c>
      <c r="I2798">
        <v>815809706</v>
      </c>
      <c r="J2798">
        <v>1102422184</v>
      </c>
      <c r="K2798">
        <v>1017194776</v>
      </c>
      <c r="L2798">
        <v>871676247</v>
      </c>
      <c r="M2798">
        <v>641097065</v>
      </c>
      <c r="N2798">
        <v>87142410</v>
      </c>
      <c r="O2798">
        <v>80479104</v>
      </c>
      <c r="P2798">
        <v>97</v>
      </c>
      <c r="Q2798" t="s">
        <v>5933</v>
      </c>
    </row>
    <row r="2799" spans="1:17" x14ac:dyDescent="0.3">
      <c r="A2799" t="s">
        <v>4729</v>
      </c>
      <c r="B2799" t="str">
        <f>"002072"</f>
        <v>002072</v>
      </c>
      <c r="C2799" t="s">
        <v>5934</v>
      </c>
      <c r="D2799" t="s">
        <v>110</v>
      </c>
      <c r="F2799">
        <v>561906</v>
      </c>
      <c r="G2799">
        <v>18385560</v>
      </c>
      <c r="H2799">
        <v>46170223</v>
      </c>
      <c r="I2799">
        <v>49358444</v>
      </c>
      <c r="J2799">
        <v>62347936</v>
      </c>
      <c r="K2799">
        <v>39908318</v>
      </c>
      <c r="L2799">
        <v>222958545</v>
      </c>
      <c r="M2799">
        <v>221055991</v>
      </c>
      <c r="N2799">
        <v>80108787</v>
      </c>
      <c r="O2799">
        <v>86557133</v>
      </c>
      <c r="P2799">
        <v>64</v>
      </c>
      <c r="Q2799" t="s">
        <v>5935</v>
      </c>
    </row>
    <row r="2800" spans="1:17" x14ac:dyDescent="0.3">
      <c r="A2800" t="s">
        <v>4729</v>
      </c>
      <c r="B2800" t="str">
        <f>"002073"</f>
        <v>002073</v>
      </c>
      <c r="C2800" t="s">
        <v>5936</v>
      </c>
      <c r="D2800" t="s">
        <v>741</v>
      </c>
      <c r="F2800">
        <v>1201169097</v>
      </c>
      <c r="G2800">
        <v>907073693</v>
      </c>
      <c r="H2800">
        <v>1045330364</v>
      </c>
      <c r="I2800">
        <v>1330701818</v>
      </c>
      <c r="J2800">
        <v>1259249274</v>
      </c>
      <c r="K2800">
        <v>1566405286</v>
      </c>
      <c r="L2800">
        <v>1998536520</v>
      </c>
      <c r="M2800">
        <v>2039656774</v>
      </c>
      <c r="N2800">
        <v>1772756822</v>
      </c>
      <c r="O2800">
        <v>1978461987</v>
      </c>
      <c r="P2800">
        <v>150</v>
      </c>
      <c r="Q2800" t="s">
        <v>5937</v>
      </c>
    </row>
    <row r="2801" spans="1:17" x14ac:dyDescent="0.3">
      <c r="A2801" t="s">
        <v>4729</v>
      </c>
      <c r="B2801" t="str">
        <f>"002074"</f>
        <v>002074</v>
      </c>
      <c r="C2801" t="s">
        <v>5938</v>
      </c>
      <c r="D2801" t="s">
        <v>359</v>
      </c>
      <c r="F2801">
        <v>6719375504</v>
      </c>
      <c r="G2801">
        <v>6587351399</v>
      </c>
      <c r="H2801">
        <v>5606635207</v>
      </c>
      <c r="I2801">
        <v>5000743666</v>
      </c>
      <c r="J2801">
        <v>3551543002</v>
      </c>
      <c r="K2801">
        <v>2410717344</v>
      </c>
      <c r="L2801">
        <v>1402289819</v>
      </c>
      <c r="M2801">
        <v>441239460</v>
      </c>
      <c r="N2801">
        <v>400700054</v>
      </c>
      <c r="O2801">
        <v>382388278</v>
      </c>
      <c r="P2801">
        <v>1003</v>
      </c>
      <c r="Q2801" t="s">
        <v>5939</v>
      </c>
    </row>
    <row r="2802" spans="1:17" x14ac:dyDescent="0.3">
      <c r="A2802" t="s">
        <v>4729</v>
      </c>
      <c r="B2802" t="str">
        <f>"002075"</f>
        <v>002075</v>
      </c>
      <c r="C2802" t="s">
        <v>5940</v>
      </c>
      <c r="D2802" t="s">
        <v>281</v>
      </c>
      <c r="F2802">
        <v>8533633</v>
      </c>
      <c r="G2802">
        <v>38585546</v>
      </c>
      <c r="H2802">
        <v>54061003</v>
      </c>
      <c r="I2802">
        <v>36725067</v>
      </c>
      <c r="J2802">
        <v>61163337</v>
      </c>
      <c r="K2802">
        <v>40612153</v>
      </c>
      <c r="L2802">
        <v>120937170</v>
      </c>
      <c r="M2802">
        <v>121459900</v>
      </c>
      <c r="N2802">
        <v>53260850</v>
      </c>
      <c r="O2802">
        <v>63891850</v>
      </c>
      <c r="P2802">
        <v>281</v>
      </c>
      <c r="Q2802" t="s">
        <v>5941</v>
      </c>
    </row>
    <row r="2803" spans="1:17" x14ac:dyDescent="0.3">
      <c r="A2803" t="s">
        <v>4729</v>
      </c>
      <c r="B2803" t="str">
        <f>"002076"</f>
        <v>002076</v>
      </c>
      <c r="C2803" t="s">
        <v>5942</v>
      </c>
      <c r="D2803" t="s">
        <v>598</v>
      </c>
      <c r="F2803">
        <v>34041166</v>
      </c>
      <c r="G2803">
        <v>98373233</v>
      </c>
      <c r="H2803">
        <v>112840999</v>
      </c>
      <c r="I2803">
        <v>402686303</v>
      </c>
      <c r="J2803">
        <v>550362123</v>
      </c>
      <c r="K2803">
        <v>231200520</v>
      </c>
      <c r="L2803">
        <v>200512442</v>
      </c>
      <c r="M2803">
        <v>144686267</v>
      </c>
      <c r="N2803">
        <v>109952633</v>
      </c>
      <c r="O2803">
        <v>173255137</v>
      </c>
      <c r="P2803">
        <v>100</v>
      </c>
      <c r="Q2803" t="s">
        <v>5943</v>
      </c>
    </row>
    <row r="2804" spans="1:17" x14ac:dyDescent="0.3">
      <c r="A2804" t="s">
        <v>4729</v>
      </c>
      <c r="B2804" t="str">
        <f>"002077"</f>
        <v>002077</v>
      </c>
      <c r="C2804" t="s">
        <v>5944</v>
      </c>
      <c r="D2804" t="s">
        <v>1180</v>
      </c>
      <c r="F2804">
        <v>186741998</v>
      </c>
      <c r="G2804">
        <v>340634129</v>
      </c>
      <c r="H2804">
        <v>519995759</v>
      </c>
      <c r="I2804">
        <v>1207798671</v>
      </c>
      <c r="J2804">
        <v>685031144</v>
      </c>
      <c r="K2804">
        <v>851928359</v>
      </c>
      <c r="L2804">
        <v>1037854760</v>
      </c>
      <c r="M2804">
        <v>1706042866</v>
      </c>
      <c r="N2804">
        <v>2033113788</v>
      </c>
      <c r="O2804">
        <v>1169425051</v>
      </c>
      <c r="P2804">
        <v>125</v>
      </c>
      <c r="Q2804" t="s">
        <v>5945</v>
      </c>
    </row>
    <row r="2805" spans="1:17" x14ac:dyDescent="0.3">
      <c r="A2805" t="s">
        <v>4729</v>
      </c>
      <c r="B2805" t="str">
        <f>"002078"</f>
        <v>002078</v>
      </c>
      <c r="C2805" t="s">
        <v>5946</v>
      </c>
      <c r="D2805" t="s">
        <v>694</v>
      </c>
      <c r="F2805">
        <v>1786554040</v>
      </c>
      <c r="G2805">
        <v>1609541349</v>
      </c>
      <c r="H2805">
        <v>1607400518</v>
      </c>
      <c r="I2805">
        <v>1463726820</v>
      </c>
      <c r="J2805">
        <v>1644655724</v>
      </c>
      <c r="K2805">
        <v>1362236845</v>
      </c>
      <c r="L2805">
        <v>943250161</v>
      </c>
      <c r="M2805">
        <v>689994530</v>
      </c>
      <c r="N2805">
        <v>694207383</v>
      </c>
      <c r="O2805">
        <v>479989560</v>
      </c>
      <c r="P2805">
        <v>1103</v>
      </c>
      <c r="Q2805" t="s">
        <v>5947</v>
      </c>
    </row>
    <row r="2806" spans="1:17" x14ac:dyDescent="0.3">
      <c r="A2806" t="s">
        <v>4729</v>
      </c>
      <c r="B2806" t="str">
        <f>"002079"</f>
        <v>002079</v>
      </c>
      <c r="C2806" t="s">
        <v>5948</v>
      </c>
      <c r="D2806" t="s">
        <v>795</v>
      </c>
      <c r="F2806">
        <v>559174080</v>
      </c>
      <c r="G2806">
        <v>444161953</v>
      </c>
      <c r="H2806">
        <v>428309131</v>
      </c>
      <c r="I2806">
        <v>388563036</v>
      </c>
      <c r="J2806">
        <v>312422037</v>
      </c>
      <c r="K2806">
        <v>249320132</v>
      </c>
      <c r="L2806">
        <v>173933060</v>
      </c>
      <c r="M2806">
        <v>174827833</v>
      </c>
      <c r="N2806">
        <v>144911170</v>
      </c>
      <c r="O2806">
        <v>131636986</v>
      </c>
      <c r="P2806">
        <v>372</v>
      </c>
      <c r="Q2806" t="s">
        <v>5949</v>
      </c>
    </row>
    <row r="2807" spans="1:17" x14ac:dyDescent="0.3">
      <c r="A2807" t="s">
        <v>4729</v>
      </c>
      <c r="B2807" t="str">
        <f>"002080"</f>
        <v>002080</v>
      </c>
      <c r="C2807" t="s">
        <v>5950</v>
      </c>
      <c r="D2807" t="s">
        <v>411</v>
      </c>
      <c r="F2807">
        <v>3956179484</v>
      </c>
      <c r="G2807">
        <v>3285856427</v>
      </c>
      <c r="H2807">
        <v>3339367749</v>
      </c>
      <c r="I2807">
        <v>2992085813</v>
      </c>
      <c r="J2807">
        <v>2755514239</v>
      </c>
      <c r="K2807">
        <v>2197823714</v>
      </c>
      <c r="L2807">
        <v>1664123270</v>
      </c>
      <c r="M2807">
        <v>1408169661</v>
      </c>
      <c r="N2807">
        <v>1339065806</v>
      </c>
      <c r="O2807">
        <v>1246238116</v>
      </c>
      <c r="P2807">
        <v>913</v>
      </c>
      <c r="Q2807" t="s">
        <v>5951</v>
      </c>
    </row>
    <row r="2808" spans="1:17" x14ac:dyDescent="0.3">
      <c r="A2808" t="s">
        <v>4729</v>
      </c>
      <c r="B2808" t="str">
        <f>"002081"</f>
        <v>002081</v>
      </c>
      <c r="C2808" t="s">
        <v>5952</v>
      </c>
      <c r="D2808" t="s">
        <v>450</v>
      </c>
      <c r="F2808">
        <v>12113336236</v>
      </c>
      <c r="G2808">
        <v>13517789957</v>
      </c>
      <c r="H2808">
        <v>22003095139</v>
      </c>
      <c r="I2808">
        <v>18608761161</v>
      </c>
      <c r="J2808">
        <v>18024477087</v>
      </c>
      <c r="K2808">
        <v>17849141329</v>
      </c>
      <c r="L2808">
        <v>16642100940</v>
      </c>
      <c r="M2808">
        <v>14842517478</v>
      </c>
      <c r="N2808">
        <v>11073814546</v>
      </c>
      <c r="O2808">
        <v>7542304289</v>
      </c>
      <c r="P2808">
        <v>18140</v>
      </c>
      <c r="Q2808" t="s">
        <v>5953</v>
      </c>
    </row>
    <row r="2809" spans="1:17" x14ac:dyDescent="0.3">
      <c r="A2809" t="s">
        <v>4729</v>
      </c>
      <c r="B2809" t="str">
        <f>"002082"</f>
        <v>002082</v>
      </c>
      <c r="C2809" t="s">
        <v>5954</v>
      </c>
      <c r="D2809" t="s">
        <v>504</v>
      </c>
      <c r="F2809">
        <v>940706325</v>
      </c>
      <c r="G2809">
        <v>1082398271</v>
      </c>
      <c r="H2809">
        <v>429763247</v>
      </c>
      <c r="I2809">
        <v>260093089</v>
      </c>
      <c r="J2809">
        <v>188615049</v>
      </c>
      <c r="K2809">
        <v>57173448</v>
      </c>
      <c r="L2809">
        <v>114276083</v>
      </c>
      <c r="M2809">
        <v>83389163</v>
      </c>
      <c r="N2809">
        <v>84567930</v>
      </c>
      <c r="O2809">
        <v>70241101</v>
      </c>
      <c r="P2809">
        <v>135</v>
      </c>
      <c r="Q2809" t="s">
        <v>5955</v>
      </c>
    </row>
    <row r="2810" spans="1:17" x14ac:dyDescent="0.3">
      <c r="A2810" t="s">
        <v>4729</v>
      </c>
      <c r="B2810" t="str">
        <f>"002083"</f>
        <v>002083</v>
      </c>
      <c r="C2810" t="s">
        <v>5956</v>
      </c>
      <c r="D2810" t="s">
        <v>1009</v>
      </c>
      <c r="F2810">
        <v>530434160</v>
      </c>
      <c r="G2810">
        <v>552008266</v>
      </c>
      <c r="H2810">
        <v>566968264</v>
      </c>
      <c r="I2810">
        <v>633824941</v>
      </c>
      <c r="J2810">
        <v>478150321</v>
      </c>
      <c r="K2810">
        <v>395583556</v>
      </c>
      <c r="L2810">
        <v>434876707</v>
      </c>
      <c r="M2810">
        <v>376846397</v>
      </c>
      <c r="N2810">
        <v>395849389</v>
      </c>
      <c r="O2810">
        <v>344938980</v>
      </c>
      <c r="P2810">
        <v>283</v>
      </c>
      <c r="Q2810" t="s">
        <v>5957</v>
      </c>
    </row>
    <row r="2811" spans="1:17" x14ac:dyDescent="0.3">
      <c r="A2811" t="s">
        <v>4729</v>
      </c>
      <c r="B2811" t="str">
        <f>"002084"</f>
        <v>002084</v>
      </c>
      <c r="C2811" t="s">
        <v>5958</v>
      </c>
      <c r="D2811" t="s">
        <v>2912</v>
      </c>
      <c r="F2811">
        <v>965378298</v>
      </c>
      <c r="G2811">
        <v>908353035</v>
      </c>
      <c r="H2811">
        <v>591716387</v>
      </c>
      <c r="I2811">
        <v>523159071</v>
      </c>
      <c r="J2811">
        <v>381633925</v>
      </c>
      <c r="K2811">
        <v>428080380</v>
      </c>
      <c r="L2811">
        <v>384355572</v>
      </c>
      <c r="M2811">
        <v>361965385</v>
      </c>
      <c r="N2811">
        <v>437731873</v>
      </c>
      <c r="O2811">
        <v>413385597</v>
      </c>
      <c r="P2811">
        <v>148</v>
      </c>
      <c r="Q2811" t="s">
        <v>5959</v>
      </c>
    </row>
    <row r="2812" spans="1:17" x14ac:dyDescent="0.3">
      <c r="A2812" t="s">
        <v>4729</v>
      </c>
      <c r="B2812" t="str">
        <f>"002085"</f>
        <v>002085</v>
      </c>
      <c r="C2812" t="s">
        <v>5960</v>
      </c>
      <c r="D2812" t="s">
        <v>422</v>
      </c>
      <c r="F2812">
        <v>2832691815</v>
      </c>
      <c r="G2812">
        <v>2314980882</v>
      </c>
      <c r="H2812">
        <v>2424057141</v>
      </c>
      <c r="I2812">
        <v>2333794439</v>
      </c>
      <c r="J2812">
        <v>1972968546</v>
      </c>
      <c r="K2812">
        <v>1677946219</v>
      </c>
      <c r="L2812">
        <v>1396932636</v>
      </c>
      <c r="M2812">
        <v>1033548325</v>
      </c>
      <c r="N2812">
        <v>905299777</v>
      </c>
      <c r="O2812">
        <v>646618700</v>
      </c>
      <c r="P2812">
        <v>1527</v>
      </c>
      <c r="Q2812" t="s">
        <v>5961</v>
      </c>
    </row>
    <row r="2813" spans="1:17" x14ac:dyDescent="0.3">
      <c r="A2813" t="s">
        <v>4729</v>
      </c>
      <c r="B2813" t="str">
        <f>"002086"</f>
        <v>002086</v>
      </c>
      <c r="C2813" t="s">
        <v>5962</v>
      </c>
      <c r="D2813" t="s">
        <v>587</v>
      </c>
      <c r="F2813">
        <v>52684529</v>
      </c>
      <c r="G2813">
        <v>51152586</v>
      </c>
      <c r="H2813">
        <v>93763753</v>
      </c>
      <c r="I2813">
        <v>236672667</v>
      </c>
      <c r="J2813">
        <v>308806978</v>
      </c>
      <c r="K2813">
        <v>211494188</v>
      </c>
      <c r="L2813">
        <v>221540634</v>
      </c>
      <c r="M2813">
        <v>178911337</v>
      </c>
      <c r="N2813">
        <v>92238446</v>
      </c>
      <c r="O2813">
        <v>80234512</v>
      </c>
      <c r="P2813">
        <v>70</v>
      </c>
      <c r="Q2813" t="s">
        <v>5963</v>
      </c>
    </row>
    <row r="2814" spans="1:17" x14ac:dyDescent="0.3">
      <c r="A2814" t="s">
        <v>4729</v>
      </c>
      <c r="B2814" t="str">
        <f>"002087"</f>
        <v>002087</v>
      </c>
      <c r="C2814" t="s">
        <v>5964</v>
      </c>
      <c r="D2814" t="s">
        <v>1009</v>
      </c>
      <c r="F2814">
        <v>937140716</v>
      </c>
      <c r="G2814">
        <v>795104582</v>
      </c>
      <c r="H2814">
        <v>782283301</v>
      </c>
      <c r="I2814">
        <v>736855421</v>
      </c>
      <c r="J2814">
        <v>618229269</v>
      </c>
      <c r="K2814">
        <v>541182117</v>
      </c>
      <c r="L2814">
        <v>430307775</v>
      </c>
      <c r="M2814">
        <v>423353254</v>
      </c>
      <c r="N2814">
        <v>403367490</v>
      </c>
      <c r="O2814">
        <v>330420698</v>
      </c>
      <c r="P2814">
        <v>208</v>
      </c>
      <c r="Q2814" t="s">
        <v>5965</v>
      </c>
    </row>
    <row r="2815" spans="1:17" x14ac:dyDescent="0.3">
      <c r="A2815" t="s">
        <v>4729</v>
      </c>
      <c r="B2815" t="str">
        <f>"002088"</f>
        <v>002088</v>
      </c>
      <c r="C2815" t="s">
        <v>5966</v>
      </c>
      <c r="D2815" t="s">
        <v>5922</v>
      </c>
      <c r="F2815">
        <v>624871817</v>
      </c>
      <c r="G2815">
        <v>637033449</v>
      </c>
      <c r="H2815">
        <v>650764078</v>
      </c>
      <c r="I2815">
        <v>517147773</v>
      </c>
      <c r="J2815">
        <v>394311884</v>
      </c>
      <c r="K2815">
        <v>405150524</v>
      </c>
      <c r="L2815">
        <v>509317058</v>
      </c>
      <c r="M2815">
        <v>514601222</v>
      </c>
      <c r="N2815">
        <v>481771897</v>
      </c>
      <c r="O2815">
        <v>424726471</v>
      </c>
      <c r="P2815">
        <v>407</v>
      </c>
      <c r="Q2815" t="s">
        <v>5967</v>
      </c>
    </row>
    <row r="2816" spans="1:17" x14ac:dyDescent="0.3">
      <c r="A2816" t="s">
        <v>4729</v>
      </c>
      <c r="B2816" t="str">
        <f>"002089"</f>
        <v>002089</v>
      </c>
      <c r="C2816" t="s">
        <v>5968</v>
      </c>
      <c r="D2816" t="s">
        <v>1019</v>
      </c>
      <c r="F2816">
        <v>119202930</v>
      </c>
      <c r="G2816">
        <v>91247479</v>
      </c>
      <c r="H2816">
        <v>100853059</v>
      </c>
      <c r="I2816">
        <v>326359169</v>
      </c>
      <c r="J2816">
        <v>472557955</v>
      </c>
      <c r="K2816">
        <v>694812858</v>
      </c>
      <c r="L2816">
        <v>528654019</v>
      </c>
      <c r="M2816">
        <v>591905552</v>
      </c>
      <c r="N2816">
        <v>551721915</v>
      </c>
      <c r="O2816">
        <v>552593412</v>
      </c>
      <c r="P2816">
        <v>175</v>
      </c>
      <c r="Q2816" t="s">
        <v>5969</v>
      </c>
    </row>
    <row r="2817" spans="1:17" x14ac:dyDescent="0.3">
      <c r="A2817" t="s">
        <v>4729</v>
      </c>
      <c r="B2817" t="str">
        <f>"002090"</f>
        <v>002090</v>
      </c>
      <c r="C2817" t="s">
        <v>5970</v>
      </c>
      <c r="D2817" t="s">
        <v>610</v>
      </c>
      <c r="F2817">
        <v>736652816</v>
      </c>
      <c r="G2817">
        <v>934583061</v>
      </c>
      <c r="H2817">
        <v>887581568</v>
      </c>
      <c r="I2817">
        <v>1291073639</v>
      </c>
      <c r="J2817">
        <v>1286668435</v>
      </c>
      <c r="K2817">
        <v>865245888</v>
      </c>
      <c r="L2817">
        <v>653063716</v>
      </c>
      <c r="M2817">
        <v>506690681</v>
      </c>
      <c r="N2817">
        <v>389774436</v>
      </c>
      <c r="O2817">
        <v>318271856</v>
      </c>
      <c r="P2817">
        <v>229</v>
      </c>
      <c r="Q2817" t="s">
        <v>5971</v>
      </c>
    </row>
    <row r="2818" spans="1:17" x14ac:dyDescent="0.3">
      <c r="A2818" t="s">
        <v>4729</v>
      </c>
      <c r="B2818" t="str">
        <f>"002091"</f>
        <v>002091</v>
      </c>
      <c r="C2818" t="s">
        <v>5972</v>
      </c>
      <c r="D2818" t="s">
        <v>131</v>
      </c>
      <c r="F2818">
        <v>6926075994</v>
      </c>
      <c r="G2818">
        <v>4300378702</v>
      </c>
      <c r="H2818">
        <v>4192104686</v>
      </c>
      <c r="I2818">
        <v>5183687267</v>
      </c>
      <c r="J2818">
        <v>4431239143</v>
      </c>
      <c r="K2818">
        <v>3615577943</v>
      </c>
      <c r="L2818">
        <v>1100201415</v>
      </c>
      <c r="M2818">
        <v>749823061</v>
      </c>
      <c r="N2818">
        <v>535713669</v>
      </c>
      <c r="O2818">
        <v>453370986</v>
      </c>
      <c r="P2818">
        <v>509</v>
      </c>
      <c r="Q2818" t="s">
        <v>5973</v>
      </c>
    </row>
    <row r="2819" spans="1:17" x14ac:dyDescent="0.3">
      <c r="A2819" t="s">
        <v>4729</v>
      </c>
      <c r="B2819" t="str">
        <f>"002092"</f>
        <v>002092</v>
      </c>
      <c r="C2819" t="s">
        <v>5974</v>
      </c>
      <c r="D2819" t="s">
        <v>175</v>
      </c>
      <c r="F2819">
        <v>3503946480</v>
      </c>
      <c r="G2819">
        <v>2976328591</v>
      </c>
      <c r="H2819">
        <v>3478049527</v>
      </c>
      <c r="I2819">
        <v>3373532293</v>
      </c>
      <c r="J2819">
        <v>1139888713</v>
      </c>
      <c r="K2819">
        <v>1056880328</v>
      </c>
      <c r="L2819">
        <v>492042518</v>
      </c>
      <c r="M2819">
        <v>447605296</v>
      </c>
      <c r="N2819">
        <v>223066548</v>
      </c>
      <c r="O2819">
        <v>147891223</v>
      </c>
      <c r="P2819">
        <v>521</v>
      </c>
      <c r="Q2819" t="s">
        <v>5975</v>
      </c>
    </row>
    <row r="2820" spans="1:17" x14ac:dyDescent="0.3">
      <c r="A2820" t="s">
        <v>4729</v>
      </c>
      <c r="B2820" t="str">
        <f>"002093"</f>
        <v>002093</v>
      </c>
      <c r="C2820" t="s">
        <v>5976</v>
      </c>
      <c r="D2820" t="s">
        <v>654</v>
      </c>
      <c r="F2820">
        <v>161355716</v>
      </c>
      <c r="G2820">
        <v>177927195</v>
      </c>
      <c r="H2820">
        <v>203837101</v>
      </c>
      <c r="I2820">
        <v>282248909</v>
      </c>
      <c r="J2820">
        <v>266593272</v>
      </c>
      <c r="K2820">
        <v>191479791</v>
      </c>
      <c r="L2820">
        <v>174277615</v>
      </c>
      <c r="M2820">
        <v>202536435</v>
      </c>
      <c r="N2820">
        <v>147472580</v>
      </c>
      <c r="O2820">
        <v>246345858</v>
      </c>
      <c r="P2820">
        <v>288</v>
      </c>
      <c r="Q2820" t="s">
        <v>5977</v>
      </c>
    </row>
    <row r="2821" spans="1:17" x14ac:dyDescent="0.3">
      <c r="A2821" t="s">
        <v>4729</v>
      </c>
      <c r="B2821" t="str">
        <f>"002094"</f>
        <v>002094</v>
      </c>
      <c r="C2821" t="s">
        <v>5978</v>
      </c>
      <c r="D2821" t="s">
        <v>5979</v>
      </c>
      <c r="F2821">
        <v>574923338</v>
      </c>
      <c r="G2821">
        <v>543702106</v>
      </c>
      <c r="H2821">
        <v>728230939</v>
      </c>
      <c r="I2821">
        <v>877573825</v>
      </c>
      <c r="J2821">
        <v>577607501</v>
      </c>
      <c r="K2821">
        <v>382459978</v>
      </c>
      <c r="L2821">
        <v>274903980</v>
      </c>
      <c r="M2821">
        <v>259391573</v>
      </c>
      <c r="N2821">
        <v>186465952</v>
      </c>
      <c r="O2821">
        <v>235210046</v>
      </c>
      <c r="P2821">
        <v>183</v>
      </c>
      <c r="Q2821" t="s">
        <v>5980</v>
      </c>
    </row>
    <row r="2822" spans="1:17" x14ac:dyDescent="0.3">
      <c r="A2822" t="s">
        <v>4729</v>
      </c>
      <c r="B2822" t="str">
        <f>"002095"</f>
        <v>002095</v>
      </c>
      <c r="C2822" t="s">
        <v>5981</v>
      </c>
      <c r="D2822" t="s">
        <v>522</v>
      </c>
      <c r="F2822">
        <v>5446791</v>
      </c>
      <c r="G2822">
        <v>13419792</v>
      </c>
      <c r="H2822">
        <v>5873417</v>
      </c>
      <c r="I2822">
        <v>4588800</v>
      </c>
      <c r="J2822">
        <v>3530834</v>
      </c>
      <c r="K2822">
        <v>7988774</v>
      </c>
      <c r="L2822">
        <v>5112923</v>
      </c>
      <c r="M2822">
        <v>5670553</v>
      </c>
      <c r="N2822">
        <v>3342062</v>
      </c>
      <c r="O2822">
        <v>3566179</v>
      </c>
      <c r="P2822">
        <v>97</v>
      </c>
      <c r="Q2822" t="s">
        <v>5982</v>
      </c>
    </row>
    <row r="2823" spans="1:17" x14ac:dyDescent="0.3">
      <c r="A2823" t="s">
        <v>4729</v>
      </c>
      <c r="B2823" t="str">
        <f>"002096"</f>
        <v>002096</v>
      </c>
      <c r="C2823" t="s">
        <v>5983</v>
      </c>
      <c r="D2823" t="s">
        <v>2736</v>
      </c>
      <c r="F2823">
        <v>362775139</v>
      </c>
      <c r="G2823">
        <v>303895003</v>
      </c>
      <c r="H2823">
        <v>460300512</v>
      </c>
      <c r="I2823">
        <v>606542798</v>
      </c>
      <c r="J2823">
        <v>585648908</v>
      </c>
      <c r="K2823">
        <v>414252971</v>
      </c>
      <c r="L2823">
        <v>288276632</v>
      </c>
      <c r="M2823">
        <v>156013941</v>
      </c>
      <c r="N2823">
        <v>109553186</v>
      </c>
      <c r="O2823">
        <v>73833271</v>
      </c>
      <c r="P2823">
        <v>79</v>
      </c>
      <c r="Q2823" t="s">
        <v>5984</v>
      </c>
    </row>
    <row r="2824" spans="1:17" x14ac:dyDescent="0.3">
      <c r="A2824" t="s">
        <v>4729</v>
      </c>
      <c r="B2824" t="str">
        <f>"002097"</f>
        <v>002097</v>
      </c>
      <c r="C2824" t="s">
        <v>5985</v>
      </c>
      <c r="D2824" t="s">
        <v>83</v>
      </c>
      <c r="F2824">
        <v>4238037150</v>
      </c>
      <c r="G2824">
        <v>3931003593</v>
      </c>
      <c r="H2824">
        <v>3699920151</v>
      </c>
      <c r="I2824">
        <v>3149393678</v>
      </c>
      <c r="J2824">
        <v>2712759995</v>
      </c>
      <c r="K2824">
        <v>2596430762</v>
      </c>
      <c r="L2824">
        <v>1888483108</v>
      </c>
      <c r="M2824">
        <v>1766150099</v>
      </c>
      <c r="N2824">
        <v>1639104958</v>
      </c>
      <c r="O2824">
        <v>1620705589</v>
      </c>
      <c r="P2824">
        <v>217</v>
      </c>
      <c r="Q2824" t="s">
        <v>5986</v>
      </c>
    </row>
    <row r="2825" spans="1:17" x14ac:dyDescent="0.3">
      <c r="A2825" t="s">
        <v>4729</v>
      </c>
      <c r="B2825" t="str">
        <f>"002098"</f>
        <v>002098</v>
      </c>
      <c r="C2825" t="s">
        <v>5987</v>
      </c>
      <c r="D2825" t="s">
        <v>2956</v>
      </c>
      <c r="F2825">
        <v>401395739</v>
      </c>
      <c r="G2825">
        <v>304015260</v>
      </c>
      <c r="H2825">
        <v>328751805</v>
      </c>
      <c r="I2825">
        <v>293864013</v>
      </c>
      <c r="J2825">
        <v>347329809</v>
      </c>
      <c r="K2825">
        <v>276221761</v>
      </c>
      <c r="L2825">
        <v>233678375</v>
      </c>
      <c r="M2825">
        <v>233768077</v>
      </c>
      <c r="N2825">
        <v>230011091</v>
      </c>
      <c r="O2825">
        <v>207494087</v>
      </c>
      <c r="P2825">
        <v>111</v>
      </c>
      <c r="Q2825" t="s">
        <v>5988</v>
      </c>
    </row>
    <row r="2826" spans="1:17" x14ac:dyDescent="0.3">
      <c r="A2826" t="s">
        <v>4729</v>
      </c>
      <c r="B2826" t="str">
        <f>"002099"</f>
        <v>002099</v>
      </c>
      <c r="C2826" t="s">
        <v>5989</v>
      </c>
      <c r="D2826" t="s">
        <v>496</v>
      </c>
      <c r="F2826">
        <v>489162805</v>
      </c>
      <c r="G2826">
        <v>405702343</v>
      </c>
      <c r="H2826">
        <v>459781564</v>
      </c>
      <c r="I2826">
        <v>479537782</v>
      </c>
      <c r="J2826">
        <v>478915195</v>
      </c>
      <c r="K2826">
        <v>434039000</v>
      </c>
      <c r="L2826">
        <v>344639326</v>
      </c>
      <c r="M2826">
        <v>279613312</v>
      </c>
      <c r="N2826">
        <v>219115780</v>
      </c>
      <c r="O2826">
        <v>188494404</v>
      </c>
      <c r="P2826">
        <v>298</v>
      </c>
      <c r="Q2826" t="s">
        <v>5990</v>
      </c>
    </row>
    <row r="2827" spans="1:17" x14ac:dyDescent="0.3">
      <c r="A2827" t="s">
        <v>4729</v>
      </c>
      <c r="B2827" t="str">
        <f>"002100"</f>
        <v>002100</v>
      </c>
      <c r="C2827" t="s">
        <v>5991</v>
      </c>
      <c r="D2827" t="s">
        <v>2886</v>
      </c>
      <c r="F2827">
        <v>323390791</v>
      </c>
      <c r="G2827">
        <v>319881377</v>
      </c>
      <c r="H2827">
        <v>314104297</v>
      </c>
      <c r="I2827">
        <v>215224696</v>
      </c>
      <c r="J2827">
        <v>197374942</v>
      </c>
      <c r="K2827">
        <v>157635275</v>
      </c>
      <c r="L2827">
        <v>139987745</v>
      </c>
      <c r="M2827">
        <v>98690426</v>
      </c>
      <c r="N2827">
        <v>152178327</v>
      </c>
      <c r="O2827">
        <v>128355699</v>
      </c>
      <c r="P2827">
        <v>737</v>
      </c>
      <c r="Q2827" t="s">
        <v>5992</v>
      </c>
    </row>
    <row r="2828" spans="1:17" x14ac:dyDescent="0.3">
      <c r="A2828" t="s">
        <v>4729</v>
      </c>
      <c r="B2828" t="str">
        <f>"002101"</f>
        <v>002101</v>
      </c>
      <c r="C2828" t="s">
        <v>5993</v>
      </c>
      <c r="D2828" t="s">
        <v>985</v>
      </c>
      <c r="F2828">
        <v>1441137823</v>
      </c>
      <c r="G2828">
        <v>1522144748</v>
      </c>
      <c r="H2828">
        <v>1665423713</v>
      </c>
      <c r="I2828">
        <v>1682515761</v>
      </c>
      <c r="J2828">
        <v>1553356537</v>
      </c>
      <c r="K2828">
        <v>804877435</v>
      </c>
      <c r="L2828">
        <v>752641455</v>
      </c>
      <c r="M2828">
        <v>665168910</v>
      </c>
      <c r="N2828">
        <v>656437976</v>
      </c>
      <c r="O2828">
        <v>391395252</v>
      </c>
      <c r="P2828">
        <v>267</v>
      </c>
      <c r="Q2828" t="s">
        <v>5994</v>
      </c>
    </row>
    <row r="2829" spans="1:17" x14ac:dyDescent="0.3">
      <c r="A2829" t="s">
        <v>4729</v>
      </c>
      <c r="B2829" t="str">
        <f>"002102"</f>
        <v>002102</v>
      </c>
      <c r="C2829" t="s">
        <v>5995</v>
      </c>
      <c r="D2829" t="s">
        <v>496</v>
      </c>
      <c r="F2829">
        <v>352674283</v>
      </c>
      <c r="G2829">
        <v>418519212</v>
      </c>
      <c r="H2829">
        <v>418293554</v>
      </c>
      <c r="I2829">
        <v>352834960</v>
      </c>
      <c r="J2829">
        <v>531197661</v>
      </c>
      <c r="K2829">
        <v>263114240</v>
      </c>
      <c r="L2829">
        <v>170981259</v>
      </c>
      <c r="M2829">
        <v>269504499</v>
      </c>
      <c r="N2829">
        <v>120977424</v>
      </c>
      <c r="O2829">
        <v>124389630</v>
      </c>
      <c r="P2829">
        <v>119</v>
      </c>
      <c r="Q2829" t="s">
        <v>5996</v>
      </c>
    </row>
    <row r="2830" spans="1:17" x14ac:dyDescent="0.3">
      <c r="A2830" t="s">
        <v>4729</v>
      </c>
      <c r="B2830" t="str">
        <f>"002103"</f>
        <v>002103</v>
      </c>
      <c r="C2830" t="s">
        <v>5997</v>
      </c>
      <c r="D2830" t="s">
        <v>207</v>
      </c>
      <c r="F2830">
        <v>507948804</v>
      </c>
      <c r="G2830">
        <v>542436030</v>
      </c>
      <c r="H2830">
        <v>478308749</v>
      </c>
      <c r="I2830">
        <v>512628394</v>
      </c>
      <c r="J2830">
        <v>433993769</v>
      </c>
      <c r="K2830">
        <v>310572555</v>
      </c>
      <c r="L2830">
        <v>314360209</v>
      </c>
      <c r="M2830">
        <v>156768921</v>
      </c>
      <c r="N2830">
        <v>117098826</v>
      </c>
      <c r="O2830">
        <v>139754070</v>
      </c>
      <c r="P2830">
        <v>108</v>
      </c>
      <c r="Q2830" t="s">
        <v>5998</v>
      </c>
    </row>
    <row r="2831" spans="1:17" x14ac:dyDescent="0.3">
      <c r="A2831" t="s">
        <v>4729</v>
      </c>
      <c r="B2831" t="str">
        <f>"002104"</f>
        <v>002104</v>
      </c>
      <c r="C2831" t="s">
        <v>5999</v>
      </c>
      <c r="D2831" t="s">
        <v>786</v>
      </c>
      <c r="F2831">
        <v>149088833</v>
      </c>
      <c r="G2831">
        <v>149066278</v>
      </c>
      <c r="H2831">
        <v>121175950</v>
      </c>
      <c r="I2831">
        <v>90851199</v>
      </c>
      <c r="J2831">
        <v>215491640</v>
      </c>
      <c r="K2831">
        <v>190842730</v>
      </c>
      <c r="L2831">
        <v>252904733</v>
      </c>
      <c r="M2831">
        <v>107038182</v>
      </c>
      <c r="N2831">
        <v>86557013</v>
      </c>
      <c r="O2831">
        <v>128355585</v>
      </c>
      <c r="P2831">
        <v>416</v>
      </c>
      <c r="Q2831" t="s">
        <v>6000</v>
      </c>
    </row>
    <row r="2832" spans="1:17" x14ac:dyDescent="0.3">
      <c r="A2832" t="s">
        <v>4729</v>
      </c>
      <c r="B2832" t="str">
        <f>"002105"</f>
        <v>002105</v>
      </c>
      <c r="C2832" t="s">
        <v>6001</v>
      </c>
      <c r="D2832" t="s">
        <v>233</v>
      </c>
      <c r="F2832">
        <v>636496633</v>
      </c>
      <c r="G2832">
        <v>470397763</v>
      </c>
      <c r="H2832">
        <v>440795366</v>
      </c>
      <c r="I2832">
        <v>412215366</v>
      </c>
      <c r="J2832">
        <v>395091564</v>
      </c>
      <c r="K2832">
        <v>343804486</v>
      </c>
      <c r="L2832">
        <v>284223412</v>
      </c>
      <c r="M2832">
        <v>356668320</v>
      </c>
      <c r="N2832">
        <v>307058931</v>
      </c>
      <c r="O2832">
        <v>326544458</v>
      </c>
      <c r="P2832">
        <v>217</v>
      </c>
      <c r="Q2832" t="s">
        <v>6002</v>
      </c>
    </row>
    <row r="2833" spans="1:17" x14ac:dyDescent="0.3">
      <c r="A2833" t="s">
        <v>4729</v>
      </c>
      <c r="B2833" t="str">
        <f>"002106"</f>
        <v>002106</v>
      </c>
      <c r="C2833" t="s">
        <v>6003</v>
      </c>
      <c r="D2833" t="s">
        <v>1117</v>
      </c>
      <c r="F2833">
        <v>1968264617</v>
      </c>
      <c r="G2833">
        <v>2080521477</v>
      </c>
      <c r="H2833">
        <v>1348227338</v>
      </c>
      <c r="I2833">
        <v>1225385978</v>
      </c>
      <c r="J2833">
        <v>1070881341</v>
      </c>
      <c r="K2833">
        <v>1143812151</v>
      </c>
      <c r="L2833">
        <v>734180334</v>
      </c>
      <c r="M2833">
        <v>687900342</v>
      </c>
      <c r="N2833">
        <v>578299127</v>
      </c>
      <c r="O2833">
        <v>282044668</v>
      </c>
      <c r="P2833">
        <v>296</v>
      </c>
      <c r="Q2833" t="s">
        <v>6004</v>
      </c>
    </row>
    <row r="2834" spans="1:17" x14ac:dyDescent="0.3">
      <c r="A2834" t="s">
        <v>4729</v>
      </c>
      <c r="B2834" t="str">
        <f>"002107"</f>
        <v>002107</v>
      </c>
      <c r="C2834" t="s">
        <v>6005</v>
      </c>
      <c r="D2834" t="s">
        <v>188</v>
      </c>
      <c r="F2834">
        <v>93319711</v>
      </c>
      <c r="G2834">
        <v>115511756</v>
      </c>
      <c r="H2834">
        <v>97574656</v>
      </c>
      <c r="I2834">
        <v>110602488</v>
      </c>
      <c r="J2834">
        <v>120315367</v>
      </c>
      <c r="K2834">
        <v>63348047</v>
      </c>
      <c r="L2834">
        <v>46248860</v>
      </c>
      <c r="M2834">
        <v>33511559</v>
      </c>
      <c r="N2834">
        <v>22375137</v>
      </c>
      <c r="O2834">
        <v>19545724</v>
      </c>
      <c r="P2834">
        <v>350</v>
      </c>
      <c r="Q2834" t="s">
        <v>6006</v>
      </c>
    </row>
    <row r="2835" spans="1:17" x14ac:dyDescent="0.3">
      <c r="A2835" t="s">
        <v>4729</v>
      </c>
      <c r="B2835" t="str">
        <f>"002108"</f>
        <v>002108</v>
      </c>
      <c r="C2835" t="s">
        <v>6007</v>
      </c>
      <c r="D2835" t="s">
        <v>1192</v>
      </c>
      <c r="F2835">
        <v>832931281</v>
      </c>
      <c r="G2835">
        <v>987630823</v>
      </c>
      <c r="H2835">
        <v>905728697</v>
      </c>
      <c r="I2835">
        <v>815348635</v>
      </c>
      <c r="J2835">
        <v>755422848</v>
      </c>
      <c r="K2835">
        <v>728099988</v>
      </c>
      <c r="L2835">
        <v>627961481</v>
      </c>
      <c r="M2835">
        <v>501686515</v>
      </c>
      <c r="N2835">
        <v>556786688</v>
      </c>
      <c r="O2835">
        <v>441455618</v>
      </c>
      <c r="P2835">
        <v>345</v>
      </c>
      <c r="Q2835" t="s">
        <v>6008</v>
      </c>
    </row>
    <row r="2836" spans="1:17" x14ac:dyDescent="0.3">
      <c r="A2836" t="s">
        <v>4729</v>
      </c>
      <c r="B2836" t="str">
        <f>"002109"</f>
        <v>002109</v>
      </c>
      <c r="C2836" t="s">
        <v>6009</v>
      </c>
      <c r="D2836" t="s">
        <v>1233</v>
      </c>
      <c r="F2836">
        <v>172520360</v>
      </c>
      <c r="G2836">
        <v>152574398</v>
      </c>
      <c r="H2836">
        <v>164820736</v>
      </c>
      <c r="I2836">
        <v>217262230</v>
      </c>
      <c r="J2836">
        <v>125172764</v>
      </c>
      <c r="K2836">
        <v>61130258</v>
      </c>
      <c r="L2836">
        <v>79065964</v>
      </c>
      <c r="M2836">
        <v>67634541</v>
      </c>
      <c r="N2836">
        <v>60619392</v>
      </c>
      <c r="O2836">
        <v>44442963</v>
      </c>
      <c r="P2836">
        <v>138</v>
      </c>
      <c r="Q2836" t="s">
        <v>6010</v>
      </c>
    </row>
    <row r="2837" spans="1:17" x14ac:dyDescent="0.3">
      <c r="A2837" t="s">
        <v>4729</v>
      </c>
      <c r="B2837" t="str">
        <f>"002110"</f>
        <v>002110</v>
      </c>
      <c r="C2837" t="s">
        <v>6011</v>
      </c>
      <c r="D2837" t="s">
        <v>531</v>
      </c>
      <c r="F2837">
        <v>5263194</v>
      </c>
      <c r="G2837">
        <v>3302720</v>
      </c>
      <c r="H2837">
        <v>144560741</v>
      </c>
      <c r="I2837">
        <v>30102371</v>
      </c>
      <c r="J2837">
        <v>218284</v>
      </c>
      <c r="K2837">
        <v>6525127</v>
      </c>
      <c r="L2837">
        <v>4870353</v>
      </c>
      <c r="M2837">
        <v>6371511</v>
      </c>
      <c r="N2837">
        <v>2022</v>
      </c>
      <c r="O2837">
        <v>150459</v>
      </c>
      <c r="P2837">
        <v>1174</v>
      </c>
      <c r="Q2837" t="s">
        <v>6012</v>
      </c>
    </row>
    <row r="2838" spans="1:17" x14ac:dyDescent="0.3">
      <c r="A2838" t="s">
        <v>4729</v>
      </c>
      <c r="B2838" t="str">
        <f>"002111"</f>
        <v>002111</v>
      </c>
      <c r="C2838" t="s">
        <v>6013</v>
      </c>
      <c r="D2838" t="s">
        <v>741</v>
      </c>
      <c r="F2838">
        <v>1481312285</v>
      </c>
      <c r="G2838">
        <v>1153191120</v>
      </c>
      <c r="H2838">
        <v>1060492625</v>
      </c>
      <c r="I2838">
        <v>1070972607</v>
      </c>
      <c r="J2838">
        <v>783887204</v>
      </c>
      <c r="K2838">
        <v>809566355</v>
      </c>
      <c r="L2838">
        <v>624373900</v>
      </c>
      <c r="M2838">
        <v>528905948</v>
      </c>
      <c r="N2838">
        <v>434907251</v>
      </c>
      <c r="O2838">
        <v>341142397</v>
      </c>
      <c r="P2838">
        <v>214</v>
      </c>
      <c r="Q2838" t="s">
        <v>6014</v>
      </c>
    </row>
    <row r="2839" spans="1:17" x14ac:dyDescent="0.3">
      <c r="A2839" t="s">
        <v>4729</v>
      </c>
      <c r="B2839" t="str">
        <f>"002112"</f>
        <v>002112</v>
      </c>
      <c r="C2839" t="s">
        <v>6015</v>
      </c>
      <c r="D2839" t="s">
        <v>210</v>
      </c>
      <c r="F2839">
        <v>463866357</v>
      </c>
      <c r="G2839">
        <v>394654685</v>
      </c>
      <c r="H2839">
        <v>298497869</v>
      </c>
      <c r="I2839">
        <v>251903175</v>
      </c>
      <c r="J2839">
        <v>366824586</v>
      </c>
      <c r="K2839">
        <v>414644570</v>
      </c>
      <c r="L2839">
        <v>608323708</v>
      </c>
      <c r="M2839">
        <v>503447771</v>
      </c>
      <c r="N2839">
        <v>396047936</v>
      </c>
      <c r="O2839">
        <v>363940177</v>
      </c>
      <c r="P2839">
        <v>76</v>
      </c>
      <c r="Q2839" t="s">
        <v>6016</v>
      </c>
    </row>
    <row r="2840" spans="1:17" x14ac:dyDescent="0.3">
      <c r="A2840" t="s">
        <v>4729</v>
      </c>
      <c r="B2840" t="str">
        <f>"002113"</f>
        <v>002113</v>
      </c>
      <c r="C2840" t="s">
        <v>6017</v>
      </c>
      <c r="D2840" t="s">
        <v>517</v>
      </c>
      <c r="F2840">
        <v>148312934</v>
      </c>
      <c r="G2840">
        <v>239334755</v>
      </c>
      <c r="H2840">
        <v>185135142</v>
      </c>
      <c r="I2840">
        <v>124335741</v>
      </c>
      <c r="J2840">
        <v>167124345</v>
      </c>
      <c r="K2840">
        <v>58638372</v>
      </c>
      <c r="L2840">
        <v>13538</v>
      </c>
      <c r="M2840">
        <v>142500</v>
      </c>
      <c r="N2840">
        <v>166250</v>
      </c>
      <c r="O2840">
        <v>4212691</v>
      </c>
      <c r="P2840">
        <v>77</v>
      </c>
      <c r="Q2840" t="s">
        <v>6018</v>
      </c>
    </row>
    <row r="2841" spans="1:17" x14ac:dyDescent="0.3">
      <c r="A2841" t="s">
        <v>4729</v>
      </c>
      <c r="B2841" t="str">
        <f>"002114"</f>
        <v>002114</v>
      </c>
      <c r="C2841" t="s">
        <v>6019</v>
      </c>
      <c r="D2841" t="s">
        <v>744</v>
      </c>
      <c r="F2841">
        <v>11579999</v>
      </c>
      <c r="G2841">
        <v>6487135</v>
      </c>
      <c r="H2841">
        <v>1404439</v>
      </c>
      <c r="I2841">
        <v>2680371</v>
      </c>
      <c r="J2841">
        <v>16620353</v>
      </c>
      <c r="K2841">
        <v>9971167</v>
      </c>
      <c r="L2841">
        <v>109394616</v>
      </c>
      <c r="M2841">
        <v>2756650</v>
      </c>
      <c r="N2841">
        <v>33213525</v>
      </c>
      <c r="O2841">
        <v>28883169</v>
      </c>
      <c r="P2841">
        <v>73</v>
      </c>
      <c r="Q2841" t="s">
        <v>6020</v>
      </c>
    </row>
    <row r="2842" spans="1:17" x14ac:dyDescent="0.3">
      <c r="A2842" t="s">
        <v>4729</v>
      </c>
      <c r="B2842" t="str">
        <f>"002115"</f>
        <v>002115</v>
      </c>
      <c r="C2842" t="s">
        <v>6021</v>
      </c>
      <c r="D2842" t="s">
        <v>654</v>
      </c>
      <c r="F2842">
        <v>863731631</v>
      </c>
      <c r="G2842">
        <v>777958093</v>
      </c>
      <c r="H2842">
        <v>712959657</v>
      </c>
      <c r="I2842">
        <v>627498511</v>
      </c>
      <c r="J2842">
        <v>522325567</v>
      </c>
      <c r="K2842">
        <v>421978633</v>
      </c>
      <c r="L2842">
        <v>391993542</v>
      </c>
      <c r="M2842">
        <v>562818484</v>
      </c>
      <c r="N2842">
        <v>524137735</v>
      </c>
      <c r="O2842">
        <v>571601936</v>
      </c>
      <c r="P2842">
        <v>239</v>
      </c>
      <c r="Q2842" t="s">
        <v>6022</v>
      </c>
    </row>
    <row r="2843" spans="1:17" x14ac:dyDescent="0.3">
      <c r="A2843" t="s">
        <v>4729</v>
      </c>
      <c r="B2843" t="str">
        <f>"002116"</f>
        <v>002116</v>
      </c>
      <c r="C2843" t="s">
        <v>6023</v>
      </c>
      <c r="D2843" t="s">
        <v>1992</v>
      </c>
      <c r="F2843">
        <v>582327781</v>
      </c>
      <c r="G2843">
        <v>636155920</v>
      </c>
      <c r="H2843">
        <v>771879202</v>
      </c>
      <c r="I2843">
        <v>808398463</v>
      </c>
      <c r="J2843">
        <v>667916936</v>
      </c>
      <c r="K2843">
        <v>443111636</v>
      </c>
      <c r="L2843">
        <v>376794400</v>
      </c>
      <c r="M2843">
        <v>649437909</v>
      </c>
      <c r="N2843">
        <v>664401983</v>
      </c>
      <c r="O2843">
        <v>581163873</v>
      </c>
      <c r="P2843">
        <v>176</v>
      </c>
      <c r="Q2843" t="s">
        <v>6024</v>
      </c>
    </row>
    <row r="2844" spans="1:17" x14ac:dyDescent="0.3">
      <c r="A2844" t="s">
        <v>4729</v>
      </c>
      <c r="B2844" t="str">
        <f>"002117"</f>
        <v>002117</v>
      </c>
      <c r="C2844" t="s">
        <v>6025</v>
      </c>
      <c r="D2844" t="s">
        <v>1694</v>
      </c>
      <c r="F2844">
        <v>171872768</v>
      </c>
      <c r="G2844">
        <v>220287693</v>
      </c>
      <c r="H2844">
        <v>272173835</v>
      </c>
      <c r="I2844">
        <v>332268049</v>
      </c>
      <c r="J2844">
        <v>324915799</v>
      </c>
      <c r="K2844">
        <v>314918071</v>
      </c>
      <c r="L2844">
        <v>182828442</v>
      </c>
      <c r="M2844">
        <v>110559791</v>
      </c>
      <c r="N2844">
        <v>88515196</v>
      </c>
      <c r="O2844">
        <v>106809486</v>
      </c>
      <c r="P2844">
        <v>392</v>
      </c>
      <c r="Q2844" t="s">
        <v>6026</v>
      </c>
    </row>
    <row r="2845" spans="1:17" x14ac:dyDescent="0.3">
      <c r="A2845" t="s">
        <v>4729</v>
      </c>
      <c r="B2845" t="str">
        <f>"002118"</f>
        <v>002118</v>
      </c>
      <c r="C2845" t="s">
        <v>6027</v>
      </c>
      <c r="D2845" t="s">
        <v>188</v>
      </c>
      <c r="G2845">
        <v>971527561</v>
      </c>
      <c r="H2845">
        <v>1151930904</v>
      </c>
      <c r="I2845">
        <v>920635309</v>
      </c>
      <c r="J2845">
        <v>743993651</v>
      </c>
      <c r="K2845">
        <v>617268521</v>
      </c>
      <c r="L2845">
        <v>552494230</v>
      </c>
      <c r="M2845">
        <v>577315166</v>
      </c>
      <c r="N2845">
        <v>265639939</v>
      </c>
      <c r="O2845">
        <v>229540921</v>
      </c>
      <c r="P2845">
        <v>226</v>
      </c>
      <c r="Q2845" t="s">
        <v>6028</v>
      </c>
    </row>
    <row r="2846" spans="1:17" x14ac:dyDescent="0.3">
      <c r="A2846" t="s">
        <v>4729</v>
      </c>
      <c r="B2846" t="str">
        <f>"002119"</f>
        <v>002119</v>
      </c>
      <c r="C2846" t="s">
        <v>6029</v>
      </c>
      <c r="D2846" t="s">
        <v>475</v>
      </c>
      <c r="F2846">
        <v>435632308</v>
      </c>
      <c r="G2846">
        <v>376518796</v>
      </c>
      <c r="H2846">
        <v>359341265</v>
      </c>
      <c r="I2846">
        <v>326304384</v>
      </c>
      <c r="J2846">
        <v>350339252</v>
      </c>
      <c r="K2846">
        <v>285576527</v>
      </c>
      <c r="L2846">
        <v>238060743</v>
      </c>
      <c r="M2846">
        <v>257568549</v>
      </c>
      <c r="N2846">
        <v>260412593</v>
      </c>
      <c r="O2846">
        <v>301116941</v>
      </c>
      <c r="P2846">
        <v>214</v>
      </c>
      <c r="Q2846" t="s">
        <v>6030</v>
      </c>
    </row>
    <row r="2847" spans="1:17" x14ac:dyDescent="0.3">
      <c r="A2847" t="s">
        <v>4729</v>
      </c>
      <c r="B2847" t="str">
        <f>"002120"</f>
        <v>002120</v>
      </c>
      <c r="C2847" t="s">
        <v>6031</v>
      </c>
      <c r="D2847" t="s">
        <v>537</v>
      </c>
      <c r="F2847">
        <v>1506527743</v>
      </c>
      <c r="G2847">
        <v>676941411</v>
      </c>
      <c r="H2847">
        <v>688538383</v>
      </c>
      <c r="I2847">
        <v>536824909</v>
      </c>
      <c r="J2847">
        <v>326867781</v>
      </c>
      <c r="K2847">
        <v>261180137</v>
      </c>
      <c r="L2847">
        <v>170368942</v>
      </c>
      <c r="M2847">
        <v>167419894</v>
      </c>
      <c r="N2847">
        <v>164265890</v>
      </c>
      <c r="O2847">
        <v>132237179</v>
      </c>
      <c r="P2847">
        <v>1163</v>
      </c>
      <c r="Q2847" t="s">
        <v>6032</v>
      </c>
    </row>
    <row r="2848" spans="1:17" x14ac:dyDescent="0.3">
      <c r="A2848" t="s">
        <v>4729</v>
      </c>
      <c r="B2848" t="str">
        <f>"002121"</f>
        <v>002121</v>
      </c>
      <c r="C2848" t="s">
        <v>6033</v>
      </c>
      <c r="D2848" t="s">
        <v>2180</v>
      </c>
      <c r="F2848">
        <v>1412023516</v>
      </c>
      <c r="G2848">
        <v>1582146611</v>
      </c>
      <c r="H2848">
        <v>1660799249</v>
      </c>
      <c r="I2848">
        <v>2441697714</v>
      </c>
      <c r="J2848">
        <v>3292354347</v>
      </c>
      <c r="K2848">
        <v>2629116098</v>
      </c>
      <c r="L2848">
        <v>2124683498</v>
      </c>
      <c r="M2848">
        <v>1233346500</v>
      </c>
      <c r="N2848">
        <v>932236473</v>
      </c>
      <c r="O2848">
        <v>865765015</v>
      </c>
      <c r="P2848">
        <v>234</v>
      </c>
      <c r="Q2848" t="s">
        <v>6034</v>
      </c>
    </row>
    <row r="2849" spans="1:17" x14ac:dyDescent="0.3">
      <c r="A2849" t="s">
        <v>4729</v>
      </c>
      <c r="B2849" t="str">
        <f>"002122"</f>
        <v>002122</v>
      </c>
      <c r="C2849" t="s">
        <v>6035</v>
      </c>
      <c r="D2849" t="s">
        <v>274</v>
      </c>
      <c r="F2849">
        <v>148031138</v>
      </c>
      <c r="G2849">
        <v>172403600</v>
      </c>
      <c r="H2849">
        <v>171296762</v>
      </c>
      <c r="I2849">
        <v>800570304</v>
      </c>
      <c r="J2849">
        <v>767857911</v>
      </c>
      <c r="K2849">
        <v>1013758282</v>
      </c>
      <c r="L2849">
        <v>963492996</v>
      </c>
      <c r="M2849">
        <v>1058873360</v>
      </c>
      <c r="N2849">
        <v>1038495884</v>
      </c>
      <c r="O2849">
        <v>1069152267</v>
      </c>
      <c r="P2849">
        <v>69</v>
      </c>
      <c r="Q2849" t="s">
        <v>6036</v>
      </c>
    </row>
    <row r="2850" spans="1:17" x14ac:dyDescent="0.3">
      <c r="A2850" t="s">
        <v>4729</v>
      </c>
      <c r="B2850" t="str">
        <f>"002123"</f>
        <v>002123</v>
      </c>
      <c r="C2850" t="s">
        <v>6037</v>
      </c>
      <c r="D2850" t="s">
        <v>5670</v>
      </c>
      <c r="F2850">
        <v>1497290439</v>
      </c>
      <c r="G2850">
        <v>1103384289</v>
      </c>
      <c r="H2850">
        <v>1183711772</v>
      </c>
      <c r="I2850">
        <v>1587548908</v>
      </c>
      <c r="J2850">
        <v>1575953088</v>
      </c>
      <c r="K2850">
        <v>1642688071</v>
      </c>
      <c r="L2850">
        <v>1586304816</v>
      </c>
      <c r="M2850">
        <v>1077966375</v>
      </c>
      <c r="N2850">
        <v>1565351241</v>
      </c>
      <c r="O2850">
        <v>1346980225</v>
      </c>
      <c r="P2850">
        <v>364</v>
      </c>
      <c r="Q2850" t="s">
        <v>6038</v>
      </c>
    </row>
    <row r="2851" spans="1:17" x14ac:dyDescent="0.3">
      <c r="A2851" t="s">
        <v>4729</v>
      </c>
      <c r="B2851" t="str">
        <f>"002124"</f>
        <v>002124</v>
      </c>
      <c r="C2851" t="s">
        <v>6039</v>
      </c>
      <c r="D2851" t="s">
        <v>1900</v>
      </c>
      <c r="F2851">
        <v>51781875</v>
      </c>
      <c r="G2851">
        <v>171233937</v>
      </c>
      <c r="H2851">
        <v>50520981</v>
      </c>
      <c r="I2851">
        <v>56080704</v>
      </c>
      <c r="J2851">
        <v>46428769</v>
      </c>
      <c r="K2851">
        <v>128880137</v>
      </c>
      <c r="L2851">
        <v>44859534</v>
      </c>
      <c r="M2851">
        <v>80888825</v>
      </c>
      <c r="N2851">
        <v>37355981</v>
      </c>
      <c r="O2851">
        <v>73514859</v>
      </c>
      <c r="P2851">
        <v>922</v>
      </c>
      <c r="Q2851" t="s">
        <v>6040</v>
      </c>
    </row>
    <row r="2852" spans="1:17" x14ac:dyDescent="0.3">
      <c r="A2852" t="s">
        <v>4729</v>
      </c>
      <c r="B2852" t="str">
        <f>"002125"</f>
        <v>002125</v>
      </c>
      <c r="C2852" t="s">
        <v>6041</v>
      </c>
      <c r="D2852" t="s">
        <v>736</v>
      </c>
      <c r="F2852">
        <v>434057079</v>
      </c>
      <c r="G2852">
        <v>279407160</v>
      </c>
      <c r="H2852">
        <v>264783614</v>
      </c>
      <c r="I2852">
        <v>252668542</v>
      </c>
      <c r="J2852">
        <v>209962580</v>
      </c>
      <c r="K2852">
        <v>181073210</v>
      </c>
      <c r="L2852">
        <v>181214127</v>
      </c>
      <c r="M2852">
        <v>169302046</v>
      </c>
      <c r="N2852">
        <v>179630352</v>
      </c>
      <c r="O2852">
        <v>156087812</v>
      </c>
      <c r="P2852">
        <v>157</v>
      </c>
      <c r="Q2852" t="s">
        <v>6042</v>
      </c>
    </row>
    <row r="2853" spans="1:17" x14ac:dyDescent="0.3">
      <c r="A2853" t="s">
        <v>4729</v>
      </c>
      <c r="B2853" t="str">
        <f>"002126"</f>
        <v>002126</v>
      </c>
      <c r="C2853" t="s">
        <v>6043</v>
      </c>
      <c r="D2853" t="s">
        <v>348</v>
      </c>
      <c r="F2853">
        <v>2377991532</v>
      </c>
      <c r="G2853">
        <v>1990523339</v>
      </c>
      <c r="H2853">
        <v>1931604630</v>
      </c>
      <c r="I2853">
        <v>1650836735</v>
      </c>
      <c r="J2853">
        <v>1426304190</v>
      </c>
      <c r="K2853">
        <v>1036333975</v>
      </c>
      <c r="L2853">
        <v>809647117</v>
      </c>
      <c r="M2853">
        <v>668638801</v>
      </c>
      <c r="N2853">
        <v>607905989</v>
      </c>
      <c r="O2853">
        <v>456728899</v>
      </c>
      <c r="P2853">
        <v>450</v>
      </c>
      <c r="Q2853" t="s">
        <v>6044</v>
      </c>
    </row>
    <row r="2854" spans="1:17" x14ac:dyDescent="0.3">
      <c r="A2854" t="s">
        <v>4729</v>
      </c>
      <c r="B2854" t="str">
        <f>"002127"</f>
        <v>002127</v>
      </c>
      <c r="C2854" t="s">
        <v>6045</v>
      </c>
      <c r="D2854" t="s">
        <v>3617</v>
      </c>
      <c r="F2854">
        <v>916593493</v>
      </c>
      <c r="G2854">
        <v>1127253924</v>
      </c>
      <c r="H2854">
        <v>789704130</v>
      </c>
      <c r="I2854">
        <v>724583592</v>
      </c>
      <c r="J2854">
        <v>507638991</v>
      </c>
      <c r="K2854">
        <v>287851173</v>
      </c>
      <c r="L2854">
        <v>359834439</v>
      </c>
      <c r="M2854">
        <v>213051172</v>
      </c>
      <c r="N2854">
        <v>62999014</v>
      </c>
      <c r="O2854">
        <v>64760984</v>
      </c>
      <c r="P2854">
        <v>1745</v>
      </c>
      <c r="Q2854" t="s">
        <v>6046</v>
      </c>
    </row>
    <row r="2855" spans="1:17" x14ac:dyDescent="0.3">
      <c r="A2855" t="s">
        <v>4729</v>
      </c>
      <c r="B2855" t="str">
        <f>"002128"</f>
        <v>002128</v>
      </c>
      <c r="C2855" t="s">
        <v>6047</v>
      </c>
      <c r="D2855" t="s">
        <v>292</v>
      </c>
      <c r="F2855">
        <v>2854184892</v>
      </c>
      <c r="G2855">
        <v>1887401122</v>
      </c>
      <c r="H2855">
        <v>1855092646</v>
      </c>
      <c r="I2855">
        <v>2686578771</v>
      </c>
      <c r="J2855">
        <v>2067980846</v>
      </c>
      <c r="K2855">
        <v>1680679411</v>
      </c>
      <c r="L2855">
        <v>1530760182</v>
      </c>
      <c r="M2855">
        <v>1551228854</v>
      </c>
      <c r="N2855">
        <v>1373171018</v>
      </c>
      <c r="O2855">
        <v>1307114666</v>
      </c>
      <c r="P2855">
        <v>1050</v>
      </c>
      <c r="Q2855" t="s">
        <v>6048</v>
      </c>
    </row>
    <row r="2856" spans="1:17" x14ac:dyDescent="0.3">
      <c r="A2856" t="s">
        <v>4729</v>
      </c>
      <c r="B2856" t="str">
        <f>"002129"</f>
        <v>002129</v>
      </c>
      <c r="C2856" t="s">
        <v>6049</v>
      </c>
      <c r="D2856" t="s">
        <v>929</v>
      </c>
      <c r="F2856">
        <v>3085252984</v>
      </c>
      <c r="G2856">
        <v>2083737994</v>
      </c>
      <c r="H2856">
        <v>2451158754</v>
      </c>
      <c r="I2856">
        <v>2721359500</v>
      </c>
      <c r="J2856">
        <v>1354316643</v>
      </c>
      <c r="K2856">
        <v>973746632</v>
      </c>
      <c r="L2856">
        <v>1130717482</v>
      </c>
      <c r="M2856">
        <v>1093643999</v>
      </c>
      <c r="N2856">
        <v>1015198861</v>
      </c>
      <c r="O2856">
        <v>910964070</v>
      </c>
      <c r="P2856">
        <v>1522</v>
      </c>
      <c r="Q2856" t="s">
        <v>6050</v>
      </c>
    </row>
    <row r="2857" spans="1:17" x14ac:dyDescent="0.3">
      <c r="A2857" t="s">
        <v>4729</v>
      </c>
      <c r="B2857" t="str">
        <f>"002130"</f>
        <v>002130</v>
      </c>
      <c r="C2857" t="s">
        <v>6051</v>
      </c>
      <c r="D2857" t="s">
        <v>651</v>
      </c>
      <c r="F2857">
        <v>1740753189</v>
      </c>
      <c r="G2857">
        <v>1471548991</v>
      </c>
      <c r="H2857">
        <v>1367066877</v>
      </c>
      <c r="I2857">
        <v>1355986338</v>
      </c>
      <c r="J2857">
        <v>892536134</v>
      </c>
      <c r="K2857">
        <v>656248835</v>
      </c>
      <c r="L2857">
        <v>524986535</v>
      </c>
      <c r="M2857">
        <v>484433751</v>
      </c>
      <c r="N2857">
        <v>329025702</v>
      </c>
      <c r="O2857">
        <v>331426103</v>
      </c>
      <c r="P2857">
        <v>266</v>
      </c>
      <c r="Q2857" t="s">
        <v>6052</v>
      </c>
    </row>
    <row r="2858" spans="1:17" x14ac:dyDescent="0.3">
      <c r="A2858" t="s">
        <v>4729</v>
      </c>
      <c r="B2858" t="str">
        <f>"002131"</f>
        <v>002131</v>
      </c>
      <c r="C2858" t="s">
        <v>6053</v>
      </c>
      <c r="D2858" t="s">
        <v>207</v>
      </c>
      <c r="F2858">
        <v>4698998660</v>
      </c>
      <c r="G2858">
        <v>5060032849</v>
      </c>
      <c r="H2858">
        <v>3911993430</v>
      </c>
      <c r="I2858">
        <v>4471730457</v>
      </c>
      <c r="J2858">
        <v>4238904761</v>
      </c>
      <c r="K2858">
        <v>2812089692</v>
      </c>
      <c r="L2858">
        <v>1967701269</v>
      </c>
      <c r="M2858">
        <v>1461078437</v>
      </c>
      <c r="N2858">
        <v>641839996</v>
      </c>
      <c r="O2858">
        <v>512748804</v>
      </c>
      <c r="P2858">
        <v>417</v>
      </c>
      <c r="Q2858" t="s">
        <v>6054</v>
      </c>
    </row>
    <row r="2859" spans="1:17" x14ac:dyDescent="0.3">
      <c r="A2859" t="s">
        <v>4729</v>
      </c>
      <c r="B2859" t="str">
        <f>"002132"</f>
        <v>002132</v>
      </c>
      <c r="C2859" t="s">
        <v>6055</v>
      </c>
      <c r="D2859" t="s">
        <v>274</v>
      </c>
      <c r="F2859">
        <v>849841912</v>
      </c>
      <c r="G2859">
        <v>772771290</v>
      </c>
      <c r="H2859">
        <v>853396591</v>
      </c>
      <c r="I2859">
        <v>784738322</v>
      </c>
      <c r="J2859">
        <v>736349820</v>
      </c>
      <c r="K2859">
        <v>609519462</v>
      </c>
      <c r="L2859">
        <v>567946338</v>
      </c>
      <c r="M2859">
        <v>550512535</v>
      </c>
      <c r="N2859">
        <v>501674540</v>
      </c>
      <c r="O2859">
        <v>524525587</v>
      </c>
      <c r="P2859">
        <v>127</v>
      </c>
      <c r="Q2859" t="s">
        <v>6056</v>
      </c>
    </row>
    <row r="2860" spans="1:17" x14ac:dyDescent="0.3">
      <c r="A2860" t="s">
        <v>4729</v>
      </c>
      <c r="B2860" t="str">
        <f>"002133"</f>
        <v>002133</v>
      </c>
      <c r="C2860" t="s">
        <v>6057</v>
      </c>
      <c r="D2860" t="s">
        <v>104</v>
      </c>
      <c r="F2860">
        <v>62750262</v>
      </c>
      <c r="G2860">
        <v>33644179</v>
      </c>
      <c r="H2860">
        <v>56228891</v>
      </c>
      <c r="I2860">
        <v>41003896</v>
      </c>
      <c r="J2860">
        <v>15560685</v>
      </c>
      <c r="K2860">
        <v>27063426</v>
      </c>
      <c r="L2860">
        <v>9060026</v>
      </c>
      <c r="M2860">
        <v>11099526</v>
      </c>
      <c r="N2860">
        <v>9853123</v>
      </c>
      <c r="O2860">
        <v>815349</v>
      </c>
      <c r="P2860">
        <v>132</v>
      </c>
      <c r="Q2860" t="s">
        <v>6058</v>
      </c>
    </row>
    <row r="2861" spans="1:17" x14ac:dyDescent="0.3">
      <c r="A2861" t="s">
        <v>4729</v>
      </c>
      <c r="B2861" t="str">
        <f>"002134"</f>
        <v>002134</v>
      </c>
      <c r="C2861" t="s">
        <v>6059</v>
      </c>
      <c r="D2861" t="s">
        <v>425</v>
      </c>
      <c r="F2861">
        <v>191791442</v>
      </c>
      <c r="G2861">
        <v>139661483</v>
      </c>
      <c r="H2861">
        <v>134716519</v>
      </c>
      <c r="I2861">
        <v>108839169</v>
      </c>
      <c r="J2861">
        <v>112569415</v>
      </c>
      <c r="K2861">
        <v>101108438</v>
      </c>
      <c r="L2861">
        <v>103389277</v>
      </c>
      <c r="M2861">
        <v>152937183</v>
      </c>
      <c r="N2861">
        <v>147924758</v>
      </c>
      <c r="O2861">
        <v>128875476</v>
      </c>
      <c r="P2861">
        <v>119</v>
      </c>
      <c r="Q2861" t="s">
        <v>6060</v>
      </c>
    </row>
    <row r="2862" spans="1:17" x14ac:dyDescent="0.3">
      <c r="A2862" t="s">
        <v>4729</v>
      </c>
      <c r="B2862" t="str">
        <f>"002135"</f>
        <v>002135</v>
      </c>
      <c r="C2862" t="s">
        <v>6061</v>
      </c>
      <c r="D2862" t="s">
        <v>978</v>
      </c>
      <c r="F2862">
        <v>3851842828</v>
      </c>
      <c r="G2862">
        <v>3153165692</v>
      </c>
      <c r="H2862">
        <v>3155632358</v>
      </c>
      <c r="I2862">
        <v>2798783922</v>
      </c>
      <c r="J2862">
        <v>3028550863</v>
      </c>
      <c r="K2862">
        <v>2821428532</v>
      </c>
      <c r="L2862">
        <v>2619971270</v>
      </c>
      <c r="M2862">
        <v>2068056397</v>
      </c>
      <c r="N2862">
        <v>1719772031</v>
      </c>
      <c r="O2862">
        <v>1742994510</v>
      </c>
      <c r="P2862">
        <v>163</v>
      </c>
      <c r="Q2862" t="s">
        <v>6062</v>
      </c>
    </row>
    <row r="2863" spans="1:17" x14ac:dyDescent="0.3">
      <c r="A2863" t="s">
        <v>4729</v>
      </c>
      <c r="B2863" t="str">
        <f>"002136"</f>
        <v>002136</v>
      </c>
      <c r="C2863" t="s">
        <v>6063</v>
      </c>
      <c r="D2863" t="s">
        <v>1474</v>
      </c>
      <c r="F2863">
        <v>84558279</v>
      </c>
      <c r="G2863">
        <v>60450242</v>
      </c>
      <c r="H2863">
        <v>45662077</v>
      </c>
      <c r="I2863">
        <v>67575329</v>
      </c>
      <c r="J2863">
        <v>49571182</v>
      </c>
      <c r="K2863">
        <v>34950425</v>
      </c>
      <c r="L2863">
        <v>48145684</v>
      </c>
      <c r="M2863">
        <v>32115687</v>
      </c>
      <c r="N2863">
        <v>29167017</v>
      </c>
      <c r="O2863">
        <v>7160517</v>
      </c>
      <c r="P2863">
        <v>131</v>
      </c>
      <c r="Q2863" t="s">
        <v>6064</v>
      </c>
    </row>
    <row r="2864" spans="1:17" x14ac:dyDescent="0.3">
      <c r="A2864" t="s">
        <v>4729</v>
      </c>
      <c r="B2864" t="str">
        <f>"002137"</f>
        <v>002137</v>
      </c>
      <c r="C2864" t="s">
        <v>6065</v>
      </c>
      <c r="D2864" t="s">
        <v>207</v>
      </c>
      <c r="F2864">
        <v>225519003</v>
      </c>
      <c r="G2864">
        <v>199102740</v>
      </c>
      <c r="H2864">
        <v>235541121</v>
      </c>
      <c r="I2864">
        <v>215080139</v>
      </c>
      <c r="J2864">
        <v>286287872</v>
      </c>
      <c r="K2864">
        <v>249531421</v>
      </c>
      <c r="L2864">
        <v>225528013</v>
      </c>
      <c r="M2864">
        <v>141588680</v>
      </c>
      <c r="N2864">
        <v>106839356</v>
      </c>
      <c r="O2864">
        <v>178659836</v>
      </c>
      <c r="P2864">
        <v>148</v>
      </c>
      <c r="Q2864" t="s">
        <v>6066</v>
      </c>
    </row>
    <row r="2865" spans="1:17" x14ac:dyDescent="0.3">
      <c r="A2865" t="s">
        <v>4729</v>
      </c>
      <c r="B2865" t="str">
        <f>"002138"</f>
        <v>002138</v>
      </c>
      <c r="C2865" t="s">
        <v>6067</v>
      </c>
      <c r="D2865" t="s">
        <v>546</v>
      </c>
      <c r="F2865">
        <v>1421976508</v>
      </c>
      <c r="G2865">
        <v>1265068333</v>
      </c>
      <c r="H2865">
        <v>985585726</v>
      </c>
      <c r="I2865">
        <v>788364437</v>
      </c>
      <c r="J2865">
        <v>736221559</v>
      </c>
      <c r="K2865">
        <v>675368436</v>
      </c>
      <c r="L2865">
        <v>493401393</v>
      </c>
      <c r="M2865">
        <v>385340054</v>
      </c>
      <c r="N2865">
        <v>309828168</v>
      </c>
      <c r="O2865">
        <v>237499362</v>
      </c>
      <c r="P2865">
        <v>1065</v>
      </c>
      <c r="Q2865" t="s">
        <v>6068</v>
      </c>
    </row>
    <row r="2866" spans="1:17" x14ac:dyDescent="0.3">
      <c r="A2866" t="s">
        <v>4729</v>
      </c>
      <c r="B2866" t="str">
        <f>"002139"</f>
        <v>002139</v>
      </c>
      <c r="C2866" t="s">
        <v>6069</v>
      </c>
      <c r="D2866" t="s">
        <v>313</v>
      </c>
      <c r="F2866">
        <v>2188161465</v>
      </c>
      <c r="G2866">
        <v>1701111154</v>
      </c>
      <c r="H2866">
        <v>1344601326</v>
      </c>
      <c r="I2866">
        <v>921176559</v>
      </c>
      <c r="J2866">
        <v>666256764</v>
      </c>
      <c r="K2866">
        <v>556618646</v>
      </c>
      <c r="L2866">
        <v>384391519</v>
      </c>
      <c r="M2866">
        <v>314157402</v>
      </c>
      <c r="N2866">
        <v>260306495</v>
      </c>
      <c r="O2866">
        <v>249099015</v>
      </c>
      <c r="P2866">
        <v>919</v>
      </c>
      <c r="Q2866" t="s">
        <v>6070</v>
      </c>
    </row>
    <row r="2867" spans="1:17" x14ac:dyDescent="0.3">
      <c r="A2867" t="s">
        <v>4729</v>
      </c>
      <c r="B2867" t="str">
        <f>"002140"</f>
        <v>002140</v>
      </c>
      <c r="C2867" t="s">
        <v>6071</v>
      </c>
      <c r="D2867" t="s">
        <v>2025</v>
      </c>
      <c r="F2867">
        <v>509356727</v>
      </c>
      <c r="G2867">
        <v>620105011</v>
      </c>
      <c r="H2867">
        <v>956936710</v>
      </c>
      <c r="I2867">
        <v>650909117</v>
      </c>
      <c r="J2867">
        <v>650158782</v>
      </c>
      <c r="K2867">
        <v>684714292</v>
      </c>
      <c r="L2867">
        <v>597621660</v>
      </c>
      <c r="M2867">
        <v>871646958</v>
      </c>
      <c r="N2867">
        <v>788811161</v>
      </c>
      <c r="O2867">
        <v>305707759</v>
      </c>
      <c r="P2867">
        <v>129</v>
      </c>
      <c r="Q2867" t="s">
        <v>6072</v>
      </c>
    </row>
    <row r="2868" spans="1:17" x14ac:dyDescent="0.3">
      <c r="A2868" t="s">
        <v>4729</v>
      </c>
      <c r="B2868" t="str">
        <f>"002141"</f>
        <v>002141</v>
      </c>
      <c r="C2868" t="s">
        <v>6073</v>
      </c>
      <c r="D2868" t="s">
        <v>651</v>
      </c>
      <c r="F2868">
        <v>220228508</v>
      </c>
      <c r="G2868">
        <v>235599855</v>
      </c>
      <c r="H2868">
        <v>187156626</v>
      </c>
      <c r="I2868">
        <v>185140528</v>
      </c>
      <c r="J2868">
        <v>241350819</v>
      </c>
      <c r="K2868">
        <v>190975739</v>
      </c>
      <c r="L2868">
        <v>126462232</v>
      </c>
      <c r="M2868">
        <v>158594791</v>
      </c>
      <c r="N2868">
        <v>195499505</v>
      </c>
      <c r="O2868">
        <v>177017096</v>
      </c>
      <c r="P2868">
        <v>74</v>
      </c>
      <c r="Q2868" t="s">
        <v>6074</v>
      </c>
    </row>
    <row r="2869" spans="1:17" x14ac:dyDescent="0.3">
      <c r="A2869" t="s">
        <v>4729</v>
      </c>
      <c r="B2869" t="str">
        <f>"002142"</f>
        <v>002142</v>
      </c>
      <c r="C2869" t="s">
        <v>6075</v>
      </c>
      <c r="D2869" t="s">
        <v>1842</v>
      </c>
      <c r="P2869">
        <v>59332</v>
      </c>
      <c r="Q2869" t="s">
        <v>6076</v>
      </c>
    </row>
    <row r="2870" spans="1:17" x14ac:dyDescent="0.3">
      <c r="A2870" t="s">
        <v>4729</v>
      </c>
      <c r="B2870" t="str">
        <f>"002143"</f>
        <v>002143</v>
      </c>
      <c r="C2870" t="s">
        <v>6077</v>
      </c>
      <c r="I2870">
        <v>1043092512</v>
      </c>
      <c r="J2870">
        <v>2155237286</v>
      </c>
      <c r="K2870">
        <v>1562461028</v>
      </c>
      <c r="L2870">
        <v>1258085868</v>
      </c>
      <c r="M2870">
        <v>1195394175</v>
      </c>
      <c r="N2870">
        <v>74544890</v>
      </c>
      <c r="O2870">
        <v>53105157</v>
      </c>
      <c r="P2870">
        <v>59</v>
      </c>
      <c r="Q2870" t="s">
        <v>6078</v>
      </c>
    </row>
    <row r="2871" spans="1:17" x14ac:dyDescent="0.3">
      <c r="A2871" t="s">
        <v>4729</v>
      </c>
      <c r="B2871" t="str">
        <f>"002144"</f>
        <v>002144</v>
      </c>
      <c r="C2871" t="s">
        <v>6079</v>
      </c>
      <c r="D2871" t="s">
        <v>366</v>
      </c>
      <c r="F2871">
        <v>119535881</v>
      </c>
      <c r="G2871">
        <v>92004421</v>
      </c>
      <c r="H2871">
        <v>101327772</v>
      </c>
      <c r="I2871">
        <v>140008279</v>
      </c>
      <c r="J2871">
        <v>171454459</v>
      </c>
      <c r="K2871">
        <v>133995591</v>
      </c>
      <c r="L2871">
        <v>134603035</v>
      </c>
      <c r="M2871">
        <v>102477569</v>
      </c>
      <c r="N2871">
        <v>114036196</v>
      </c>
      <c r="O2871">
        <v>125688983</v>
      </c>
      <c r="P2871">
        <v>115</v>
      </c>
      <c r="Q2871" t="s">
        <v>6080</v>
      </c>
    </row>
    <row r="2872" spans="1:17" x14ac:dyDescent="0.3">
      <c r="A2872" t="s">
        <v>4729</v>
      </c>
      <c r="B2872" t="str">
        <f>"002145"</f>
        <v>002145</v>
      </c>
      <c r="C2872" t="s">
        <v>6081</v>
      </c>
      <c r="D2872" t="s">
        <v>1474</v>
      </c>
      <c r="F2872">
        <v>806007557</v>
      </c>
      <c r="G2872">
        <v>426855168</v>
      </c>
      <c r="H2872">
        <v>421488477</v>
      </c>
      <c r="I2872">
        <v>397564300</v>
      </c>
      <c r="J2872">
        <v>367479692</v>
      </c>
      <c r="K2872">
        <v>256324469</v>
      </c>
      <c r="L2872">
        <v>353756972</v>
      </c>
      <c r="M2872">
        <v>308787174</v>
      </c>
      <c r="N2872">
        <v>147600296</v>
      </c>
      <c r="O2872">
        <v>42475476</v>
      </c>
      <c r="P2872">
        <v>284</v>
      </c>
      <c r="Q2872" t="s">
        <v>6082</v>
      </c>
    </row>
    <row r="2873" spans="1:17" x14ac:dyDescent="0.3">
      <c r="A2873" t="s">
        <v>4729</v>
      </c>
      <c r="B2873" t="str">
        <f>"002146"</f>
        <v>002146</v>
      </c>
      <c r="C2873" t="s">
        <v>6083</v>
      </c>
      <c r="D2873" t="s">
        <v>104</v>
      </c>
      <c r="F2873">
        <v>6472832025</v>
      </c>
      <c r="G2873">
        <v>5399328683</v>
      </c>
      <c r="H2873">
        <v>4191974938</v>
      </c>
      <c r="I2873">
        <v>2921544171</v>
      </c>
      <c r="J2873">
        <v>783220837</v>
      </c>
      <c r="K2873">
        <v>405250871</v>
      </c>
      <c r="L2873">
        <v>628990469</v>
      </c>
      <c r="M2873">
        <v>266362185</v>
      </c>
      <c r="N2873">
        <v>115218999</v>
      </c>
      <c r="O2873">
        <v>113640252</v>
      </c>
      <c r="P2873">
        <v>12588</v>
      </c>
      <c r="Q2873" t="s">
        <v>6084</v>
      </c>
    </row>
    <row r="2874" spans="1:17" x14ac:dyDescent="0.3">
      <c r="A2874" t="s">
        <v>4729</v>
      </c>
      <c r="B2874" t="str">
        <f>"002147"</f>
        <v>002147</v>
      </c>
      <c r="C2874" t="s">
        <v>6085</v>
      </c>
      <c r="D2874" t="s">
        <v>560</v>
      </c>
      <c r="F2874">
        <v>116539947</v>
      </c>
      <c r="G2874">
        <v>203105502</v>
      </c>
      <c r="H2874">
        <v>160131859</v>
      </c>
      <c r="I2874">
        <v>175430106</v>
      </c>
      <c r="J2874">
        <v>657413734</v>
      </c>
      <c r="K2874">
        <v>233807847</v>
      </c>
      <c r="L2874">
        <v>227982292</v>
      </c>
      <c r="M2874">
        <v>233050366</v>
      </c>
      <c r="N2874">
        <v>215270617</v>
      </c>
      <c r="O2874">
        <v>187785608</v>
      </c>
      <c r="P2874">
        <v>94</v>
      </c>
      <c r="Q2874" t="s">
        <v>6086</v>
      </c>
    </row>
    <row r="2875" spans="1:17" x14ac:dyDescent="0.3">
      <c r="A2875" t="s">
        <v>4729</v>
      </c>
      <c r="B2875" t="str">
        <f>"002148"</f>
        <v>002148</v>
      </c>
      <c r="C2875" t="s">
        <v>6087</v>
      </c>
      <c r="D2875" t="s">
        <v>5670</v>
      </c>
      <c r="F2875">
        <v>19600751</v>
      </c>
      <c r="G2875">
        <v>22227258</v>
      </c>
      <c r="H2875">
        <v>27058911</v>
      </c>
      <c r="I2875">
        <v>27087199</v>
      </c>
      <c r="J2875">
        <v>43816814</v>
      </c>
      <c r="K2875">
        <v>33687045</v>
      </c>
      <c r="L2875">
        <v>55267917</v>
      </c>
      <c r="M2875">
        <v>71156603</v>
      </c>
      <c r="N2875">
        <v>62592570</v>
      </c>
      <c r="O2875">
        <v>59852806</v>
      </c>
      <c r="P2875">
        <v>103</v>
      </c>
      <c r="Q2875" t="s">
        <v>6088</v>
      </c>
    </row>
    <row r="2876" spans="1:17" x14ac:dyDescent="0.3">
      <c r="A2876" t="s">
        <v>4729</v>
      </c>
      <c r="B2876" t="str">
        <f>"002149"</f>
        <v>002149</v>
      </c>
      <c r="C2876" t="s">
        <v>6089</v>
      </c>
      <c r="D2876" t="s">
        <v>636</v>
      </c>
      <c r="F2876">
        <v>772340836</v>
      </c>
      <c r="G2876">
        <v>654022150</v>
      </c>
      <c r="H2876">
        <v>482907044</v>
      </c>
      <c r="I2876">
        <v>615755194</v>
      </c>
      <c r="J2876">
        <v>501220714</v>
      </c>
      <c r="K2876">
        <v>339257346</v>
      </c>
      <c r="L2876">
        <v>275864247</v>
      </c>
      <c r="M2876">
        <v>321120324</v>
      </c>
      <c r="N2876">
        <v>244804498</v>
      </c>
      <c r="O2876">
        <v>241755089</v>
      </c>
      <c r="P2876">
        <v>259</v>
      </c>
      <c r="Q2876" t="s">
        <v>6090</v>
      </c>
    </row>
    <row r="2877" spans="1:17" x14ac:dyDescent="0.3">
      <c r="A2877" t="s">
        <v>4729</v>
      </c>
      <c r="B2877" t="str">
        <f>"002150"</f>
        <v>002150</v>
      </c>
      <c r="C2877" t="s">
        <v>6091</v>
      </c>
      <c r="D2877" t="s">
        <v>274</v>
      </c>
      <c r="F2877">
        <v>327691590</v>
      </c>
      <c r="G2877">
        <v>202179112</v>
      </c>
      <c r="H2877">
        <v>219061495</v>
      </c>
      <c r="I2877">
        <v>206567399</v>
      </c>
      <c r="J2877">
        <v>189737775</v>
      </c>
      <c r="K2877">
        <v>181769424</v>
      </c>
      <c r="L2877">
        <v>184843980</v>
      </c>
      <c r="M2877">
        <v>211431754</v>
      </c>
      <c r="N2877">
        <v>182117294</v>
      </c>
      <c r="O2877">
        <v>158520247</v>
      </c>
      <c r="P2877">
        <v>103</v>
      </c>
      <c r="Q2877" t="s">
        <v>6092</v>
      </c>
    </row>
    <row r="2878" spans="1:17" x14ac:dyDescent="0.3">
      <c r="A2878" t="s">
        <v>4729</v>
      </c>
      <c r="B2878" t="str">
        <f>"002151"</f>
        <v>002151</v>
      </c>
      <c r="C2878" t="s">
        <v>6093</v>
      </c>
      <c r="D2878" t="s">
        <v>1136</v>
      </c>
      <c r="F2878">
        <v>814035860</v>
      </c>
      <c r="G2878">
        <v>866301230</v>
      </c>
      <c r="H2878">
        <v>1039710027</v>
      </c>
      <c r="I2878">
        <v>1011343172</v>
      </c>
      <c r="J2878">
        <v>1070033196</v>
      </c>
      <c r="K2878">
        <v>748509138</v>
      </c>
      <c r="L2878">
        <v>523998510</v>
      </c>
      <c r="M2878">
        <v>411102400</v>
      </c>
      <c r="N2878">
        <v>316653270</v>
      </c>
      <c r="O2878">
        <v>264814931</v>
      </c>
      <c r="P2878">
        <v>3423</v>
      </c>
      <c r="Q2878" t="s">
        <v>6094</v>
      </c>
    </row>
    <row r="2879" spans="1:17" x14ac:dyDescent="0.3">
      <c r="A2879" t="s">
        <v>4729</v>
      </c>
      <c r="B2879" t="str">
        <f>"002152"</f>
        <v>002152</v>
      </c>
      <c r="C2879" t="s">
        <v>6095</v>
      </c>
      <c r="D2879" t="s">
        <v>236</v>
      </c>
      <c r="F2879">
        <v>1600880423</v>
      </c>
      <c r="G2879">
        <v>1657501955</v>
      </c>
      <c r="H2879">
        <v>1518071334</v>
      </c>
      <c r="I2879">
        <v>1311545965</v>
      </c>
      <c r="J2879">
        <v>800262575</v>
      </c>
      <c r="K2879">
        <v>756917857</v>
      </c>
      <c r="L2879">
        <v>793698335</v>
      </c>
      <c r="M2879">
        <v>601068368</v>
      </c>
      <c r="N2879">
        <v>713886766</v>
      </c>
      <c r="O2879">
        <v>644263001</v>
      </c>
      <c r="P2879">
        <v>16880</v>
      </c>
      <c r="Q2879" t="s">
        <v>6096</v>
      </c>
    </row>
    <row r="2880" spans="1:17" x14ac:dyDescent="0.3">
      <c r="A2880" t="s">
        <v>4729</v>
      </c>
      <c r="B2880" t="str">
        <f>"002153"</f>
        <v>002153</v>
      </c>
      <c r="C2880" t="s">
        <v>6097</v>
      </c>
      <c r="D2880" t="s">
        <v>945</v>
      </c>
      <c r="F2880">
        <v>629060406</v>
      </c>
      <c r="G2880">
        <v>670464268</v>
      </c>
      <c r="H2880">
        <v>633550699</v>
      </c>
      <c r="I2880">
        <v>465204003</v>
      </c>
      <c r="J2880">
        <v>441234382</v>
      </c>
      <c r="K2880">
        <v>342576440</v>
      </c>
      <c r="L2880">
        <v>258440366</v>
      </c>
      <c r="M2880">
        <v>248177875</v>
      </c>
      <c r="N2880">
        <v>266603299</v>
      </c>
      <c r="O2880">
        <v>158286356</v>
      </c>
      <c r="P2880">
        <v>679</v>
      </c>
      <c r="Q2880" t="s">
        <v>6098</v>
      </c>
    </row>
    <row r="2881" spans="1:17" x14ac:dyDescent="0.3">
      <c r="A2881" t="s">
        <v>4729</v>
      </c>
      <c r="B2881" t="str">
        <f>"002154"</f>
        <v>002154</v>
      </c>
      <c r="C2881" t="s">
        <v>6099</v>
      </c>
      <c r="D2881" t="s">
        <v>255</v>
      </c>
      <c r="F2881">
        <v>574442434</v>
      </c>
      <c r="G2881">
        <v>547950555</v>
      </c>
      <c r="H2881">
        <v>392594285</v>
      </c>
      <c r="I2881">
        <v>389913569</v>
      </c>
      <c r="J2881">
        <v>383460524</v>
      </c>
      <c r="K2881">
        <v>414489609</v>
      </c>
      <c r="L2881">
        <v>531145140</v>
      </c>
      <c r="M2881">
        <v>511128528</v>
      </c>
      <c r="N2881">
        <v>528993597</v>
      </c>
      <c r="O2881">
        <v>827805490</v>
      </c>
      <c r="P2881">
        <v>204</v>
      </c>
      <c r="Q2881" t="s">
        <v>6100</v>
      </c>
    </row>
    <row r="2882" spans="1:17" x14ac:dyDescent="0.3">
      <c r="A2882" t="s">
        <v>4729</v>
      </c>
      <c r="B2882" t="str">
        <f>"002155"</f>
        <v>002155</v>
      </c>
      <c r="C2882" t="s">
        <v>6101</v>
      </c>
      <c r="D2882" t="s">
        <v>701</v>
      </c>
      <c r="F2882">
        <v>98122846</v>
      </c>
      <c r="G2882">
        <v>85948108</v>
      </c>
      <c r="H2882">
        <v>149595618</v>
      </c>
      <c r="I2882">
        <v>144743867</v>
      </c>
      <c r="J2882">
        <v>189752946</v>
      </c>
      <c r="K2882">
        <v>178846001</v>
      </c>
      <c r="L2882">
        <v>149104886</v>
      </c>
      <c r="M2882">
        <v>197499344</v>
      </c>
      <c r="N2882">
        <v>169012585</v>
      </c>
      <c r="O2882">
        <v>112108280</v>
      </c>
      <c r="P2882">
        <v>219</v>
      </c>
      <c r="Q2882" t="s">
        <v>6102</v>
      </c>
    </row>
    <row r="2883" spans="1:17" x14ac:dyDescent="0.3">
      <c r="A2883" t="s">
        <v>4729</v>
      </c>
      <c r="B2883" t="str">
        <f>"002156"</f>
        <v>002156</v>
      </c>
      <c r="C2883" t="s">
        <v>6103</v>
      </c>
      <c r="D2883" t="s">
        <v>1180</v>
      </c>
      <c r="F2883">
        <v>2250664550</v>
      </c>
      <c r="G2883">
        <v>1793744741</v>
      </c>
      <c r="H2883">
        <v>1611759825</v>
      </c>
      <c r="I2883">
        <v>1669881265</v>
      </c>
      <c r="J2883">
        <v>1550115422</v>
      </c>
      <c r="K2883">
        <v>1233546448</v>
      </c>
      <c r="L2883">
        <v>492286701</v>
      </c>
      <c r="M2883">
        <v>400956295</v>
      </c>
      <c r="N2883">
        <v>337727466</v>
      </c>
      <c r="O2883">
        <v>326140246</v>
      </c>
      <c r="P2883">
        <v>770</v>
      </c>
      <c r="Q2883" t="s">
        <v>6104</v>
      </c>
    </row>
    <row r="2884" spans="1:17" x14ac:dyDescent="0.3">
      <c r="A2884" t="s">
        <v>4729</v>
      </c>
      <c r="B2884" t="str">
        <f>"002157"</f>
        <v>002157</v>
      </c>
      <c r="C2884" t="s">
        <v>6105</v>
      </c>
      <c r="D2884" t="s">
        <v>1900</v>
      </c>
      <c r="F2884">
        <v>361682325</v>
      </c>
      <c r="G2884">
        <v>286777718</v>
      </c>
      <c r="H2884">
        <v>210776250</v>
      </c>
      <c r="I2884">
        <v>499653336</v>
      </c>
      <c r="J2884">
        <v>386303833</v>
      </c>
      <c r="K2884">
        <v>459749937</v>
      </c>
      <c r="L2884">
        <v>432990122</v>
      </c>
      <c r="M2884">
        <v>212352098</v>
      </c>
      <c r="N2884">
        <v>272590803</v>
      </c>
      <c r="O2884">
        <v>164188356</v>
      </c>
      <c r="P2884">
        <v>1128</v>
      </c>
      <c r="Q2884" t="s">
        <v>6106</v>
      </c>
    </row>
    <row r="2885" spans="1:17" x14ac:dyDescent="0.3">
      <c r="A2885" t="s">
        <v>4729</v>
      </c>
      <c r="B2885" t="str">
        <f>"002158"</f>
        <v>002158</v>
      </c>
      <c r="C2885" t="s">
        <v>6107</v>
      </c>
      <c r="D2885" t="s">
        <v>988</v>
      </c>
      <c r="F2885">
        <v>421653546</v>
      </c>
      <c r="G2885">
        <v>372130544</v>
      </c>
      <c r="H2885">
        <v>421597789</v>
      </c>
      <c r="I2885">
        <v>391303607</v>
      </c>
      <c r="J2885">
        <v>285122642</v>
      </c>
      <c r="K2885">
        <v>148678560</v>
      </c>
      <c r="L2885">
        <v>150322115</v>
      </c>
      <c r="M2885">
        <v>143906944</v>
      </c>
      <c r="N2885">
        <v>113990458</v>
      </c>
      <c r="O2885">
        <v>115889552</v>
      </c>
      <c r="P2885">
        <v>478</v>
      </c>
      <c r="Q2885" t="s">
        <v>6108</v>
      </c>
    </row>
    <row r="2886" spans="1:17" x14ac:dyDescent="0.3">
      <c r="A2886" t="s">
        <v>4729</v>
      </c>
      <c r="B2886" t="str">
        <f>"002159"</f>
        <v>002159</v>
      </c>
      <c r="C2886" t="s">
        <v>6109</v>
      </c>
      <c r="D2886" t="s">
        <v>119</v>
      </c>
      <c r="F2886">
        <v>11267323</v>
      </c>
      <c r="G2886">
        <v>7603392</v>
      </c>
      <c r="H2886">
        <v>17753535</v>
      </c>
      <c r="I2886">
        <v>10024778</v>
      </c>
      <c r="J2886">
        <v>10520203</v>
      </c>
      <c r="K2886">
        <v>11068412</v>
      </c>
      <c r="L2886">
        <v>10056998</v>
      </c>
      <c r="M2886">
        <v>9640322</v>
      </c>
      <c r="N2886">
        <v>6685737</v>
      </c>
      <c r="O2886">
        <v>3868540</v>
      </c>
      <c r="P2886">
        <v>119</v>
      </c>
      <c r="Q2886" t="s">
        <v>6110</v>
      </c>
    </row>
    <row r="2887" spans="1:17" x14ac:dyDescent="0.3">
      <c r="A2887" t="s">
        <v>4729</v>
      </c>
      <c r="B2887" t="str">
        <f>"002160"</f>
        <v>002160</v>
      </c>
      <c r="C2887" t="s">
        <v>6111</v>
      </c>
      <c r="D2887" t="s">
        <v>504</v>
      </c>
      <c r="F2887">
        <v>1484573783</v>
      </c>
      <c r="G2887">
        <v>1180428502</v>
      </c>
      <c r="H2887">
        <v>950860756</v>
      </c>
      <c r="I2887">
        <v>937753467</v>
      </c>
      <c r="J2887">
        <v>924841136</v>
      </c>
      <c r="K2887">
        <v>770077169</v>
      </c>
      <c r="L2887">
        <v>570293273</v>
      </c>
      <c r="M2887">
        <v>364668793</v>
      </c>
      <c r="N2887">
        <v>249976994</v>
      </c>
      <c r="O2887">
        <v>260574009</v>
      </c>
      <c r="P2887">
        <v>166</v>
      </c>
      <c r="Q2887" t="s">
        <v>6112</v>
      </c>
    </row>
    <row r="2888" spans="1:17" x14ac:dyDescent="0.3">
      <c r="A2888" t="s">
        <v>4729</v>
      </c>
      <c r="B2888" t="str">
        <f>"002161"</f>
        <v>002161</v>
      </c>
      <c r="C2888" t="s">
        <v>6113</v>
      </c>
      <c r="D2888" t="s">
        <v>651</v>
      </c>
      <c r="F2888">
        <v>157372497</v>
      </c>
      <c r="G2888">
        <v>174747956</v>
      </c>
      <c r="H2888">
        <v>200223525</v>
      </c>
      <c r="I2888">
        <v>214323895</v>
      </c>
      <c r="J2888">
        <v>214399604</v>
      </c>
      <c r="K2888">
        <v>241611536</v>
      </c>
      <c r="L2888">
        <v>278027722</v>
      </c>
      <c r="M2888">
        <v>358698523</v>
      </c>
      <c r="N2888">
        <v>300403111</v>
      </c>
      <c r="O2888">
        <v>278912400</v>
      </c>
      <c r="P2888">
        <v>211</v>
      </c>
      <c r="Q2888" t="s">
        <v>6114</v>
      </c>
    </row>
    <row r="2889" spans="1:17" x14ac:dyDescent="0.3">
      <c r="A2889" t="s">
        <v>4729</v>
      </c>
      <c r="B2889" t="str">
        <f>"002162"</f>
        <v>002162</v>
      </c>
      <c r="C2889" t="s">
        <v>6115</v>
      </c>
      <c r="D2889" t="s">
        <v>178</v>
      </c>
      <c r="F2889">
        <v>300628962</v>
      </c>
      <c r="G2889">
        <v>272114046</v>
      </c>
      <c r="H2889">
        <v>160851925</v>
      </c>
      <c r="I2889">
        <v>116317157</v>
      </c>
      <c r="J2889">
        <v>121003973</v>
      </c>
      <c r="K2889">
        <v>131635522</v>
      </c>
      <c r="L2889">
        <v>137346915</v>
      </c>
      <c r="M2889">
        <v>149102548</v>
      </c>
      <c r="N2889">
        <v>123314936</v>
      </c>
      <c r="O2889">
        <v>126033235</v>
      </c>
      <c r="P2889">
        <v>137</v>
      </c>
      <c r="Q2889" t="s">
        <v>6116</v>
      </c>
    </row>
    <row r="2890" spans="1:17" x14ac:dyDescent="0.3">
      <c r="A2890" t="s">
        <v>4729</v>
      </c>
      <c r="B2890" t="str">
        <f>"002163"</f>
        <v>002163</v>
      </c>
      <c r="C2890" t="s">
        <v>6117</v>
      </c>
      <c r="D2890" t="s">
        <v>666</v>
      </c>
      <c r="F2890">
        <v>812424505</v>
      </c>
      <c r="G2890">
        <v>972268034</v>
      </c>
      <c r="H2890">
        <v>1123702834</v>
      </c>
      <c r="I2890">
        <v>871970332</v>
      </c>
      <c r="J2890">
        <v>860490262</v>
      </c>
      <c r="K2890">
        <v>945609607</v>
      </c>
      <c r="L2890">
        <v>755309780</v>
      </c>
      <c r="M2890">
        <v>699397932</v>
      </c>
      <c r="N2890">
        <v>616477020</v>
      </c>
      <c r="O2890">
        <v>673049678</v>
      </c>
      <c r="P2890">
        <v>170</v>
      </c>
      <c r="Q2890" t="s">
        <v>6118</v>
      </c>
    </row>
    <row r="2891" spans="1:17" x14ac:dyDescent="0.3">
      <c r="A2891" t="s">
        <v>4729</v>
      </c>
      <c r="B2891" t="str">
        <f>"002164"</f>
        <v>002164</v>
      </c>
      <c r="C2891" t="s">
        <v>6119</v>
      </c>
      <c r="D2891" t="s">
        <v>274</v>
      </c>
      <c r="F2891">
        <v>228425806</v>
      </c>
      <c r="G2891">
        <v>258021781</v>
      </c>
      <c r="H2891">
        <v>217915285</v>
      </c>
      <c r="I2891">
        <v>192916860</v>
      </c>
      <c r="J2891">
        <v>4001430833</v>
      </c>
      <c r="K2891">
        <v>266371784</v>
      </c>
      <c r="L2891">
        <v>327223775</v>
      </c>
      <c r="M2891">
        <v>337631864</v>
      </c>
      <c r="N2891">
        <v>365826176</v>
      </c>
      <c r="O2891">
        <v>341037264</v>
      </c>
      <c r="P2891">
        <v>187</v>
      </c>
      <c r="Q2891" t="s">
        <v>6120</v>
      </c>
    </row>
    <row r="2892" spans="1:17" x14ac:dyDescent="0.3">
      <c r="A2892" t="s">
        <v>4729</v>
      </c>
      <c r="B2892" t="str">
        <f>"002165"</f>
        <v>002165</v>
      </c>
      <c r="C2892" t="s">
        <v>6121</v>
      </c>
      <c r="D2892" t="s">
        <v>528</v>
      </c>
      <c r="F2892">
        <v>438183705</v>
      </c>
      <c r="G2892">
        <v>495286276</v>
      </c>
      <c r="H2892">
        <v>323033604</v>
      </c>
      <c r="I2892">
        <v>293580831</v>
      </c>
      <c r="J2892">
        <v>286722813</v>
      </c>
      <c r="K2892">
        <v>303929009</v>
      </c>
      <c r="L2892">
        <v>264330895</v>
      </c>
      <c r="M2892">
        <v>311339004</v>
      </c>
      <c r="N2892">
        <v>302974488</v>
      </c>
      <c r="O2892">
        <v>201402005</v>
      </c>
      <c r="P2892">
        <v>100</v>
      </c>
      <c r="Q2892" t="s">
        <v>6122</v>
      </c>
    </row>
    <row r="2893" spans="1:17" x14ac:dyDescent="0.3">
      <c r="A2893" t="s">
        <v>4729</v>
      </c>
      <c r="B2893" t="str">
        <f>"002166"</f>
        <v>002166</v>
      </c>
      <c r="C2893" t="s">
        <v>6123</v>
      </c>
      <c r="D2893" t="s">
        <v>188</v>
      </c>
      <c r="F2893">
        <v>256141476</v>
      </c>
      <c r="G2893">
        <v>201285391</v>
      </c>
      <c r="H2893">
        <v>175413243</v>
      </c>
      <c r="I2893">
        <v>112578843</v>
      </c>
      <c r="J2893">
        <v>75402773</v>
      </c>
      <c r="K2893">
        <v>55679498</v>
      </c>
      <c r="L2893">
        <v>51431974</v>
      </c>
      <c r="M2893">
        <v>55009857</v>
      </c>
      <c r="N2893">
        <v>76936170</v>
      </c>
      <c r="O2893">
        <v>64119839</v>
      </c>
      <c r="P2893">
        <v>200</v>
      </c>
      <c r="Q2893" t="s">
        <v>6124</v>
      </c>
    </row>
    <row r="2894" spans="1:17" x14ac:dyDescent="0.3">
      <c r="A2894" t="s">
        <v>4729</v>
      </c>
      <c r="B2894" t="str">
        <f>"002167"</f>
        <v>002167</v>
      </c>
      <c r="C2894" t="s">
        <v>6125</v>
      </c>
      <c r="D2894" t="s">
        <v>636</v>
      </c>
      <c r="F2894">
        <v>98275034</v>
      </c>
      <c r="G2894">
        <v>99306174</v>
      </c>
      <c r="H2894">
        <v>98649337</v>
      </c>
      <c r="I2894">
        <v>86356893</v>
      </c>
      <c r="J2894">
        <v>237934188</v>
      </c>
      <c r="K2894">
        <v>485624158</v>
      </c>
      <c r="L2894">
        <v>368061161</v>
      </c>
      <c r="M2894">
        <v>497646774</v>
      </c>
      <c r="N2894">
        <v>235993213</v>
      </c>
      <c r="O2894">
        <v>125478506</v>
      </c>
      <c r="P2894">
        <v>111</v>
      </c>
      <c r="Q2894" t="s">
        <v>6126</v>
      </c>
    </row>
    <row r="2895" spans="1:17" x14ac:dyDescent="0.3">
      <c r="A2895" t="s">
        <v>4729</v>
      </c>
      <c r="B2895" t="str">
        <f>"002168"</f>
        <v>002168</v>
      </c>
      <c r="C2895" t="s">
        <v>6127</v>
      </c>
      <c r="D2895" t="s">
        <v>517</v>
      </c>
      <c r="F2895">
        <v>109279128</v>
      </c>
      <c r="G2895">
        <v>114716679</v>
      </c>
      <c r="H2895">
        <v>321432727</v>
      </c>
      <c r="I2895">
        <v>380247011</v>
      </c>
      <c r="J2895">
        <v>176228381</v>
      </c>
      <c r="K2895">
        <v>115088573</v>
      </c>
      <c r="L2895">
        <v>97332333</v>
      </c>
      <c r="M2895">
        <v>130024537</v>
      </c>
      <c r="N2895">
        <v>213045986</v>
      </c>
      <c r="O2895">
        <v>185975183</v>
      </c>
      <c r="P2895">
        <v>158</v>
      </c>
      <c r="Q2895" t="s">
        <v>6128</v>
      </c>
    </row>
    <row r="2896" spans="1:17" x14ac:dyDescent="0.3">
      <c r="A2896" t="s">
        <v>4729</v>
      </c>
      <c r="B2896" t="str">
        <f>"002169"</f>
        <v>002169</v>
      </c>
      <c r="C2896" t="s">
        <v>6129</v>
      </c>
      <c r="D2896" t="s">
        <v>610</v>
      </c>
      <c r="F2896">
        <v>994608791</v>
      </c>
      <c r="G2896">
        <v>1044404495</v>
      </c>
      <c r="H2896">
        <v>1389355712</v>
      </c>
      <c r="I2896">
        <v>1567673861</v>
      </c>
      <c r="J2896">
        <v>1362573993</v>
      </c>
      <c r="K2896">
        <v>1187997172</v>
      </c>
      <c r="L2896">
        <v>979098351</v>
      </c>
      <c r="M2896">
        <v>535566125</v>
      </c>
      <c r="N2896">
        <v>538915168</v>
      </c>
      <c r="O2896">
        <v>444385439</v>
      </c>
      <c r="P2896">
        <v>219</v>
      </c>
      <c r="Q2896" t="s">
        <v>6130</v>
      </c>
    </row>
    <row r="2897" spans="1:17" x14ac:dyDescent="0.3">
      <c r="A2897" t="s">
        <v>4729</v>
      </c>
      <c r="B2897" t="str">
        <f>"002170"</f>
        <v>002170</v>
      </c>
      <c r="C2897" t="s">
        <v>6131</v>
      </c>
      <c r="D2897" t="s">
        <v>5562</v>
      </c>
      <c r="F2897">
        <v>83304240</v>
      </c>
      <c r="G2897">
        <v>110378080</v>
      </c>
      <c r="H2897">
        <v>304723453</v>
      </c>
      <c r="I2897">
        <v>257836108</v>
      </c>
      <c r="J2897">
        <v>89303022</v>
      </c>
      <c r="K2897">
        <v>81424536</v>
      </c>
      <c r="L2897">
        <v>54996120</v>
      </c>
      <c r="M2897">
        <v>47122788</v>
      </c>
      <c r="N2897">
        <v>64212569</v>
      </c>
      <c r="O2897">
        <v>33814026</v>
      </c>
      <c r="P2897">
        <v>103</v>
      </c>
      <c r="Q2897" t="s">
        <v>6132</v>
      </c>
    </row>
    <row r="2898" spans="1:17" x14ac:dyDescent="0.3">
      <c r="A2898" t="s">
        <v>4729</v>
      </c>
      <c r="B2898" t="str">
        <f>"002171"</f>
        <v>002171</v>
      </c>
      <c r="C2898" t="s">
        <v>6133</v>
      </c>
      <c r="D2898" t="s">
        <v>263</v>
      </c>
      <c r="F2898">
        <v>1781039463</v>
      </c>
      <c r="G2898">
        <v>1467998979</v>
      </c>
      <c r="H2898">
        <v>1085298844</v>
      </c>
      <c r="I2898">
        <v>756369744</v>
      </c>
      <c r="J2898">
        <v>557099821</v>
      </c>
      <c r="K2898">
        <v>441050127</v>
      </c>
      <c r="L2898">
        <v>322941442</v>
      </c>
      <c r="M2898">
        <v>296568348</v>
      </c>
      <c r="N2898">
        <v>159028205</v>
      </c>
      <c r="O2898">
        <v>142779325</v>
      </c>
      <c r="P2898">
        <v>237</v>
      </c>
      <c r="Q2898" t="s">
        <v>6134</v>
      </c>
    </row>
    <row r="2899" spans="1:17" x14ac:dyDescent="0.3">
      <c r="A2899" t="s">
        <v>4729</v>
      </c>
      <c r="B2899" t="str">
        <f>"002172"</f>
        <v>002172</v>
      </c>
      <c r="C2899" t="s">
        <v>6135</v>
      </c>
      <c r="D2899" t="s">
        <v>888</v>
      </c>
      <c r="F2899">
        <v>1212604645</v>
      </c>
      <c r="G2899">
        <v>332800719</v>
      </c>
      <c r="H2899">
        <v>432338972</v>
      </c>
      <c r="I2899">
        <v>282886593</v>
      </c>
      <c r="J2899">
        <v>299338573</v>
      </c>
      <c r="K2899">
        <v>287068853</v>
      </c>
      <c r="L2899">
        <v>281869286</v>
      </c>
      <c r="M2899">
        <v>43958703</v>
      </c>
      <c r="N2899">
        <v>61029326</v>
      </c>
      <c r="O2899">
        <v>40311622</v>
      </c>
      <c r="P2899">
        <v>141</v>
      </c>
      <c r="Q2899" t="s">
        <v>6136</v>
      </c>
    </row>
    <row r="2900" spans="1:17" x14ac:dyDescent="0.3">
      <c r="A2900" t="s">
        <v>4729</v>
      </c>
      <c r="B2900" t="str">
        <f>"002173"</f>
        <v>002173</v>
      </c>
      <c r="C2900" t="s">
        <v>6137</v>
      </c>
      <c r="D2900" t="s">
        <v>1147</v>
      </c>
      <c r="F2900">
        <v>83359830</v>
      </c>
      <c r="G2900">
        <v>72858621</v>
      </c>
      <c r="H2900">
        <v>140473331</v>
      </c>
      <c r="I2900">
        <v>243193041</v>
      </c>
      <c r="J2900">
        <v>222916414</v>
      </c>
      <c r="K2900">
        <v>140682964</v>
      </c>
      <c r="L2900">
        <v>72562715</v>
      </c>
      <c r="M2900">
        <v>88525720</v>
      </c>
      <c r="N2900">
        <v>126082854</v>
      </c>
      <c r="O2900">
        <v>139354125</v>
      </c>
      <c r="P2900">
        <v>125</v>
      </c>
      <c r="Q2900" t="s">
        <v>6138</v>
      </c>
    </row>
    <row r="2901" spans="1:17" x14ac:dyDescent="0.3">
      <c r="A2901" t="s">
        <v>4729</v>
      </c>
      <c r="B2901" t="str">
        <f>"002174"</f>
        <v>002174</v>
      </c>
      <c r="C2901" t="s">
        <v>6139</v>
      </c>
      <c r="D2901" t="s">
        <v>517</v>
      </c>
      <c r="F2901">
        <v>406080542</v>
      </c>
      <c r="G2901">
        <v>701823850</v>
      </c>
      <c r="H2901">
        <v>772565868</v>
      </c>
      <c r="I2901">
        <v>886047073</v>
      </c>
      <c r="J2901">
        <v>474196753</v>
      </c>
      <c r="K2901">
        <v>658265271</v>
      </c>
      <c r="L2901">
        <v>382932533</v>
      </c>
      <c r="M2901">
        <v>152147941</v>
      </c>
      <c r="N2901">
        <v>54238958</v>
      </c>
      <c r="O2901">
        <v>61048996</v>
      </c>
      <c r="P2901">
        <v>736</v>
      </c>
      <c r="Q2901" t="s">
        <v>6140</v>
      </c>
    </row>
    <row r="2902" spans="1:17" x14ac:dyDescent="0.3">
      <c r="A2902" t="s">
        <v>4729</v>
      </c>
      <c r="B2902" t="str">
        <f>"002175"</f>
        <v>002175</v>
      </c>
      <c r="C2902" t="s">
        <v>6141</v>
      </c>
      <c r="D2902" t="s">
        <v>110</v>
      </c>
      <c r="F2902">
        <v>35202878</v>
      </c>
      <c r="G2902">
        <v>45822660</v>
      </c>
      <c r="H2902">
        <v>51868519</v>
      </c>
      <c r="I2902">
        <v>92747762</v>
      </c>
      <c r="J2902">
        <v>115741228</v>
      </c>
      <c r="K2902">
        <v>268454289</v>
      </c>
      <c r="L2902">
        <v>194944119</v>
      </c>
      <c r="M2902">
        <v>102597693</v>
      </c>
      <c r="N2902">
        <v>74958064</v>
      </c>
      <c r="O2902">
        <v>64938588</v>
      </c>
      <c r="P2902">
        <v>79</v>
      </c>
      <c r="Q2902" t="s">
        <v>6142</v>
      </c>
    </row>
    <row r="2903" spans="1:17" x14ac:dyDescent="0.3">
      <c r="A2903" t="s">
        <v>4729</v>
      </c>
      <c r="B2903" t="str">
        <f>"002176"</f>
        <v>002176</v>
      </c>
      <c r="C2903" t="s">
        <v>6143</v>
      </c>
      <c r="D2903" t="s">
        <v>1171</v>
      </c>
      <c r="F2903">
        <v>532539220</v>
      </c>
      <c r="G2903">
        <v>506136662</v>
      </c>
      <c r="H2903">
        <v>604969728</v>
      </c>
      <c r="I2903">
        <v>875899047</v>
      </c>
      <c r="J2903">
        <v>1260808114</v>
      </c>
      <c r="K2903">
        <v>699703816</v>
      </c>
      <c r="L2903">
        <v>641341293</v>
      </c>
      <c r="M2903">
        <v>294272433</v>
      </c>
      <c r="N2903">
        <v>256835752</v>
      </c>
      <c r="O2903">
        <v>187030527</v>
      </c>
      <c r="P2903">
        <v>317</v>
      </c>
      <c r="Q2903" t="s">
        <v>6144</v>
      </c>
    </row>
    <row r="2904" spans="1:17" x14ac:dyDescent="0.3">
      <c r="A2904" t="s">
        <v>4729</v>
      </c>
      <c r="B2904" t="str">
        <f>"002177"</f>
        <v>002177</v>
      </c>
      <c r="C2904" t="s">
        <v>6145</v>
      </c>
      <c r="D2904" t="s">
        <v>236</v>
      </c>
      <c r="F2904">
        <v>25011066</v>
      </c>
      <c r="G2904">
        <v>27487153</v>
      </c>
      <c r="H2904">
        <v>56432311</v>
      </c>
      <c r="I2904">
        <v>98821594</v>
      </c>
      <c r="J2904">
        <v>169690789</v>
      </c>
      <c r="K2904">
        <v>166506553</v>
      </c>
      <c r="L2904">
        <v>326989268</v>
      </c>
      <c r="M2904">
        <v>320701698</v>
      </c>
      <c r="N2904">
        <v>237897057</v>
      </c>
      <c r="O2904">
        <v>137099458</v>
      </c>
      <c r="P2904">
        <v>3025</v>
      </c>
      <c r="Q2904" t="s">
        <v>6146</v>
      </c>
    </row>
    <row r="2905" spans="1:17" x14ac:dyDescent="0.3">
      <c r="A2905" t="s">
        <v>4729</v>
      </c>
      <c r="B2905" t="str">
        <f>"002178"</f>
        <v>002178</v>
      </c>
      <c r="C2905" t="s">
        <v>6147</v>
      </c>
      <c r="D2905" t="s">
        <v>945</v>
      </c>
      <c r="F2905">
        <v>352812172</v>
      </c>
      <c r="G2905">
        <v>358044222</v>
      </c>
      <c r="H2905">
        <v>446788853</v>
      </c>
      <c r="I2905">
        <v>420214559</v>
      </c>
      <c r="J2905">
        <v>412714192</v>
      </c>
      <c r="K2905">
        <v>386142188</v>
      </c>
      <c r="L2905">
        <v>281403883</v>
      </c>
      <c r="M2905">
        <v>148050631</v>
      </c>
      <c r="N2905">
        <v>113036001</v>
      </c>
      <c r="O2905">
        <v>136916762</v>
      </c>
      <c r="P2905">
        <v>89</v>
      </c>
      <c r="Q2905" t="s">
        <v>6148</v>
      </c>
    </row>
    <row r="2906" spans="1:17" x14ac:dyDescent="0.3">
      <c r="A2906" t="s">
        <v>4729</v>
      </c>
      <c r="B2906" t="str">
        <f>"002179"</f>
        <v>002179</v>
      </c>
      <c r="C2906" t="s">
        <v>6149</v>
      </c>
      <c r="D2906" t="s">
        <v>1136</v>
      </c>
      <c r="F2906">
        <v>4329028573</v>
      </c>
      <c r="G2906">
        <v>4502885201</v>
      </c>
      <c r="H2906">
        <v>4144629895</v>
      </c>
      <c r="I2906">
        <v>3676428450</v>
      </c>
      <c r="J2906">
        <v>2917881700</v>
      </c>
      <c r="K2906">
        <v>2146539446</v>
      </c>
      <c r="L2906">
        <v>1865183916</v>
      </c>
      <c r="M2906">
        <v>1622672792</v>
      </c>
      <c r="N2906">
        <v>1375097686</v>
      </c>
      <c r="O2906">
        <v>920849546</v>
      </c>
      <c r="P2906">
        <v>1738</v>
      </c>
      <c r="Q2906" t="s">
        <v>6150</v>
      </c>
    </row>
    <row r="2907" spans="1:17" x14ac:dyDescent="0.3">
      <c r="A2907" t="s">
        <v>4729</v>
      </c>
      <c r="B2907" t="str">
        <f>"002180"</f>
        <v>002180</v>
      </c>
      <c r="C2907" t="s">
        <v>6151</v>
      </c>
      <c r="D2907" t="s">
        <v>461</v>
      </c>
      <c r="F2907">
        <v>3027772327</v>
      </c>
      <c r="G2907">
        <v>2488340635</v>
      </c>
      <c r="H2907">
        <v>2786426966</v>
      </c>
      <c r="I2907">
        <v>2580109959</v>
      </c>
      <c r="J2907">
        <v>1987381727</v>
      </c>
      <c r="K2907">
        <v>3010870410</v>
      </c>
      <c r="L2907">
        <v>519554769</v>
      </c>
      <c r="M2907">
        <v>68514214</v>
      </c>
      <c r="N2907">
        <v>89492198</v>
      </c>
      <c r="O2907">
        <v>80924965</v>
      </c>
      <c r="P2907">
        <v>472</v>
      </c>
      <c r="Q2907" t="s">
        <v>6152</v>
      </c>
    </row>
    <row r="2908" spans="1:17" x14ac:dyDescent="0.3">
      <c r="A2908" t="s">
        <v>4729</v>
      </c>
      <c r="B2908" t="str">
        <f>"002181"</f>
        <v>002181</v>
      </c>
      <c r="C2908" t="s">
        <v>6153</v>
      </c>
      <c r="D2908" t="s">
        <v>525</v>
      </c>
      <c r="F2908">
        <v>104137435</v>
      </c>
      <c r="G2908">
        <v>116719673</v>
      </c>
      <c r="H2908">
        <v>151384752</v>
      </c>
      <c r="I2908">
        <v>178547942</v>
      </c>
      <c r="J2908">
        <v>235887905</v>
      </c>
      <c r="K2908">
        <v>317138295</v>
      </c>
      <c r="L2908">
        <v>377406542</v>
      </c>
      <c r="M2908">
        <v>423174793</v>
      </c>
      <c r="N2908">
        <v>343349612</v>
      </c>
      <c r="O2908">
        <v>283420890</v>
      </c>
      <c r="P2908">
        <v>107</v>
      </c>
      <c r="Q2908" t="s">
        <v>6154</v>
      </c>
    </row>
    <row r="2909" spans="1:17" x14ac:dyDescent="0.3">
      <c r="A2909" t="s">
        <v>4729</v>
      </c>
      <c r="B2909" t="str">
        <f>"002182"</f>
        <v>002182</v>
      </c>
      <c r="C2909" t="s">
        <v>6155</v>
      </c>
      <c r="D2909" t="s">
        <v>636</v>
      </c>
      <c r="F2909">
        <v>1743871010</v>
      </c>
      <c r="G2909">
        <v>1220456923</v>
      </c>
      <c r="H2909">
        <v>1100972961</v>
      </c>
      <c r="I2909">
        <v>907190552</v>
      </c>
      <c r="J2909">
        <v>753088743</v>
      </c>
      <c r="K2909">
        <v>712818894</v>
      </c>
      <c r="L2909">
        <v>491066421</v>
      </c>
      <c r="M2909">
        <v>381471154</v>
      </c>
      <c r="N2909">
        <v>479312680</v>
      </c>
      <c r="O2909">
        <v>420051527</v>
      </c>
      <c r="P2909">
        <v>372</v>
      </c>
      <c r="Q2909" t="s">
        <v>6156</v>
      </c>
    </row>
    <row r="2910" spans="1:17" x14ac:dyDescent="0.3">
      <c r="A2910" t="s">
        <v>4729</v>
      </c>
      <c r="B2910" t="str">
        <f>"002183"</f>
        <v>002183</v>
      </c>
      <c r="C2910" t="s">
        <v>6157</v>
      </c>
      <c r="D2910" t="s">
        <v>3125</v>
      </c>
      <c r="F2910">
        <v>13558050296</v>
      </c>
      <c r="G2910">
        <v>12321421725</v>
      </c>
      <c r="H2910">
        <v>12453212167</v>
      </c>
      <c r="I2910">
        <v>12877706082</v>
      </c>
      <c r="J2910">
        <v>12846728824</v>
      </c>
      <c r="K2910">
        <v>11976928721</v>
      </c>
      <c r="L2910">
        <v>8271662183</v>
      </c>
      <c r="M2910">
        <v>5019147853</v>
      </c>
      <c r="N2910">
        <v>3693278175</v>
      </c>
      <c r="O2910">
        <v>1953037390</v>
      </c>
      <c r="P2910">
        <v>261</v>
      </c>
      <c r="Q2910" t="s">
        <v>6158</v>
      </c>
    </row>
    <row r="2911" spans="1:17" x14ac:dyDescent="0.3">
      <c r="A2911" t="s">
        <v>4729</v>
      </c>
      <c r="B2911" t="str">
        <f>"002184"</f>
        <v>002184</v>
      </c>
      <c r="C2911" t="s">
        <v>6159</v>
      </c>
      <c r="D2911" t="s">
        <v>2432</v>
      </c>
      <c r="F2911">
        <v>731749829</v>
      </c>
      <c r="G2911">
        <v>634520909</v>
      </c>
      <c r="H2911">
        <v>632056377</v>
      </c>
      <c r="I2911">
        <v>678868463</v>
      </c>
      <c r="J2911">
        <v>894976511</v>
      </c>
      <c r="K2911">
        <v>799228878</v>
      </c>
      <c r="L2911">
        <v>748653269</v>
      </c>
      <c r="M2911">
        <v>545388588</v>
      </c>
      <c r="N2911">
        <v>413763202</v>
      </c>
      <c r="O2911">
        <v>362034727</v>
      </c>
      <c r="P2911">
        <v>186</v>
      </c>
      <c r="Q2911" t="s">
        <v>6160</v>
      </c>
    </row>
    <row r="2912" spans="1:17" x14ac:dyDescent="0.3">
      <c r="A2912" t="s">
        <v>4729</v>
      </c>
      <c r="B2912" t="str">
        <f>"002185"</f>
        <v>002185</v>
      </c>
      <c r="C2912" t="s">
        <v>6161</v>
      </c>
      <c r="D2912" t="s">
        <v>1180</v>
      </c>
      <c r="F2912">
        <v>1732972202</v>
      </c>
      <c r="G2912">
        <v>1402093899</v>
      </c>
      <c r="H2912">
        <v>1315143009</v>
      </c>
      <c r="I2912">
        <v>1017481777</v>
      </c>
      <c r="J2912">
        <v>875220609</v>
      </c>
      <c r="K2912">
        <v>762434078</v>
      </c>
      <c r="L2912">
        <v>611456589</v>
      </c>
      <c r="M2912">
        <v>453251425</v>
      </c>
      <c r="N2912">
        <v>411778137</v>
      </c>
      <c r="O2912">
        <v>322091171</v>
      </c>
      <c r="P2912">
        <v>1176</v>
      </c>
      <c r="Q2912" t="s">
        <v>6162</v>
      </c>
    </row>
    <row r="2913" spans="1:17" x14ac:dyDescent="0.3">
      <c r="A2913" t="s">
        <v>4729</v>
      </c>
      <c r="B2913" t="str">
        <f>"002186"</f>
        <v>002186</v>
      </c>
      <c r="C2913" t="s">
        <v>6163</v>
      </c>
      <c r="D2913" t="s">
        <v>3598</v>
      </c>
      <c r="F2913">
        <v>38650971</v>
      </c>
      <c r="G2913">
        <v>41204353</v>
      </c>
      <c r="H2913">
        <v>66032334</v>
      </c>
      <c r="I2913">
        <v>75893245</v>
      </c>
      <c r="J2913">
        <v>70944530</v>
      </c>
      <c r="K2913">
        <v>72852574</v>
      </c>
      <c r="L2913">
        <v>47258782</v>
      </c>
      <c r="M2913">
        <v>49083991</v>
      </c>
      <c r="N2913">
        <v>42088880</v>
      </c>
      <c r="O2913">
        <v>35915559</v>
      </c>
      <c r="P2913">
        <v>179</v>
      </c>
      <c r="Q2913" t="s">
        <v>6164</v>
      </c>
    </row>
    <row r="2914" spans="1:17" x14ac:dyDescent="0.3">
      <c r="A2914" t="s">
        <v>4729</v>
      </c>
      <c r="B2914" t="str">
        <f>"002187"</f>
        <v>002187</v>
      </c>
      <c r="C2914" t="s">
        <v>6165</v>
      </c>
      <c r="D2914" t="s">
        <v>633</v>
      </c>
      <c r="F2914">
        <v>43062996</v>
      </c>
      <c r="G2914">
        <v>29467609</v>
      </c>
      <c r="H2914">
        <v>101906395</v>
      </c>
      <c r="I2914">
        <v>122882120</v>
      </c>
      <c r="J2914">
        <v>145300704</v>
      </c>
      <c r="K2914">
        <v>116077914</v>
      </c>
      <c r="L2914">
        <v>52643810</v>
      </c>
      <c r="M2914">
        <v>76229644</v>
      </c>
      <c r="N2914">
        <v>83501293</v>
      </c>
      <c r="O2914">
        <v>105198226</v>
      </c>
      <c r="P2914">
        <v>147</v>
      </c>
      <c r="Q2914" t="s">
        <v>6166</v>
      </c>
    </row>
    <row r="2915" spans="1:17" x14ac:dyDescent="0.3">
      <c r="A2915" t="s">
        <v>4729</v>
      </c>
      <c r="B2915" t="str">
        <f>"002188"</f>
        <v>002188</v>
      </c>
      <c r="C2915" t="s">
        <v>6167</v>
      </c>
      <c r="D2915" t="s">
        <v>207</v>
      </c>
      <c r="F2915">
        <v>17155949</v>
      </c>
      <c r="G2915">
        <v>4397038</v>
      </c>
      <c r="H2915">
        <v>2211470</v>
      </c>
      <c r="I2915">
        <v>40332711</v>
      </c>
      <c r="J2915">
        <v>416658984</v>
      </c>
      <c r="K2915">
        <v>398883849</v>
      </c>
      <c r="L2915">
        <v>189994435</v>
      </c>
      <c r="M2915">
        <v>28416904</v>
      </c>
      <c r="N2915">
        <v>29958948</v>
      </c>
      <c r="O2915">
        <v>47683449</v>
      </c>
      <c r="P2915">
        <v>69</v>
      </c>
      <c r="Q2915" t="s">
        <v>6168</v>
      </c>
    </row>
    <row r="2916" spans="1:17" x14ac:dyDescent="0.3">
      <c r="A2916" t="s">
        <v>4729</v>
      </c>
      <c r="B2916" t="str">
        <f>"002189"</f>
        <v>002189</v>
      </c>
      <c r="C2916" t="s">
        <v>6169</v>
      </c>
      <c r="D2916" t="s">
        <v>1136</v>
      </c>
      <c r="F2916">
        <v>772118509</v>
      </c>
      <c r="G2916">
        <v>763088632</v>
      </c>
      <c r="H2916">
        <v>696017402</v>
      </c>
      <c r="I2916">
        <v>902403962</v>
      </c>
      <c r="J2916">
        <v>252650669</v>
      </c>
      <c r="K2916">
        <v>244732003</v>
      </c>
      <c r="L2916">
        <v>205980766</v>
      </c>
      <c r="M2916">
        <v>199366472</v>
      </c>
      <c r="N2916">
        <v>205079078</v>
      </c>
      <c r="O2916">
        <v>162395580</v>
      </c>
      <c r="P2916">
        <v>221</v>
      </c>
      <c r="Q2916" t="s">
        <v>6170</v>
      </c>
    </row>
    <row r="2917" spans="1:17" x14ac:dyDescent="0.3">
      <c r="A2917" t="s">
        <v>4729</v>
      </c>
      <c r="B2917" t="str">
        <f>"002190"</f>
        <v>002190</v>
      </c>
      <c r="C2917" t="s">
        <v>6171</v>
      </c>
      <c r="D2917" t="s">
        <v>98</v>
      </c>
      <c r="F2917">
        <v>348848844</v>
      </c>
      <c r="G2917">
        <v>350418596</v>
      </c>
      <c r="H2917">
        <v>459310680</v>
      </c>
      <c r="I2917">
        <v>1242984768</v>
      </c>
      <c r="J2917">
        <v>1090386605</v>
      </c>
      <c r="K2917">
        <v>727972700</v>
      </c>
      <c r="L2917">
        <v>810950923</v>
      </c>
      <c r="M2917">
        <v>534681320</v>
      </c>
      <c r="N2917">
        <v>403399087</v>
      </c>
      <c r="O2917">
        <v>304039726</v>
      </c>
      <c r="P2917">
        <v>184</v>
      </c>
      <c r="Q2917" t="s">
        <v>6172</v>
      </c>
    </row>
    <row r="2918" spans="1:17" x14ac:dyDescent="0.3">
      <c r="A2918" t="s">
        <v>4729</v>
      </c>
      <c r="B2918" t="str">
        <f>"002191"</f>
        <v>002191</v>
      </c>
      <c r="C2918" t="s">
        <v>6173</v>
      </c>
      <c r="D2918" t="s">
        <v>2165</v>
      </c>
      <c r="F2918">
        <v>695793544</v>
      </c>
      <c r="G2918">
        <v>614135980</v>
      </c>
      <c r="H2918">
        <v>595799115</v>
      </c>
      <c r="I2918">
        <v>760222497</v>
      </c>
      <c r="J2918">
        <v>668682122</v>
      </c>
      <c r="K2918">
        <v>813480952</v>
      </c>
      <c r="L2918">
        <v>630196700</v>
      </c>
      <c r="M2918">
        <v>398895513</v>
      </c>
      <c r="N2918">
        <v>391059835</v>
      </c>
      <c r="O2918">
        <v>308580132</v>
      </c>
      <c r="P2918">
        <v>6347</v>
      </c>
      <c r="Q2918" t="s">
        <v>6174</v>
      </c>
    </row>
    <row r="2919" spans="1:17" x14ac:dyDescent="0.3">
      <c r="A2919" t="s">
        <v>4729</v>
      </c>
      <c r="B2919" t="str">
        <f>"002192"</f>
        <v>002192</v>
      </c>
      <c r="C2919" t="s">
        <v>6175</v>
      </c>
      <c r="D2919" t="s">
        <v>3776</v>
      </c>
      <c r="F2919">
        <v>335721182</v>
      </c>
      <c r="G2919">
        <v>139283909</v>
      </c>
      <c r="H2919">
        <v>121807097</v>
      </c>
      <c r="I2919">
        <v>172342117</v>
      </c>
      <c r="J2919">
        <v>145327174</v>
      </c>
      <c r="K2919">
        <v>71692653</v>
      </c>
      <c r="L2919">
        <v>92901274</v>
      </c>
      <c r="M2919">
        <v>80754637</v>
      </c>
      <c r="N2919">
        <v>264860378</v>
      </c>
      <c r="O2919">
        <v>202616267</v>
      </c>
      <c r="P2919">
        <v>230</v>
      </c>
      <c r="Q2919" t="s">
        <v>6176</v>
      </c>
    </row>
    <row r="2920" spans="1:17" x14ac:dyDescent="0.3">
      <c r="A2920" t="s">
        <v>4729</v>
      </c>
      <c r="B2920" t="str">
        <f>"002193"</f>
        <v>002193</v>
      </c>
      <c r="C2920" t="s">
        <v>6177</v>
      </c>
      <c r="D2920" t="s">
        <v>366</v>
      </c>
      <c r="F2920">
        <v>401076393</v>
      </c>
      <c r="G2920">
        <v>941807966</v>
      </c>
      <c r="H2920">
        <v>807256003</v>
      </c>
      <c r="I2920">
        <v>677507832</v>
      </c>
      <c r="J2920">
        <v>524751816</v>
      </c>
      <c r="K2920">
        <v>354561425</v>
      </c>
      <c r="L2920">
        <v>228602861</v>
      </c>
      <c r="M2920">
        <v>328061743</v>
      </c>
      <c r="N2920">
        <v>261446717</v>
      </c>
      <c r="O2920">
        <v>223041442</v>
      </c>
      <c r="P2920">
        <v>93</v>
      </c>
      <c r="Q2920" t="s">
        <v>6178</v>
      </c>
    </row>
    <row r="2921" spans="1:17" x14ac:dyDescent="0.3">
      <c r="A2921" t="s">
        <v>4729</v>
      </c>
      <c r="B2921" t="str">
        <f>"002194"</f>
        <v>002194</v>
      </c>
      <c r="C2921" t="s">
        <v>6179</v>
      </c>
      <c r="D2921" t="s">
        <v>1019</v>
      </c>
      <c r="F2921">
        <v>483631015</v>
      </c>
      <c r="G2921">
        <v>491968287</v>
      </c>
      <c r="H2921">
        <v>393403623</v>
      </c>
      <c r="I2921">
        <v>409176516</v>
      </c>
      <c r="J2921">
        <v>317687576</v>
      </c>
      <c r="K2921">
        <v>259808125</v>
      </c>
      <c r="L2921">
        <v>583877921</v>
      </c>
      <c r="M2921">
        <v>513261319</v>
      </c>
      <c r="N2921">
        <v>366137004</v>
      </c>
      <c r="O2921">
        <v>368906221</v>
      </c>
      <c r="P2921">
        <v>906</v>
      </c>
      <c r="Q2921" t="s">
        <v>6180</v>
      </c>
    </row>
    <row r="2922" spans="1:17" x14ac:dyDescent="0.3">
      <c r="A2922" t="s">
        <v>4729</v>
      </c>
      <c r="B2922" t="str">
        <f>"002195"</f>
        <v>002195</v>
      </c>
      <c r="C2922" t="s">
        <v>6181</v>
      </c>
      <c r="D2922" t="s">
        <v>316</v>
      </c>
      <c r="F2922">
        <v>569331618</v>
      </c>
      <c r="G2922">
        <v>705091276</v>
      </c>
      <c r="H2922">
        <v>448448951</v>
      </c>
      <c r="I2922">
        <v>620552756</v>
      </c>
      <c r="J2922">
        <v>470818722</v>
      </c>
      <c r="K2922">
        <v>366431335</v>
      </c>
      <c r="L2922">
        <v>123214494</v>
      </c>
      <c r="M2922">
        <v>87407846</v>
      </c>
      <c r="N2922">
        <v>38387475</v>
      </c>
      <c r="O2922">
        <v>36236068</v>
      </c>
      <c r="P2922">
        <v>558</v>
      </c>
      <c r="Q2922" t="s">
        <v>6182</v>
      </c>
    </row>
    <row r="2923" spans="1:17" x14ac:dyDescent="0.3">
      <c r="A2923" t="s">
        <v>4729</v>
      </c>
      <c r="B2923" t="str">
        <f>"002196"</f>
        <v>002196</v>
      </c>
      <c r="C2923" t="s">
        <v>6183</v>
      </c>
      <c r="D2923" t="s">
        <v>1171</v>
      </c>
      <c r="F2923">
        <v>550570945</v>
      </c>
      <c r="G2923">
        <v>414455205</v>
      </c>
      <c r="H2923">
        <v>405989694</v>
      </c>
      <c r="I2923">
        <v>616102388</v>
      </c>
      <c r="J2923">
        <v>599905622</v>
      </c>
      <c r="K2923">
        <v>377471385</v>
      </c>
      <c r="L2923">
        <v>299216221</v>
      </c>
      <c r="M2923">
        <v>185889583</v>
      </c>
      <c r="N2923">
        <v>112730537</v>
      </c>
      <c r="O2923">
        <v>131538019</v>
      </c>
      <c r="P2923">
        <v>163</v>
      </c>
      <c r="Q2923" t="s">
        <v>6184</v>
      </c>
    </row>
    <row r="2924" spans="1:17" x14ac:dyDescent="0.3">
      <c r="A2924" t="s">
        <v>4729</v>
      </c>
      <c r="B2924" t="str">
        <f>"002197"</f>
        <v>002197</v>
      </c>
      <c r="C2924" t="s">
        <v>6185</v>
      </c>
      <c r="D2924" t="s">
        <v>236</v>
      </c>
      <c r="F2924">
        <v>1180361208</v>
      </c>
      <c r="G2924">
        <v>1527175988</v>
      </c>
      <c r="H2924">
        <v>1620996053</v>
      </c>
      <c r="I2924">
        <v>1322015249</v>
      </c>
      <c r="J2924">
        <v>1148233852</v>
      </c>
      <c r="K2924">
        <v>795863173</v>
      </c>
      <c r="L2924">
        <v>599880437</v>
      </c>
      <c r="M2924">
        <v>424754614</v>
      </c>
      <c r="N2924">
        <v>335810151</v>
      </c>
      <c r="O2924">
        <v>283480718</v>
      </c>
      <c r="P2924">
        <v>230</v>
      </c>
      <c r="Q2924" t="s">
        <v>6186</v>
      </c>
    </row>
    <row r="2925" spans="1:17" x14ac:dyDescent="0.3">
      <c r="A2925" t="s">
        <v>4729</v>
      </c>
      <c r="B2925" t="str">
        <f>"002198"</f>
        <v>002198</v>
      </c>
      <c r="C2925" t="s">
        <v>6187</v>
      </c>
      <c r="D2925" t="s">
        <v>188</v>
      </c>
      <c r="F2925">
        <v>96866927</v>
      </c>
      <c r="G2925">
        <v>113606055</v>
      </c>
      <c r="H2925">
        <v>137606105</v>
      </c>
      <c r="I2925">
        <v>151887724</v>
      </c>
      <c r="J2925">
        <v>148388095</v>
      </c>
      <c r="K2925">
        <v>152903709</v>
      </c>
      <c r="L2925">
        <v>141831187</v>
      </c>
      <c r="M2925">
        <v>156481900</v>
      </c>
      <c r="N2925">
        <v>94967729</v>
      </c>
      <c r="O2925">
        <v>11446557</v>
      </c>
      <c r="P2925">
        <v>120</v>
      </c>
      <c r="Q2925" t="s">
        <v>6188</v>
      </c>
    </row>
    <row r="2926" spans="1:17" x14ac:dyDescent="0.3">
      <c r="A2926" t="s">
        <v>4729</v>
      </c>
      <c r="B2926" t="str">
        <f>"002199"</f>
        <v>002199</v>
      </c>
      <c r="C2926" t="s">
        <v>6189</v>
      </c>
      <c r="D2926" t="s">
        <v>546</v>
      </c>
      <c r="F2926">
        <v>67026882</v>
      </c>
      <c r="G2926">
        <v>76076503</v>
      </c>
      <c r="H2926">
        <v>75455960</v>
      </c>
      <c r="I2926">
        <v>54654222</v>
      </c>
      <c r="J2926">
        <v>59366572</v>
      </c>
      <c r="K2926">
        <v>54745545</v>
      </c>
      <c r="L2926">
        <v>146567065</v>
      </c>
      <c r="M2926">
        <v>93518075</v>
      </c>
      <c r="N2926">
        <v>41373233</v>
      </c>
      <c r="O2926">
        <v>68423037</v>
      </c>
      <c r="P2926">
        <v>111</v>
      </c>
      <c r="Q2926" t="s">
        <v>6190</v>
      </c>
    </row>
    <row r="2927" spans="1:17" x14ac:dyDescent="0.3">
      <c r="A2927" t="s">
        <v>4729</v>
      </c>
      <c r="B2927" t="str">
        <f>"002200"</f>
        <v>002200</v>
      </c>
      <c r="C2927" t="s">
        <v>6191</v>
      </c>
      <c r="D2927" t="s">
        <v>2417</v>
      </c>
      <c r="F2927">
        <v>207776173</v>
      </c>
      <c r="G2927">
        <v>217242782</v>
      </c>
      <c r="H2927">
        <v>391764575</v>
      </c>
      <c r="I2927">
        <v>568950956</v>
      </c>
      <c r="J2927">
        <v>488151348</v>
      </c>
      <c r="K2927">
        <v>438168486</v>
      </c>
      <c r="L2927">
        <v>357606810</v>
      </c>
      <c r="M2927">
        <v>405065493</v>
      </c>
      <c r="N2927">
        <v>270912962</v>
      </c>
      <c r="O2927">
        <v>218502401</v>
      </c>
      <c r="P2927">
        <v>53</v>
      </c>
      <c r="Q2927" t="s">
        <v>6192</v>
      </c>
    </row>
    <row r="2928" spans="1:17" x14ac:dyDescent="0.3">
      <c r="A2928" t="s">
        <v>4729</v>
      </c>
      <c r="B2928" t="str">
        <f>"002201"</f>
        <v>002201</v>
      </c>
      <c r="C2928" t="s">
        <v>6193</v>
      </c>
      <c r="D2928" t="s">
        <v>411</v>
      </c>
      <c r="F2928">
        <v>352415351</v>
      </c>
      <c r="G2928">
        <v>347008893</v>
      </c>
      <c r="H2928">
        <v>268267613</v>
      </c>
      <c r="I2928">
        <v>284887538</v>
      </c>
      <c r="J2928">
        <v>305485356</v>
      </c>
      <c r="K2928">
        <v>246256129</v>
      </c>
      <c r="L2928">
        <v>206992340</v>
      </c>
      <c r="M2928">
        <v>248750647</v>
      </c>
      <c r="N2928">
        <v>167862455</v>
      </c>
      <c r="O2928">
        <v>185805211</v>
      </c>
      <c r="P2928">
        <v>132</v>
      </c>
      <c r="Q2928" t="s">
        <v>6194</v>
      </c>
    </row>
    <row r="2929" spans="1:17" x14ac:dyDescent="0.3">
      <c r="A2929" t="s">
        <v>4729</v>
      </c>
      <c r="B2929" t="str">
        <f>"002202"</f>
        <v>002202</v>
      </c>
      <c r="C2929" t="s">
        <v>6195</v>
      </c>
      <c r="D2929" t="s">
        <v>895</v>
      </c>
      <c r="F2929">
        <v>23585355536</v>
      </c>
      <c r="G2929">
        <v>20815512349</v>
      </c>
      <c r="H2929">
        <v>15562565124</v>
      </c>
      <c r="I2929">
        <v>14823004891</v>
      </c>
      <c r="J2929">
        <v>15001281910</v>
      </c>
      <c r="K2929">
        <v>14547611856</v>
      </c>
      <c r="L2929">
        <v>13534032551</v>
      </c>
      <c r="M2929">
        <v>10761025761</v>
      </c>
      <c r="N2929">
        <v>8639465136</v>
      </c>
      <c r="O2929">
        <v>9658938399</v>
      </c>
      <c r="P2929">
        <v>1283</v>
      </c>
      <c r="Q2929" t="s">
        <v>6196</v>
      </c>
    </row>
    <row r="2930" spans="1:17" x14ac:dyDescent="0.3">
      <c r="A2930" t="s">
        <v>4729</v>
      </c>
      <c r="B2930" t="str">
        <f>"002203"</f>
        <v>002203</v>
      </c>
      <c r="C2930" t="s">
        <v>6197</v>
      </c>
      <c r="D2930" t="s">
        <v>263</v>
      </c>
      <c r="F2930">
        <v>5702996229</v>
      </c>
      <c r="G2930">
        <v>3967042787</v>
      </c>
      <c r="H2930">
        <v>4392181271</v>
      </c>
      <c r="I2930">
        <v>3677162915</v>
      </c>
      <c r="J2930">
        <v>3401063216</v>
      </c>
      <c r="K2930">
        <v>2257686001</v>
      </c>
      <c r="L2930">
        <v>1018951039</v>
      </c>
      <c r="M2930">
        <v>885616590</v>
      </c>
      <c r="N2930">
        <v>1037782679</v>
      </c>
      <c r="O2930">
        <v>1031731266</v>
      </c>
      <c r="P2930">
        <v>239</v>
      </c>
      <c r="Q2930" t="s">
        <v>6198</v>
      </c>
    </row>
    <row r="2931" spans="1:17" x14ac:dyDescent="0.3">
      <c r="A2931" t="s">
        <v>4729</v>
      </c>
      <c r="B2931" t="str">
        <f>"002204"</f>
        <v>002204</v>
      </c>
      <c r="C2931" t="s">
        <v>6199</v>
      </c>
      <c r="D2931" t="s">
        <v>395</v>
      </c>
      <c r="F2931">
        <v>3010006832</v>
      </c>
      <c r="G2931">
        <v>3042238782</v>
      </c>
      <c r="H2931">
        <v>4747784342</v>
      </c>
      <c r="I2931">
        <v>4852895139</v>
      </c>
      <c r="J2931">
        <v>5107030468</v>
      </c>
      <c r="K2931">
        <v>5362178035</v>
      </c>
      <c r="L2931">
        <v>5800417057</v>
      </c>
      <c r="M2931">
        <v>6940697006</v>
      </c>
      <c r="N2931">
        <v>7159966161</v>
      </c>
      <c r="O2931">
        <v>7037246923</v>
      </c>
      <c r="P2931">
        <v>137</v>
      </c>
      <c r="Q2931" t="s">
        <v>6200</v>
      </c>
    </row>
    <row r="2932" spans="1:17" x14ac:dyDescent="0.3">
      <c r="A2932" t="s">
        <v>4729</v>
      </c>
      <c r="B2932" t="str">
        <f>"002205"</f>
        <v>002205</v>
      </c>
      <c r="C2932" t="s">
        <v>6201</v>
      </c>
      <c r="D2932" t="s">
        <v>3575</v>
      </c>
      <c r="F2932">
        <v>595499991</v>
      </c>
      <c r="G2932">
        <v>369319857</v>
      </c>
      <c r="H2932">
        <v>337302278</v>
      </c>
      <c r="I2932">
        <v>519552429</v>
      </c>
      <c r="J2932">
        <v>537039590</v>
      </c>
      <c r="K2932">
        <v>560276587</v>
      </c>
      <c r="L2932">
        <v>558954860</v>
      </c>
      <c r="M2932">
        <v>566768009</v>
      </c>
      <c r="N2932">
        <v>501321761</v>
      </c>
      <c r="O2932">
        <v>413172155</v>
      </c>
      <c r="P2932">
        <v>86</v>
      </c>
      <c r="Q2932" t="s">
        <v>6202</v>
      </c>
    </row>
    <row r="2933" spans="1:17" x14ac:dyDescent="0.3">
      <c r="A2933" t="s">
        <v>4729</v>
      </c>
      <c r="B2933" t="str">
        <f>"002206"</f>
        <v>002206</v>
      </c>
      <c r="C2933" t="s">
        <v>6203</v>
      </c>
      <c r="D2933" t="s">
        <v>2731</v>
      </c>
      <c r="F2933">
        <v>741096536</v>
      </c>
      <c r="G2933">
        <v>488829113</v>
      </c>
      <c r="H2933">
        <v>493902415</v>
      </c>
      <c r="I2933">
        <v>527525252</v>
      </c>
      <c r="J2933">
        <v>539462975</v>
      </c>
      <c r="K2933">
        <v>387407291</v>
      </c>
      <c r="L2933">
        <v>333409008</v>
      </c>
      <c r="M2933">
        <v>334411278</v>
      </c>
      <c r="N2933">
        <v>302738745</v>
      </c>
      <c r="O2933">
        <v>233729876</v>
      </c>
      <c r="P2933">
        <v>369</v>
      </c>
      <c r="Q2933" t="s">
        <v>6204</v>
      </c>
    </row>
    <row r="2934" spans="1:17" x14ac:dyDescent="0.3">
      <c r="A2934" t="s">
        <v>4729</v>
      </c>
      <c r="B2934" t="str">
        <f>"002207"</f>
        <v>002207</v>
      </c>
      <c r="C2934" t="s">
        <v>6205</v>
      </c>
      <c r="D2934" t="s">
        <v>1762</v>
      </c>
      <c r="F2934">
        <v>96647590</v>
      </c>
      <c r="G2934">
        <v>77117280</v>
      </c>
      <c r="H2934">
        <v>157615676</v>
      </c>
      <c r="I2934">
        <v>137468825</v>
      </c>
      <c r="J2934">
        <v>129305937</v>
      </c>
      <c r="K2934">
        <v>126235044</v>
      </c>
      <c r="L2934">
        <v>137935247</v>
      </c>
      <c r="M2934">
        <v>253144185</v>
      </c>
      <c r="N2934">
        <v>156023631</v>
      </c>
      <c r="O2934">
        <v>201673433</v>
      </c>
      <c r="P2934">
        <v>73</v>
      </c>
      <c r="Q2934" t="s">
        <v>6206</v>
      </c>
    </row>
    <row r="2935" spans="1:17" x14ac:dyDescent="0.3">
      <c r="A2935" t="s">
        <v>4729</v>
      </c>
      <c r="B2935" t="str">
        <f>"002208"</f>
        <v>002208</v>
      </c>
      <c r="C2935" t="s">
        <v>6207</v>
      </c>
      <c r="D2935" t="s">
        <v>104</v>
      </c>
      <c r="F2935">
        <v>52544359</v>
      </c>
      <c r="G2935">
        <v>49384517</v>
      </c>
      <c r="H2935">
        <v>0</v>
      </c>
      <c r="I2935">
        <v>0</v>
      </c>
      <c r="J2935">
        <v>1235000</v>
      </c>
      <c r="K2935">
        <v>0</v>
      </c>
      <c r="L2935">
        <v>0</v>
      </c>
      <c r="M2935">
        <v>2808055</v>
      </c>
      <c r="N2935">
        <v>786288</v>
      </c>
      <c r="O2935">
        <v>0</v>
      </c>
      <c r="P2935">
        <v>198</v>
      </c>
      <c r="Q2935" t="s">
        <v>6208</v>
      </c>
    </row>
    <row r="2936" spans="1:17" x14ac:dyDescent="0.3">
      <c r="A2936" t="s">
        <v>4729</v>
      </c>
      <c r="B2936" t="str">
        <f>"002209"</f>
        <v>002209</v>
      </c>
      <c r="C2936" t="s">
        <v>6209</v>
      </c>
      <c r="D2936" t="s">
        <v>3415</v>
      </c>
      <c r="F2936">
        <v>268869922</v>
      </c>
      <c r="G2936">
        <v>249856539</v>
      </c>
      <c r="H2936">
        <v>302581372</v>
      </c>
      <c r="I2936">
        <v>424462146</v>
      </c>
      <c r="J2936">
        <v>443801072</v>
      </c>
      <c r="K2936">
        <v>403339886</v>
      </c>
      <c r="L2936">
        <v>364902050</v>
      </c>
      <c r="M2936">
        <v>362631634</v>
      </c>
      <c r="N2936">
        <v>324017138</v>
      </c>
      <c r="O2936">
        <v>254458369</v>
      </c>
      <c r="P2936">
        <v>75</v>
      </c>
      <c r="Q2936" t="s">
        <v>6210</v>
      </c>
    </row>
    <row r="2937" spans="1:17" x14ac:dyDescent="0.3">
      <c r="A2937" t="s">
        <v>4729</v>
      </c>
      <c r="B2937" t="str">
        <f>"002210"</f>
        <v>002210</v>
      </c>
      <c r="C2937" t="s">
        <v>6211</v>
      </c>
      <c r="D2937" t="s">
        <v>128</v>
      </c>
      <c r="F2937">
        <v>136748538</v>
      </c>
      <c r="G2937">
        <v>73133748</v>
      </c>
      <c r="H2937">
        <v>1134668290</v>
      </c>
      <c r="I2937">
        <v>1672344739</v>
      </c>
      <c r="J2937">
        <v>2459777233</v>
      </c>
      <c r="K2937">
        <v>3004763300</v>
      </c>
      <c r="L2937">
        <v>1996527912</v>
      </c>
      <c r="M2937">
        <v>1302437497</v>
      </c>
      <c r="N2937">
        <v>923548158</v>
      </c>
      <c r="O2937">
        <v>1190421651</v>
      </c>
      <c r="P2937">
        <v>83</v>
      </c>
      <c r="Q2937" t="s">
        <v>6212</v>
      </c>
    </row>
    <row r="2938" spans="1:17" x14ac:dyDescent="0.3">
      <c r="A2938" t="s">
        <v>4729</v>
      </c>
      <c r="B2938" t="str">
        <f>"002211"</f>
        <v>002211</v>
      </c>
      <c r="C2938" t="s">
        <v>6213</v>
      </c>
      <c r="D2938" t="s">
        <v>1205</v>
      </c>
      <c r="F2938">
        <v>48719526</v>
      </c>
      <c r="G2938">
        <v>169553094</v>
      </c>
      <c r="H2938">
        <v>145392380</v>
      </c>
      <c r="I2938">
        <v>51469188</v>
      </c>
      <c r="J2938">
        <v>73310416</v>
      </c>
      <c r="K2938">
        <v>90091436</v>
      </c>
      <c r="L2938">
        <v>110328176</v>
      </c>
      <c r="M2938">
        <v>126986048</v>
      </c>
      <c r="N2938">
        <v>127260245</v>
      </c>
      <c r="O2938">
        <v>154903684</v>
      </c>
      <c r="P2938">
        <v>85</v>
      </c>
      <c r="Q2938" t="s">
        <v>6214</v>
      </c>
    </row>
    <row r="2939" spans="1:17" x14ac:dyDescent="0.3">
      <c r="A2939" t="s">
        <v>4729</v>
      </c>
      <c r="B2939" t="str">
        <f>"002212"</f>
        <v>002212</v>
      </c>
      <c r="C2939" t="s">
        <v>6215</v>
      </c>
      <c r="D2939" t="s">
        <v>1189</v>
      </c>
      <c r="F2939">
        <v>1997990835</v>
      </c>
      <c r="G2939">
        <v>1031985085</v>
      </c>
      <c r="H2939">
        <v>1602388311</v>
      </c>
      <c r="I2939">
        <v>1317050428</v>
      </c>
      <c r="J2939">
        <v>1307021657</v>
      </c>
      <c r="K2939">
        <v>1026027678</v>
      </c>
      <c r="L2939">
        <v>707049725</v>
      </c>
      <c r="M2939">
        <v>668434071</v>
      </c>
      <c r="N2939">
        <v>567485675</v>
      </c>
      <c r="O2939">
        <v>666631942</v>
      </c>
      <c r="P2939">
        <v>249</v>
      </c>
      <c r="Q2939" t="s">
        <v>6216</v>
      </c>
    </row>
    <row r="2940" spans="1:17" x14ac:dyDescent="0.3">
      <c r="A2940" t="s">
        <v>4729</v>
      </c>
      <c r="B2940" t="str">
        <f>"002213"</f>
        <v>002213</v>
      </c>
      <c r="C2940" t="s">
        <v>6217</v>
      </c>
      <c r="D2940" t="s">
        <v>348</v>
      </c>
      <c r="F2940">
        <v>152541523</v>
      </c>
      <c r="G2940">
        <v>119609812</v>
      </c>
      <c r="H2940">
        <v>74387058</v>
      </c>
      <c r="I2940">
        <v>30591039</v>
      </c>
      <c r="J2940">
        <v>32772427</v>
      </c>
      <c r="K2940">
        <v>42727699</v>
      </c>
      <c r="L2940">
        <v>52208634</v>
      </c>
      <c r="M2940">
        <v>81244630</v>
      </c>
      <c r="N2940">
        <v>80035980</v>
      </c>
      <c r="O2940">
        <v>90682222</v>
      </c>
      <c r="P2940">
        <v>90</v>
      </c>
      <c r="Q2940" t="s">
        <v>6218</v>
      </c>
    </row>
    <row r="2941" spans="1:17" x14ac:dyDescent="0.3">
      <c r="A2941" t="s">
        <v>4729</v>
      </c>
      <c r="B2941" t="str">
        <f>"002214"</f>
        <v>002214</v>
      </c>
      <c r="C2941" t="s">
        <v>6219</v>
      </c>
      <c r="D2941" t="s">
        <v>1136</v>
      </c>
      <c r="F2941">
        <v>819597389</v>
      </c>
      <c r="G2941">
        <v>621742935</v>
      </c>
      <c r="H2941">
        <v>456476650</v>
      </c>
      <c r="I2941">
        <v>403184417</v>
      </c>
      <c r="J2941">
        <v>402867214</v>
      </c>
      <c r="K2941">
        <v>359205147</v>
      </c>
      <c r="L2941">
        <v>401336089</v>
      </c>
      <c r="M2941">
        <v>367444669</v>
      </c>
      <c r="N2941">
        <v>222393978</v>
      </c>
      <c r="O2941">
        <v>239014804</v>
      </c>
      <c r="P2941">
        <v>511</v>
      </c>
      <c r="Q2941" t="s">
        <v>6220</v>
      </c>
    </row>
    <row r="2942" spans="1:17" x14ac:dyDescent="0.3">
      <c r="A2942" t="s">
        <v>4729</v>
      </c>
      <c r="B2942" t="str">
        <f>"002215"</f>
        <v>002215</v>
      </c>
      <c r="C2942" t="s">
        <v>6221</v>
      </c>
      <c r="D2942" t="s">
        <v>853</v>
      </c>
      <c r="F2942">
        <v>575751626</v>
      </c>
      <c r="G2942">
        <v>674066157</v>
      </c>
      <c r="H2942">
        <v>754146567</v>
      </c>
      <c r="I2942">
        <v>858899029</v>
      </c>
      <c r="J2942">
        <v>583910059</v>
      </c>
      <c r="K2942">
        <v>146362552</v>
      </c>
      <c r="L2942">
        <v>170601876</v>
      </c>
      <c r="M2942">
        <v>205792451</v>
      </c>
      <c r="N2942">
        <v>127475688</v>
      </c>
      <c r="O2942">
        <v>136247155</v>
      </c>
      <c r="P2942">
        <v>175</v>
      </c>
      <c r="Q2942" t="s">
        <v>6222</v>
      </c>
    </row>
    <row r="2943" spans="1:17" x14ac:dyDescent="0.3">
      <c r="A2943" t="s">
        <v>4729</v>
      </c>
      <c r="B2943" t="str">
        <f>"002216"</f>
        <v>002216</v>
      </c>
      <c r="C2943" t="s">
        <v>6223</v>
      </c>
      <c r="D2943" t="s">
        <v>2865</v>
      </c>
      <c r="F2943">
        <v>407051626</v>
      </c>
      <c r="G2943">
        <v>307804787</v>
      </c>
      <c r="H2943">
        <v>327608191</v>
      </c>
      <c r="I2943">
        <v>368923512</v>
      </c>
      <c r="J2943">
        <v>421516208</v>
      </c>
      <c r="K2943">
        <v>384257361</v>
      </c>
      <c r="L2943">
        <v>419449967</v>
      </c>
      <c r="M2943">
        <v>324209498</v>
      </c>
      <c r="N2943">
        <v>283548689</v>
      </c>
      <c r="O2943">
        <v>212844071</v>
      </c>
      <c r="P2943">
        <v>1276</v>
      </c>
      <c r="Q2943" t="s">
        <v>6224</v>
      </c>
    </row>
    <row r="2944" spans="1:17" x14ac:dyDescent="0.3">
      <c r="A2944" t="s">
        <v>4729</v>
      </c>
      <c r="B2944" t="str">
        <f>"002217"</f>
        <v>002217</v>
      </c>
      <c r="C2944" t="s">
        <v>6225</v>
      </c>
      <c r="D2944" t="s">
        <v>1117</v>
      </c>
      <c r="F2944">
        <v>4876674828</v>
      </c>
      <c r="G2944">
        <v>6326426579</v>
      </c>
      <c r="H2944">
        <v>8487197420</v>
      </c>
      <c r="I2944">
        <v>7788496398</v>
      </c>
      <c r="J2944">
        <v>4334659205</v>
      </c>
      <c r="K2944">
        <v>2975082505</v>
      </c>
      <c r="L2944">
        <v>1610527675</v>
      </c>
      <c r="M2944">
        <v>559756607</v>
      </c>
      <c r="N2944">
        <v>36161400</v>
      </c>
      <c r="O2944">
        <v>24855835</v>
      </c>
      <c r="P2944">
        <v>490</v>
      </c>
      <c r="Q2944" t="s">
        <v>6226</v>
      </c>
    </row>
    <row r="2945" spans="1:17" x14ac:dyDescent="0.3">
      <c r="A2945" t="s">
        <v>4729</v>
      </c>
      <c r="B2945" t="str">
        <f>"002218"</f>
        <v>002218</v>
      </c>
      <c r="C2945" t="s">
        <v>6227</v>
      </c>
      <c r="D2945" t="s">
        <v>478</v>
      </c>
      <c r="F2945">
        <v>1183127262</v>
      </c>
      <c r="G2945">
        <v>1141240221</v>
      </c>
      <c r="H2945">
        <v>1035962451</v>
      </c>
      <c r="I2945">
        <v>945734635</v>
      </c>
      <c r="J2945">
        <v>717775877</v>
      </c>
      <c r="K2945">
        <v>593465993</v>
      </c>
      <c r="L2945">
        <v>405273365</v>
      </c>
      <c r="M2945">
        <v>168972762</v>
      </c>
      <c r="N2945">
        <v>390672537</v>
      </c>
      <c r="O2945">
        <v>154056445</v>
      </c>
      <c r="P2945">
        <v>218</v>
      </c>
      <c r="Q2945" t="s">
        <v>6228</v>
      </c>
    </row>
    <row r="2946" spans="1:17" x14ac:dyDescent="0.3">
      <c r="A2946" t="s">
        <v>4729</v>
      </c>
      <c r="B2946" t="str">
        <f>"002219"</f>
        <v>002219</v>
      </c>
      <c r="C2946" t="s">
        <v>6229</v>
      </c>
      <c r="D2946" t="s">
        <v>1147</v>
      </c>
      <c r="F2946">
        <v>557668827</v>
      </c>
      <c r="G2946">
        <v>568753035</v>
      </c>
      <c r="H2946">
        <v>550348993</v>
      </c>
      <c r="I2946">
        <v>1486112354</v>
      </c>
      <c r="J2946">
        <v>1597862623</v>
      </c>
      <c r="K2946">
        <v>1297929867</v>
      </c>
      <c r="L2946">
        <v>575239980</v>
      </c>
      <c r="M2946">
        <v>381241950</v>
      </c>
      <c r="N2946">
        <v>197780859</v>
      </c>
      <c r="O2946">
        <v>113058684</v>
      </c>
      <c r="P2946">
        <v>94</v>
      </c>
      <c r="Q2946" t="s">
        <v>6230</v>
      </c>
    </row>
    <row r="2947" spans="1:17" x14ac:dyDescent="0.3">
      <c r="A2947" t="s">
        <v>4729</v>
      </c>
      <c r="B2947" t="str">
        <f>"002220"</f>
        <v>002220</v>
      </c>
      <c r="C2947" t="s">
        <v>6231</v>
      </c>
      <c r="H2947">
        <v>752275507</v>
      </c>
      <c r="I2947">
        <v>1368622942</v>
      </c>
      <c r="J2947">
        <v>1226036536</v>
      </c>
      <c r="K2947">
        <v>942008882</v>
      </c>
      <c r="L2947">
        <v>922662404</v>
      </c>
      <c r="M2947">
        <v>772409385</v>
      </c>
      <c r="N2947">
        <v>485831145</v>
      </c>
      <c r="O2947">
        <v>442091567</v>
      </c>
      <c r="P2947">
        <v>51</v>
      </c>
      <c r="Q2947" t="s">
        <v>6232</v>
      </c>
    </row>
    <row r="2948" spans="1:17" x14ac:dyDescent="0.3">
      <c r="A2948" t="s">
        <v>4729</v>
      </c>
      <c r="B2948" t="str">
        <f>"002221"</f>
        <v>002221</v>
      </c>
      <c r="C2948" t="s">
        <v>6233</v>
      </c>
      <c r="D2948" t="s">
        <v>1617</v>
      </c>
      <c r="F2948">
        <v>2451667208</v>
      </c>
      <c r="G2948">
        <v>1787236825</v>
      </c>
      <c r="H2948">
        <v>1529537942</v>
      </c>
      <c r="I2948">
        <v>1200472678</v>
      </c>
      <c r="J2948">
        <v>890095620</v>
      </c>
      <c r="K2948">
        <v>607178195</v>
      </c>
      <c r="L2948">
        <v>314845223</v>
      </c>
      <c r="M2948">
        <v>583334291</v>
      </c>
      <c r="N2948">
        <v>307342434</v>
      </c>
      <c r="O2948">
        <v>190714181</v>
      </c>
      <c r="P2948">
        <v>390</v>
      </c>
      <c r="Q2948" t="s">
        <v>6234</v>
      </c>
    </row>
    <row r="2949" spans="1:17" x14ac:dyDescent="0.3">
      <c r="A2949" t="s">
        <v>4729</v>
      </c>
      <c r="B2949" t="str">
        <f>"002222"</f>
        <v>002222</v>
      </c>
      <c r="C2949" t="s">
        <v>6235</v>
      </c>
      <c r="D2949" t="s">
        <v>164</v>
      </c>
      <c r="F2949">
        <v>183532364</v>
      </c>
      <c r="G2949">
        <v>139626520</v>
      </c>
      <c r="H2949">
        <v>136180179</v>
      </c>
      <c r="I2949">
        <v>136099226</v>
      </c>
      <c r="J2949">
        <v>99334818</v>
      </c>
      <c r="K2949">
        <v>57861378</v>
      </c>
      <c r="L2949">
        <v>38929893</v>
      </c>
      <c r="M2949">
        <v>39771673</v>
      </c>
      <c r="N2949">
        <v>39787526</v>
      </c>
      <c r="O2949">
        <v>41248157</v>
      </c>
      <c r="P2949">
        <v>517</v>
      </c>
      <c r="Q2949" t="s">
        <v>6236</v>
      </c>
    </row>
    <row r="2950" spans="1:17" x14ac:dyDescent="0.3">
      <c r="A2950" t="s">
        <v>4729</v>
      </c>
      <c r="B2950" t="str">
        <f>"002223"</f>
        <v>002223</v>
      </c>
      <c r="C2950" t="s">
        <v>6237</v>
      </c>
      <c r="D2950" t="s">
        <v>122</v>
      </c>
      <c r="F2950">
        <v>516013784</v>
      </c>
      <c r="G2950">
        <v>546811498</v>
      </c>
      <c r="H2950">
        <v>974260306</v>
      </c>
      <c r="I2950">
        <v>844368459</v>
      </c>
      <c r="J2950">
        <v>753581382</v>
      </c>
      <c r="K2950">
        <v>553543206</v>
      </c>
      <c r="L2950">
        <v>493193919</v>
      </c>
      <c r="M2950">
        <v>431858589</v>
      </c>
      <c r="N2950">
        <v>326408966</v>
      </c>
      <c r="O2950">
        <v>286930810</v>
      </c>
      <c r="P2950">
        <v>17494</v>
      </c>
      <c r="Q2950" t="s">
        <v>6238</v>
      </c>
    </row>
    <row r="2951" spans="1:17" x14ac:dyDescent="0.3">
      <c r="A2951" t="s">
        <v>4729</v>
      </c>
      <c r="B2951" t="str">
        <f>"002224"</f>
        <v>002224</v>
      </c>
      <c r="C2951" t="s">
        <v>6239</v>
      </c>
      <c r="D2951" t="s">
        <v>2469</v>
      </c>
      <c r="F2951">
        <v>99139129</v>
      </c>
      <c r="G2951">
        <v>74252774</v>
      </c>
      <c r="H2951">
        <v>67336373</v>
      </c>
      <c r="I2951">
        <v>63666297</v>
      </c>
      <c r="J2951">
        <v>56311280</v>
      </c>
      <c r="K2951">
        <v>50795318</v>
      </c>
      <c r="L2951">
        <v>46941889</v>
      </c>
      <c r="M2951">
        <v>62799718</v>
      </c>
      <c r="N2951">
        <v>47500895</v>
      </c>
      <c r="O2951">
        <v>39704511</v>
      </c>
      <c r="P2951">
        <v>186</v>
      </c>
      <c r="Q2951" t="s">
        <v>6240</v>
      </c>
    </row>
    <row r="2952" spans="1:17" x14ac:dyDescent="0.3">
      <c r="A2952" t="s">
        <v>4729</v>
      </c>
      <c r="B2952" t="str">
        <f>"002225"</f>
        <v>002225</v>
      </c>
      <c r="C2952" t="s">
        <v>6241</v>
      </c>
      <c r="D2952" t="s">
        <v>5922</v>
      </c>
      <c r="F2952">
        <v>1452827441</v>
      </c>
      <c r="G2952">
        <v>1383694472</v>
      </c>
      <c r="H2952">
        <v>1434199233</v>
      </c>
      <c r="I2952">
        <v>1473330686</v>
      </c>
      <c r="J2952">
        <v>1623654180</v>
      </c>
      <c r="K2952">
        <v>1904587780</v>
      </c>
      <c r="L2952">
        <v>2132129075</v>
      </c>
      <c r="M2952">
        <v>1654904998</v>
      </c>
      <c r="N2952">
        <v>1188088262</v>
      </c>
      <c r="O2952">
        <v>944922506</v>
      </c>
      <c r="P2952">
        <v>142</v>
      </c>
      <c r="Q2952" t="s">
        <v>6242</v>
      </c>
    </row>
    <row r="2953" spans="1:17" x14ac:dyDescent="0.3">
      <c r="A2953" t="s">
        <v>4729</v>
      </c>
      <c r="B2953" t="str">
        <f>"002226"</f>
        <v>002226</v>
      </c>
      <c r="C2953" t="s">
        <v>6243</v>
      </c>
      <c r="D2953" t="s">
        <v>2736</v>
      </c>
      <c r="F2953">
        <v>2717898111</v>
      </c>
      <c r="G2953">
        <v>1899949558</v>
      </c>
      <c r="H2953">
        <v>1587739547</v>
      </c>
      <c r="I2953">
        <v>1160061201</v>
      </c>
      <c r="J2953">
        <v>421464970</v>
      </c>
      <c r="K2953">
        <v>439542270</v>
      </c>
      <c r="L2953">
        <v>380419588</v>
      </c>
      <c r="M2953">
        <v>369216377</v>
      </c>
      <c r="N2953">
        <v>332422298</v>
      </c>
      <c r="O2953">
        <v>198556720</v>
      </c>
      <c r="P2953">
        <v>172</v>
      </c>
      <c r="Q2953" t="s">
        <v>6244</v>
      </c>
    </row>
    <row r="2954" spans="1:17" x14ac:dyDescent="0.3">
      <c r="A2954" t="s">
        <v>4729</v>
      </c>
      <c r="B2954" t="str">
        <f>"002227"</f>
        <v>002227</v>
      </c>
      <c r="C2954" t="s">
        <v>6245</v>
      </c>
      <c r="D2954" t="s">
        <v>470</v>
      </c>
      <c r="F2954">
        <v>158585610</v>
      </c>
      <c r="G2954">
        <v>206783631</v>
      </c>
      <c r="H2954">
        <v>224321464</v>
      </c>
      <c r="I2954">
        <v>256777780</v>
      </c>
      <c r="J2954">
        <v>269429090</v>
      </c>
      <c r="K2954">
        <v>269934172</v>
      </c>
      <c r="L2954">
        <v>278324832</v>
      </c>
      <c r="M2954">
        <v>328535915</v>
      </c>
      <c r="N2954">
        <v>256929854</v>
      </c>
      <c r="O2954">
        <v>203363873</v>
      </c>
      <c r="P2954">
        <v>162</v>
      </c>
      <c r="Q2954" t="s">
        <v>6246</v>
      </c>
    </row>
    <row r="2955" spans="1:17" x14ac:dyDescent="0.3">
      <c r="A2955" t="s">
        <v>4729</v>
      </c>
      <c r="B2955" t="str">
        <f>"002228"</f>
        <v>002228</v>
      </c>
      <c r="C2955" t="s">
        <v>6247</v>
      </c>
      <c r="D2955" t="s">
        <v>2165</v>
      </c>
      <c r="F2955">
        <v>3579527376</v>
      </c>
      <c r="G2955">
        <v>2987358551</v>
      </c>
      <c r="H2955">
        <v>2530437442</v>
      </c>
      <c r="I2955">
        <v>2680696854</v>
      </c>
      <c r="J2955">
        <v>1680593738</v>
      </c>
      <c r="K2955">
        <v>944511595</v>
      </c>
      <c r="L2955">
        <v>728703304</v>
      </c>
      <c r="M2955">
        <v>648626831</v>
      </c>
      <c r="N2955">
        <v>605091872</v>
      </c>
      <c r="O2955">
        <v>528560418</v>
      </c>
      <c r="P2955">
        <v>290</v>
      </c>
      <c r="Q2955" t="s">
        <v>6248</v>
      </c>
    </row>
    <row r="2956" spans="1:17" x14ac:dyDescent="0.3">
      <c r="A2956" t="s">
        <v>4729</v>
      </c>
      <c r="B2956" t="str">
        <f>"002229"</f>
        <v>002229</v>
      </c>
      <c r="C2956" t="s">
        <v>6249</v>
      </c>
      <c r="D2956" t="s">
        <v>1694</v>
      </c>
      <c r="F2956">
        <v>172981231</v>
      </c>
      <c r="G2956">
        <v>69795091</v>
      </c>
      <c r="H2956">
        <v>85355044</v>
      </c>
      <c r="I2956">
        <v>82814155</v>
      </c>
      <c r="J2956">
        <v>92497528</v>
      </c>
      <c r="K2956">
        <v>119718506</v>
      </c>
      <c r="L2956">
        <v>187986207</v>
      </c>
      <c r="M2956">
        <v>160403120</v>
      </c>
      <c r="N2956">
        <v>102752873</v>
      </c>
      <c r="O2956">
        <v>165061869</v>
      </c>
      <c r="P2956">
        <v>118</v>
      </c>
      <c r="Q2956" t="s">
        <v>6250</v>
      </c>
    </row>
    <row r="2957" spans="1:17" x14ac:dyDescent="0.3">
      <c r="A2957" t="s">
        <v>4729</v>
      </c>
      <c r="B2957" t="str">
        <f>"002230"</f>
        <v>002230</v>
      </c>
      <c r="C2957" t="s">
        <v>6251</v>
      </c>
      <c r="D2957" t="s">
        <v>1189</v>
      </c>
      <c r="F2957">
        <v>7485907224</v>
      </c>
      <c r="G2957">
        <v>5467912569</v>
      </c>
      <c r="H2957">
        <v>5087158436</v>
      </c>
      <c r="I2957">
        <v>3389307027</v>
      </c>
      <c r="J2957">
        <v>2552450044</v>
      </c>
      <c r="K2957">
        <v>1797815618</v>
      </c>
      <c r="L2957">
        <v>1429562775</v>
      </c>
      <c r="M2957">
        <v>1192225160</v>
      </c>
      <c r="N2957">
        <v>674961933</v>
      </c>
      <c r="O2957">
        <v>406620174</v>
      </c>
      <c r="P2957">
        <v>3020</v>
      </c>
      <c r="Q2957" t="s">
        <v>6252</v>
      </c>
    </row>
    <row r="2958" spans="1:17" x14ac:dyDescent="0.3">
      <c r="A2958" t="s">
        <v>4729</v>
      </c>
      <c r="B2958" t="str">
        <f>"002231"</f>
        <v>002231</v>
      </c>
      <c r="C2958" t="s">
        <v>6253</v>
      </c>
      <c r="D2958" t="s">
        <v>1136</v>
      </c>
      <c r="F2958">
        <v>178924529</v>
      </c>
      <c r="G2958">
        <v>157429159</v>
      </c>
      <c r="H2958">
        <v>203648502</v>
      </c>
      <c r="I2958">
        <v>152746688</v>
      </c>
      <c r="J2958">
        <v>420612071</v>
      </c>
      <c r="K2958">
        <v>386187646</v>
      </c>
      <c r="L2958">
        <v>400281893</v>
      </c>
      <c r="M2958">
        <v>443661778</v>
      </c>
      <c r="N2958">
        <v>356850628</v>
      </c>
      <c r="O2958">
        <v>334252254</v>
      </c>
      <c r="P2958">
        <v>155</v>
      </c>
      <c r="Q2958" t="s">
        <v>6254</v>
      </c>
    </row>
    <row r="2959" spans="1:17" x14ac:dyDescent="0.3">
      <c r="A2959" t="s">
        <v>4729</v>
      </c>
      <c r="B2959" t="str">
        <f>"002232"</f>
        <v>002232</v>
      </c>
      <c r="C2959" t="s">
        <v>6255</v>
      </c>
      <c r="D2959" t="s">
        <v>316</v>
      </c>
      <c r="F2959">
        <v>323281332</v>
      </c>
      <c r="G2959">
        <v>265296233</v>
      </c>
      <c r="H2959">
        <v>368175092</v>
      </c>
      <c r="I2959">
        <v>457007997</v>
      </c>
      <c r="J2959">
        <v>341951608</v>
      </c>
      <c r="K2959">
        <v>196927308</v>
      </c>
      <c r="L2959">
        <v>244589208</v>
      </c>
      <c r="M2959">
        <v>324952094</v>
      </c>
      <c r="N2959">
        <v>232798236</v>
      </c>
      <c r="O2959">
        <v>149456131</v>
      </c>
      <c r="P2959">
        <v>247</v>
      </c>
      <c r="Q2959" t="s">
        <v>6256</v>
      </c>
    </row>
    <row r="2960" spans="1:17" x14ac:dyDescent="0.3">
      <c r="A2960" t="s">
        <v>4729</v>
      </c>
      <c r="B2960" t="str">
        <f>"002233"</f>
        <v>002233</v>
      </c>
      <c r="C2960" t="s">
        <v>6257</v>
      </c>
      <c r="D2960" t="s">
        <v>731</v>
      </c>
      <c r="F2960">
        <v>26725373</v>
      </c>
      <c r="G2960">
        <v>37064155</v>
      </c>
      <c r="H2960">
        <v>40697341</v>
      </c>
      <c r="I2960">
        <v>53913300</v>
      </c>
      <c r="J2960">
        <v>103940889</v>
      </c>
      <c r="K2960">
        <v>127576218</v>
      </c>
      <c r="L2960">
        <v>90631503</v>
      </c>
      <c r="M2960">
        <v>79854055</v>
      </c>
      <c r="N2960">
        <v>70713792</v>
      </c>
      <c r="O2960">
        <v>56467747</v>
      </c>
      <c r="P2960">
        <v>1388</v>
      </c>
      <c r="Q2960" t="s">
        <v>6258</v>
      </c>
    </row>
    <row r="2961" spans="1:17" x14ac:dyDescent="0.3">
      <c r="A2961" t="s">
        <v>4729</v>
      </c>
      <c r="B2961" t="str">
        <f>"002234"</f>
        <v>002234</v>
      </c>
      <c r="C2961" t="s">
        <v>6259</v>
      </c>
      <c r="D2961" t="s">
        <v>6260</v>
      </c>
      <c r="F2961">
        <v>56347317</v>
      </c>
      <c r="G2961">
        <v>27271963</v>
      </c>
      <c r="H2961">
        <v>36772658</v>
      </c>
      <c r="I2961">
        <v>31294394</v>
      </c>
      <c r="J2961">
        <v>42983686</v>
      </c>
      <c r="K2961">
        <v>39023857</v>
      </c>
      <c r="L2961">
        <v>51482025</v>
      </c>
      <c r="M2961">
        <v>38339518</v>
      </c>
      <c r="N2961">
        <v>32310215</v>
      </c>
      <c r="O2961">
        <v>32690588</v>
      </c>
      <c r="P2961">
        <v>577</v>
      </c>
      <c r="Q2961" t="s">
        <v>6261</v>
      </c>
    </row>
    <row r="2962" spans="1:17" x14ac:dyDescent="0.3">
      <c r="A2962" t="s">
        <v>4729</v>
      </c>
      <c r="B2962" t="str">
        <f>"002235"</f>
        <v>002235</v>
      </c>
      <c r="C2962" t="s">
        <v>6262</v>
      </c>
      <c r="D2962" t="s">
        <v>244</v>
      </c>
      <c r="F2962">
        <v>160777154</v>
      </c>
      <c r="G2962">
        <v>191638233</v>
      </c>
      <c r="H2962">
        <v>265547099</v>
      </c>
      <c r="I2962">
        <v>322170665</v>
      </c>
      <c r="J2962">
        <v>115265188</v>
      </c>
      <c r="K2962">
        <v>92505140</v>
      </c>
      <c r="L2962">
        <v>40948803</v>
      </c>
      <c r="M2962">
        <v>74560748</v>
      </c>
      <c r="N2962">
        <v>86052908</v>
      </c>
      <c r="O2962">
        <v>102030651</v>
      </c>
      <c r="P2962">
        <v>142</v>
      </c>
      <c r="Q2962" t="s">
        <v>6263</v>
      </c>
    </row>
    <row r="2963" spans="1:17" x14ac:dyDescent="0.3">
      <c r="A2963" t="s">
        <v>4729</v>
      </c>
      <c r="B2963" t="str">
        <f>"002236"</f>
        <v>002236</v>
      </c>
      <c r="C2963" t="s">
        <v>6264</v>
      </c>
      <c r="D2963" t="s">
        <v>2980</v>
      </c>
      <c r="F2963">
        <v>14654490643</v>
      </c>
      <c r="G2963">
        <v>12857519110</v>
      </c>
      <c r="H2963">
        <v>13241196381</v>
      </c>
      <c r="I2963">
        <v>10191372777</v>
      </c>
      <c r="J2963">
        <v>7539944757</v>
      </c>
      <c r="K2963">
        <v>6205557181</v>
      </c>
      <c r="L2963">
        <v>4974772700</v>
      </c>
      <c r="M2963">
        <v>2759017312</v>
      </c>
      <c r="N2963">
        <v>2127221748</v>
      </c>
      <c r="O2963">
        <v>973378529</v>
      </c>
      <c r="P2963">
        <v>32899</v>
      </c>
      <c r="Q2963" t="s">
        <v>6265</v>
      </c>
    </row>
    <row r="2964" spans="1:17" x14ac:dyDescent="0.3">
      <c r="A2964" t="s">
        <v>4729</v>
      </c>
      <c r="B2964" t="str">
        <f>"002237"</f>
        <v>002237</v>
      </c>
      <c r="C2964" t="s">
        <v>6266</v>
      </c>
      <c r="D2964" t="s">
        <v>701</v>
      </c>
      <c r="F2964">
        <v>21332704</v>
      </c>
      <c r="G2964">
        <v>47358751</v>
      </c>
      <c r="H2964">
        <v>75554321</v>
      </c>
      <c r="I2964">
        <v>69121949</v>
      </c>
      <c r="J2964">
        <v>11244925</v>
      </c>
      <c r="K2964">
        <v>14659583</v>
      </c>
      <c r="L2964">
        <v>138528277</v>
      </c>
      <c r="M2964">
        <v>9840030</v>
      </c>
      <c r="N2964">
        <v>109889773</v>
      </c>
      <c r="O2964">
        <v>123267546</v>
      </c>
      <c r="P2964">
        <v>193</v>
      </c>
      <c r="Q2964" t="s">
        <v>6267</v>
      </c>
    </row>
    <row r="2965" spans="1:17" x14ac:dyDescent="0.3">
      <c r="A2965" t="s">
        <v>4729</v>
      </c>
      <c r="B2965" t="str">
        <f>"002238"</f>
        <v>002238</v>
      </c>
      <c r="C2965" t="s">
        <v>6268</v>
      </c>
      <c r="D2965" t="s">
        <v>95</v>
      </c>
      <c r="F2965">
        <v>135262765</v>
      </c>
      <c r="G2965">
        <v>92557098</v>
      </c>
      <c r="H2965">
        <v>94903929</v>
      </c>
      <c r="I2965">
        <v>62058364</v>
      </c>
      <c r="J2965">
        <v>56868525</v>
      </c>
      <c r="K2965">
        <v>42750618</v>
      </c>
      <c r="L2965">
        <v>53719271</v>
      </c>
      <c r="M2965">
        <v>38886478</v>
      </c>
      <c r="N2965">
        <v>34539051</v>
      </c>
      <c r="O2965">
        <v>22511232</v>
      </c>
      <c r="P2965">
        <v>205</v>
      </c>
      <c r="Q2965" t="s">
        <v>6269</v>
      </c>
    </row>
    <row r="2966" spans="1:17" x14ac:dyDescent="0.3">
      <c r="A2966" t="s">
        <v>4729</v>
      </c>
      <c r="B2966" t="str">
        <f>"002239"</f>
        <v>002239</v>
      </c>
      <c r="C2966" t="s">
        <v>6270</v>
      </c>
      <c r="D2966" t="s">
        <v>1415</v>
      </c>
      <c r="F2966">
        <v>1418371315</v>
      </c>
      <c r="G2966">
        <v>1092582963</v>
      </c>
      <c r="H2966">
        <v>943394265</v>
      </c>
      <c r="I2966">
        <v>1133454208</v>
      </c>
      <c r="J2966">
        <v>1345152059</v>
      </c>
      <c r="K2966">
        <v>1372117366</v>
      </c>
      <c r="L2966">
        <v>984473202</v>
      </c>
      <c r="M2966">
        <v>106191663</v>
      </c>
      <c r="N2966">
        <v>88168993</v>
      </c>
      <c r="O2966">
        <v>77676730</v>
      </c>
      <c r="P2966">
        <v>242</v>
      </c>
      <c r="Q2966" t="s">
        <v>6271</v>
      </c>
    </row>
    <row r="2967" spans="1:17" x14ac:dyDescent="0.3">
      <c r="A2967" t="s">
        <v>4729</v>
      </c>
      <c r="B2967" t="str">
        <f>"002240"</f>
        <v>002240</v>
      </c>
      <c r="C2967" t="s">
        <v>6272</v>
      </c>
      <c r="D2967" t="s">
        <v>5371</v>
      </c>
      <c r="F2967">
        <v>255270366</v>
      </c>
      <c r="G2967">
        <v>143106665</v>
      </c>
      <c r="H2967">
        <v>214105387</v>
      </c>
      <c r="I2967">
        <v>143533707</v>
      </c>
      <c r="J2967">
        <v>70337543</v>
      </c>
      <c r="K2967">
        <v>134739619</v>
      </c>
      <c r="L2967">
        <v>137838881</v>
      </c>
      <c r="M2967">
        <v>127393073</v>
      </c>
      <c r="N2967">
        <v>117180429</v>
      </c>
      <c r="O2967">
        <v>127744956</v>
      </c>
      <c r="P2967">
        <v>389</v>
      </c>
      <c r="Q2967" t="s">
        <v>6273</v>
      </c>
    </row>
    <row r="2968" spans="1:17" x14ac:dyDescent="0.3">
      <c r="A2968" t="s">
        <v>4729</v>
      </c>
      <c r="B2968" t="str">
        <f>"002241"</f>
        <v>002241</v>
      </c>
      <c r="C2968" t="s">
        <v>6274</v>
      </c>
      <c r="D2968" t="s">
        <v>313</v>
      </c>
      <c r="F2968">
        <v>11899214526</v>
      </c>
      <c r="G2968">
        <v>9951611597</v>
      </c>
      <c r="H2968">
        <v>8103952323</v>
      </c>
      <c r="I2968">
        <v>7191930014</v>
      </c>
      <c r="J2968">
        <v>6290563594</v>
      </c>
      <c r="K2968">
        <v>5404065024</v>
      </c>
      <c r="L2968">
        <v>3745273708</v>
      </c>
      <c r="M2968">
        <v>4152935992</v>
      </c>
      <c r="N2968">
        <v>3755521388</v>
      </c>
      <c r="O2968">
        <v>2167719229</v>
      </c>
      <c r="P2968">
        <v>3528</v>
      </c>
      <c r="Q2968" t="s">
        <v>6275</v>
      </c>
    </row>
    <row r="2969" spans="1:17" x14ac:dyDescent="0.3">
      <c r="A2969" t="s">
        <v>4729</v>
      </c>
      <c r="B2969" t="str">
        <f>"002242"</f>
        <v>002242</v>
      </c>
      <c r="C2969" t="s">
        <v>6276</v>
      </c>
      <c r="D2969" t="s">
        <v>5799</v>
      </c>
      <c r="F2969">
        <v>590075983</v>
      </c>
      <c r="G2969">
        <v>212481360</v>
      </c>
      <c r="H2969">
        <v>205666453</v>
      </c>
      <c r="I2969">
        <v>170334201</v>
      </c>
      <c r="J2969">
        <v>128531167</v>
      </c>
      <c r="K2969">
        <v>85254228</v>
      </c>
      <c r="L2969">
        <v>88840437</v>
      </c>
      <c r="M2969">
        <v>78415339</v>
      </c>
      <c r="N2969">
        <v>120823790</v>
      </c>
      <c r="O2969">
        <v>105678505</v>
      </c>
      <c r="P2969">
        <v>54902</v>
      </c>
      <c r="Q2969" t="s">
        <v>6277</v>
      </c>
    </row>
    <row r="2970" spans="1:17" x14ac:dyDescent="0.3">
      <c r="A2970" t="s">
        <v>4729</v>
      </c>
      <c r="B2970" t="str">
        <f>"002243"</f>
        <v>002243</v>
      </c>
      <c r="C2970" t="s">
        <v>6278</v>
      </c>
      <c r="D2970" t="s">
        <v>5979</v>
      </c>
      <c r="F2970">
        <v>1117145141</v>
      </c>
      <c r="G2970">
        <v>673129414</v>
      </c>
      <c r="H2970">
        <v>671291620</v>
      </c>
      <c r="I2970">
        <v>484740872</v>
      </c>
      <c r="J2970">
        <v>423211270</v>
      </c>
      <c r="K2970">
        <v>277102198</v>
      </c>
      <c r="L2970">
        <v>310817988</v>
      </c>
      <c r="M2970">
        <v>340065859</v>
      </c>
      <c r="N2970">
        <v>305967665</v>
      </c>
      <c r="O2970">
        <v>271969036</v>
      </c>
      <c r="P2970">
        <v>155</v>
      </c>
      <c r="Q2970" t="s">
        <v>6279</v>
      </c>
    </row>
    <row r="2971" spans="1:17" x14ac:dyDescent="0.3">
      <c r="A2971" t="s">
        <v>4729</v>
      </c>
      <c r="B2971" t="str">
        <f>"002244"</f>
        <v>002244</v>
      </c>
      <c r="C2971" t="s">
        <v>6280</v>
      </c>
      <c r="D2971" t="s">
        <v>104</v>
      </c>
      <c r="F2971">
        <v>486710115</v>
      </c>
      <c r="G2971">
        <v>462903569</v>
      </c>
      <c r="H2971">
        <v>461242840</v>
      </c>
      <c r="I2971">
        <v>306769938</v>
      </c>
      <c r="J2971">
        <v>218637411</v>
      </c>
      <c r="K2971">
        <v>129825701</v>
      </c>
      <c r="L2971">
        <v>77692823</v>
      </c>
      <c r="M2971">
        <v>73458069</v>
      </c>
      <c r="N2971">
        <v>51142414</v>
      </c>
      <c r="O2971">
        <v>3432679</v>
      </c>
      <c r="P2971">
        <v>403</v>
      </c>
      <c r="Q2971" t="s">
        <v>6281</v>
      </c>
    </row>
    <row r="2972" spans="1:17" x14ac:dyDescent="0.3">
      <c r="A2972" t="s">
        <v>4729</v>
      </c>
      <c r="B2972" t="str">
        <f>"002245"</f>
        <v>002245</v>
      </c>
      <c r="C2972" t="s">
        <v>6282</v>
      </c>
      <c r="D2972" t="s">
        <v>359</v>
      </c>
      <c r="F2972">
        <v>1600780010</v>
      </c>
      <c r="G2972">
        <v>1178216764</v>
      </c>
      <c r="H2972">
        <v>998641643</v>
      </c>
      <c r="I2972">
        <v>914575962</v>
      </c>
      <c r="J2972">
        <v>1029921881</v>
      </c>
      <c r="K2972">
        <v>631825796</v>
      </c>
      <c r="L2972">
        <v>314322343</v>
      </c>
      <c r="M2972">
        <v>396002126</v>
      </c>
      <c r="N2972">
        <v>373224571</v>
      </c>
      <c r="O2972">
        <v>357782041</v>
      </c>
      <c r="P2972">
        <v>377</v>
      </c>
      <c r="Q2972" t="s">
        <v>6283</v>
      </c>
    </row>
    <row r="2973" spans="1:17" x14ac:dyDescent="0.3">
      <c r="A2973" t="s">
        <v>4729</v>
      </c>
      <c r="B2973" t="str">
        <f>"002246"</f>
        <v>002246</v>
      </c>
      <c r="C2973" t="s">
        <v>6284</v>
      </c>
      <c r="D2973" t="s">
        <v>2736</v>
      </c>
      <c r="F2973">
        <v>290993323</v>
      </c>
      <c r="G2973">
        <v>253350607</v>
      </c>
      <c r="H2973">
        <v>346475338</v>
      </c>
      <c r="I2973">
        <v>590307416</v>
      </c>
      <c r="J2973">
        <v>430401409</v>
      </c>
      <c r="K2973">
        <v>450547637</v>
      </c>
      <c r="L2973">
        <v>283847685</v>
      </c>
      <c r="M2973">
        <v>256142666</v>
      </c>
      <c r="N2973">
        <v>295981938</v>
      </c>
      <c r="O2973">
        <v>68747401</v>
      </c>
      <c r="P2973">
        <v>117</v>
      </c>
      <c r="Q2973" t="s">
        <v>6285</v>
      </c>
    </row>
    <row r="2974" spans="1:17" x14ac:dyDescent="0.3">
      <c r="A2974" t="s">
        <v>4729</v>
      </c>
      <c r="B2974" t="str">
        <f>"002247"</f>
        <v>002247</v>
      </c>
      <c r="C2974" t="s">
        <v>6286</v>
      </c>
      <c r="D2974" t="s">
        <v>207</v>
      </c>
      <c r="F2974">
        <v>83348403</v>
      </c>
      <c r="G2974">
        <v>78440380</v>
      </c>
      <c r="H2974">
        <v>296537941</v>
      </c>
      <c r="I2974">
        <v>1208826432</v>
      </c>
      <c r="J2974">
        <v>994314047</v>
      </c>
      <c r="K2974">
        <v>537062034</v>
      </c>
      <c r="L2974">
        <v>123032889</v>
      </c>
      <c r="M2974">
        <v>104268735</v>
      </c>
      <c r="N2974">
        <v>78394919</v>
      </c>
      <c r="O2974">
        <v>69062281</v>
      </c>
      <c r="P2974">
        <v>90</v>
      </c>
      <c r="Q2974" t="s">
        <v>6287</v>
      </c>
    </row>
    <row r="2975" spans="1:17" x14ac:dyDescent="0.3">
      <c r="A2975" t="s">
        <v>4729</v>
      </c>
      <c r="B2975" t="str">
        <f>"002248"</f>
        <v>002248</v>
      </c>
      <c r="C2975" t="s">
        <v>6288</v>
      </c>
      <c r="D2975" t="s">
        <v>2321</v>
      </c>
      <c r="F2975">
        <v>9131129</v>
      </c>
      <c r="G2975">
        <v>13724115</v>
      </c>
      <c r="H2975">
        <v>25688009</v>
      </c>
      <c r="I2975">
        <v>33937926</v>
      </c>
      <c r="J2975">
        <v>68724659</v>
      </c>
      <c r="K2975">
        <v>93038855</v>
      </c>
      <c r="L2975">
        <v>120457751</v>
      </c>
      <c r="M2975">
        <v>158172530</v>
      </c>
      <c r="N2975">
        <v>174753465</v>
      </c>
      <c r="O2975">
        <v>195573884</v>
      </c>
      <c r="P2975">
        <v>109</v>
      </c>
      <c r="Q2975" t="s">
        <v>6289</v>
      </c>
    </row>
    <row r="2976" spans="1:17" x14ac:dyDescent="0.3">
      <c r="A2976" t="s">
        <v>4729</v>
      </c>
      <c r="B2976" t="str">
        <f>"002249"</f>
        <v>002249</v>
      </c>
      <c r="C2976" t="s">
        <v>6290</v>
      </c>
      <c r="D2976" t="s">
        <v>1171</v>
      </c>
      <c r="F2976">
        <v>2477250402</v>
      </c>
      <c r="G2976">
        <v>1984885149</v>
      </c>
      <c r="H2976">
        <v>2108075259</v>
      </c>
      <c r="I2976">
        <v>2707717763</v>
      </c>
      <c r="J2976">
        <v>2339723829</v>
      </c>
      <c r="K2976">
        <v>1828566696</v>
      </c>
      <c r="L2976">
        <v>1025547568</v>
      </c>
      <c r="M2976">
        <v>806645174</v>
      </c>
      <c r="N2976">
        <v>482786401</v>
      </c>
      <c r="O2976">
        <v>480387579</v>
      </c>
      <c r="P2976">
        <v>338</v>
      </c>
      <c r="Q2976" t="s">
        <v>6291</v>
      </c>
    </row>
    <row r="2977" spans="1:17" x14ac:dyDescent="0.3">
      <c r="A2977" t="s">
        <v>4729</v>
      </c>
      <c r="B2977" t="str">
        <f>"002250"</f>
        <v>002250</v>
      </c>
      <c r="C2977" t="s">
        <v>6292</v>
      </c>
      <c r="D2977" t="s">
        <v>853</v>
      </c>
      <c r="F2977">
        <v>1331890991</v>
      </c>
      <c r="G2977">
        <v>871182791</v>
      </c>
      <c r="H2977">
        <v>954314714</v>
      </c>
      <c r="I2977">
        <v>1032035925</v>
      </c>
      <c r="J2977">
        <v>867167355</v>
      </c>
      <c r="K2977">
        <v>633779380</v>
      </c>
      <c r="L2977">
        <v>708205739</v>
      </c>
      <c r="M2977">
        <v>690978666</v>
      </c>
      <c r="N2977">
        <v>630357088</v>
      </c>
      <c r="O2977">
        <v>405951369</v>
      </c>
      <c r="P2977">
        <v>348</v>
      </c>
      <c r="Q2977" t="s">
        <v>6293</v>
      </c>
    </row>
    <row r="2978" spans="1:17" x14ac:dyDescent="0.3">
      <c r="A2978" t="s">
        <v>4729</v>
      </c>
      <c r="B2978" t="str">
        <f>"002251"</f>
        <v>002251</v>
      </c>
      <c r="C2978" t="s">
        <v>6294</v>
      </c>
      <c r="D2978" t="s">
        <v>798</v>
      </c>
      <c r="F2978">
        <v>291710425</v>
      </c>
      <c r="G2978">
        <v>153177498</v>
      </c>
      <c r="H2978">
        <v>123186535</v>
      </c>
      <c r="I2978">
        <v>70742922</v>
      </c>
      <c r="J2978">
        <v>82950518</v>
      </c>
      <c r="K2978">
        <v>126202175</v>
      </c>
      <c r="L2978">
        <v>105245549</v>
      </c>
      <c r="M2978">
        <v>75451079</v>
      </c>
      <c r="N2978">
        <v>66768815</v>
      </c>
      <c r="O2978">
        <v>73297438</v>
      </c>
      <c r="P2978">
        <v>196</v>
      </c>
      <c r="Q2978" t="s">
        <v>6295</v>
      </c>
    </row>
    <row r="2979" spans="1:17" x14ac:dyDescent="0.3">
      <c r="A2979" t="s">
        <v>4729</v>
      </c>
      <c r="B2979" t="str">
        <f>"002252"</f>
        <v>002252</v>
      </c>
      <c r="C2979" t="s">
        <v>6296</v>
      </c>
      <c r="D2979" t="s">
        <v>378</v>
      </c>
      <c r="F2979">
        <v>467915730</v>
      </c>
      <c r="G2979">
        <v>403390953</v>
      </c>
      <c r="H2979">
        <v>680001802</v>
      </c>
      <c r="I2979">
        <v>838083319</v>
      </c>
      <c r="J2979">
        <v>957468578</v>
      </c>
      <c r="K2979">
        <v>364916411</v>
      </c>
      <c r="L2979">
        <v>120334974</v>
      </c>
      <c r="M2979">
        <v>113713563</v>
      </c>
      <c r="N2979">
        <v>133128266</v>
      </c>
      <c r="O2979">
        <v>73807823</v>
      </c>
      <c r="P2979">
        <v>602</v>
      </c>
      <c r="Q2979" t="s">
        <v>6297</v>
      </c>
    </row>
    <row r="2980" spans="1:17" x14ac:dyDescent="0.3">
      <c r="A2980" t="s">
        <v>4729</v>
      </c>
      <c r="B2980" t="str">
        <f>"002253"</f>
        <v>002253</v>
      </c>
      <c r="C2980" t="s">
        <v>6298</v>
      </c>
      <c r="D2980" t="s">
        <v>945</v>
      </c>
      <c r="F2980">
        <v>171302453</v>
      </c>
      <c r="G2980">
        <v>196728065</v>
      </c>
      <c r="H2980">
        <v>163061685</v>
      </c>
      <c r="I2980">
        <v>136784304</v>
      </c>
      <c r="J2980">
        <v>145037466</v>
      </c>
      <c r="K2980">
        <v>113533184</v>
      </c>
      <c r="L2980">
        <v>114874942</v>
      </c>
      <c r="M2980">
        <v>94247564</v>
      </c>
      <c r="N2980">
        <v>143540487</v>
      </c>
      <c r="O2980">
        <v>132900187</v>
      </c>
      <c r="P2980">
        <v>151</v>
      </c>
      <c r="Q2980" t="s">
        <v>6299</v>
      </c>
    </row>
    <row r="2981" spans="1:17" x14ac:dyDescent="0.3">
      <c r="A2981" t="s">
        <v>4729</v>
      </c>
      <c r="B2981" t="str">
        <f>"002254"</f>
        <v>002254</v>
      </c>
      <c r="C2981" t="s">
        <v>6300</v>
      </c>
      <c r="D2981" t="s">
        <v>5631</v>
      </c>
      <c r="F2981">
        <v>126030483</v>
      </c>
      <c r="G2981">
        <v>69454884</v>
      </c>
      <c r="H2981">
        <v>72066079</v>
      </c>
      <c r="I2981">
        <v>86980607</v>
      </c>
      <c r="J2981">
        <v>110426722</v>
      </c>
      <c r="K2981">
        <v>133938110</v>
      </c>
      <c r="L2981">
        <v>193305173</v>
      </c>
      <c r="M2981">
        <v>104070225</v>
      </c>
      <c r="N2981">
        <v>54338984</v>
      </c>
      <c r="O2981">
        <v>69906697</v>
      </c>
      <c r="P2981">
        <v>215</v>
      </c>
      <c r="Q2981" t="s">
        <v>6301</v>
      </c>
    </row>
    <row r="2982" spans="1:17" x14ac:dyDescent="0.3">
      <c r="A2982" t="s">
        <v>4729</v>
      </c>
      <c r="B2982" t="str">
        <f>"002255"</f>
        <v>002255</v>
      </c>
      <c r="C2982" t="s">
        <v>6302</v>
      </c>
      <c r="D2982" t="s">
        <v>470</v>
      </c>
      <c r="F2982">
        <v>934762620</v>
      </c>
      <c r="G2982">
        <v>831963520</v>
      </c>
      <c r="H2982">
        <v>816785073</v>
      </c>
      <c r="I2982">
        <v>1859259584</v>
      </c>
      <c r="J2982">
        <v>1634925665</v>
      </c>
      <c r="K2982">
        <v>761114353</v>
      </c>
      <c r="L2982">
        <v>743272088</v>
      </c>
      <c r="M2982">
        <v>755258693</v>
      </c>
      <c r="N2982">
        <v>767743363</v>
      </c>
      <c r="O2982">
        <v>553144068</v>
      </c>
      <c r="P2982">
        <v>107</v>
      </c>
      <c r="Q2982" t="s">
        <v>6303</v>
      </c>
    </row>
    <row r="2983" spans="1:17" x14ac:dyDescent="0.3">
      <c r="A2983" t="s">
        <v>4729</v>
      </c>
      <c r="B2983" t="str">
        <f>"002256"</f>
        <v>002256</v>
      </c>
      <c r="C2983" t="s">
        <v>6304</v>
      </c>
      <c r="D2983" t="s">
        <v>86</v>
      </c>
      <c r="F2983">
        <v>177341561</v>
      </c>
      <c r="G2983">
        <v>465946771</v>
      </c>
      <c r="H2983">
        <v>406613733</v>
      </c>
      <c r="I2983">
        <v>376699722</v>
      </c>
      <c r="J2983">
        <v>362444170</v>
      </c>
      <c r="K2983">
        <v>217282268</v>
      </c>
      <c r="L2983">
        <v>163293282</v>
      </c>
      <c r="M2983">
        <v>132087029</v>
      </c>
      <c r="N2983">
        <v>64421127</v>
      </c>
      <c r="O2983">
        <v>83214796</v>
      </c>
      <c r="P2983">
        <v>151</v>
      </c>
      <c r="Q2983" t="s">
        <v>6305</v>
      </c>
    </row>
    <row r="2984" spans="1:17" x14ac:dyDescent="0.3">
      <c r="A2984" t="s">
        <v>4729</v>
      </c>
      <c r="B2984" t="str">
        <f>"002258"</f>
        <v>002258</v>
      </c>
      <c r="C2984" t="s">
        <v>6306</v>
      </c>
      <c r="D2984" t="s">
        <v>853</v>
      </c>
      <c r="F2984">
        <v>1267436376</v>
      </c>
      <c r="G2984">
        <v>900017748</v>
      </c>
      <c r="H2984">
        <v>742914887</v>
      </c>
      <c r="I2984">
        <v>793160074</v>
      </c>
      <c r="J2984">
        <v>650226202</v>
      </c>
      <c r="K2984">
        <v>391993897</v>
      </c>
      <c r="L2984">
        <v>293277012</v>
      </c>
      <c r="M2984">
        <v>201523017</v>
      </c>
      <c r="N2984">
        <v>245764944</v>
      </c>
      <c r="O2984">
        <v>218438434</v>
      </c>
      <c r="P2984">
        <v>646</v>
      </c>
      <c r="Q2984" t="s">
        <v>6307</v>
      </c>
    </row>
    <row r="2985" spans="1:17" x14ac:dyDescent="0.3">
      <c r="A2985" t="s">
        <v>4729</v>
      </c>
      <c r="B2985" t="str">
        <f>"002259"</f>
        <v>002259</v>
      </c>
      <c r="C2985" t="s">
        <v>6308</v>
      </c>
      <c r="D2985" t="s">
        <v>749</v>
      </c>
      <c r="F2985">
        <v>14192141</v>
      </c>
      <c r="G2985">
        <v>10800789</v>
      </c>
      <c r="H2985">
        <v>432608824</v>
      </c>
      <c r="I2985">
        <v>448875290</v>
      </c>
      <c r="J2985">
        <v>312889764</v>
      </c>
      <c r="K2985">
        <v>121032049</v>
      </c>
      <c r="L2985">
        <v>121022888</v>
      </c>
      <c r="M2985">
        <v>116112694</v>
      </c>
      <c r="N2985">
        <v>91084850</v>
      </c>
      <c r="O2985">
        <v>67390887</v>
      </c>
      <c r="P2985">
        <v>59</v>
      </c>
      <c r="Q2985" t="s">
        <v>6309</v>
      </c>
    </row>
    <row r="2986" spans="1:17" x14ac:dyDescent="0.3">
      <c r="A2986" t="s">
        <v>4729</v>
      </c>
      <c r="B2986" t="str">
        <f>"002260"</f>
        <v>002260</v>
      </c>
      <c r="C2986" t="s">
        <v>6310</v>
      </c>
      <c r="D2986" t="s">
        <v>5799</v>
      </c>
      <c r="F2986">
        <v>92437595</v>
      </c>
      <c r="G2986">
        <v>98144560</v>
      </c>
      <c r="H2986">
        <v>96826562</v>
      </c>
      <c r="I2986">
        <v>75223912</v>
      </c>
      <c r="J2986">
        <v>96334096</v>
      </c>
      <c r="K2986">
        <v>74562721</v>
      </c>
      <c r="L2986">
        <v>84032491</v>
      </c>
      <c r="M2986">
        <v>131092461</v>
      </c>
      <c r="N2986">
        <v>75514917</v>
      </c>
      <c r="O2986">
        <v>79229596</v>
      </c>
      <c r="P2986">
        <v>57</v>
      </c>
      <c r="Q2986" t="s">
        <v>6311</v>
      </c>
    </row>
    <row r="2987" spans="1:17" x14ac:dyDescent="0.3">
      <c r="A2987" t="s">
        <v>4729</v>
      </c>
      <c r="B2987" t="str">
        <f>"002261"</f>
        <v>002261</v>
      </c>
      <c r="C2987" t="s">
        <v>6312</v>
      </c>
      <c r="D2987" t="s">
        <v>1285</v>
      </c>
      <c r="F2987">
        <v>399544640</v>
      </c>
      <c r="G2987">
        <v>483512021</v>
      </c>
      <c r="H2987">
        <v>417003756</v>
      </c>
      <c r="I2987">
        <v>440710533</v>
      </c>
      <c r="J2987">
        <v>435952777</v>
      </c>
      <c r="K2987">
        <v>378227760</v>
      </c>
      <c r="L2987">
        <v>381681930</v>
      </c>
      <c r="M2987">
        <v>172195256</v>
      </c>
      <c r="N2987">
        <v>187300080</v>
      </c>
      <c r="O2987">
        <v>117774535</v>
      </c>
      <c r="P2987">
        <v>299</v>
      </c>
      <c r="Q2987" t="s">
        <v>6313</v>
      </c>
    </row>
    <row r="2988" spans="1:17" x14ac:dyDescent="0.3">
      <c r="A2988" t="s">
        <v>4729</v>
      </c>
      <c r="B2988" t="str">
        <f>"002262"</f>
        <v>002262</v>
      </c>
      <c r="C2988" t="s">
        <v>6314</v>
      </c>
      <c r="D2988" t="s">
        <v>143</v>
      </c>
      <c r="F2988">
        <v>676638865</v>
      </c>
      <c r="G2988">
        <v>585737033</v>
      </c>
      <c r="H2988">
        <v>554068926</v>
      </c>
      <c r="I2988">
        <v>858533018</v>
      </c>
      <c r="J2988">
        <v>652173576</v>
      </c>
      <c r="K2988">
        <v>713581585</v>
      </c>
      <c r="L2988">
        <v>606638066</v>
      </c>
      <c r="M2988">
        <v>555376281</v>
      </c>
      <c r="N2988">
        <v>461564158</v>
      </c>
      <c r="O2988">
        <v>388682672</v>
      </c>
      <c r="P2988">
        <v>51365</v>
      </c>
      <c r="Q2988" t="s">
        <v>6315</v>
      </c>
    </row>
    <row r="2989" spans="1:17" x14ac:dyDescent="0.3">
      <c r="A2989" t="s">
        <v>4729</v>
      </c>
      <c r="B2989" t="str">
        <f>"002263"</f>
        <v>002263</v>
      </c>
      <c r="C2989" t="s">
        <v>6316</v>
      </c>
      <c r="D2989" t="s">
        <v>324</v>
      </c>
      <c r="F2989">
        <v>95238373</v>
      </c>
      <c r="G2989">
        <v>77927839</v>
      </c>
      <c r="H2989">
        <v>96388411</v>
      </c>
      <c r="I2989">
        <v>114440833</v>
      </c>
      <c r="J2989">
        <v>155705483</v>
      </c>
      <c r="K2989">
        <v>150612708</v>
      </c>
      <c r="L2989">
        <v>131464289</v>
      </c>
      <c r="M2989">
        <v>77963284</v>
      </c>
      <c r="N2989">
        <v>66086343</v>
      </c>
      <c r="O2989">
        <v>58625508</v>
      </c>
      <c r="P2989">
        <v>126</v>
      </c>
      <c r="Q2989" t="s">
        <v>6317</v>
      </c>
    </row>
    <row r="2990" spans="1:17" x14ac:dyDescent="0.3">
      <c r="A2990" t="s">
        <v>4729</v>
      </c>
      <c r="B2990" t="str">
        <f>"002264"</f>
        <v>002264</v>
      </c>
      <c r="C2990" t="s">
        <v>6318</v>
      </c>
      <c r="D2990" t="s">
        <v>798</v>
      </c>
      <c r="F2990">
        <v>540156261</v>
      </c>
      <c r="G2990">
        <v>620598792</v>
      </c>
      <c r="H2990">
        <v>592617616</v>
      </c>
      <c r="I2990">
        <v>363669647</v>
      </c>
      <c r="J2990">
        <v>167006630</v>
      </c>
      <c r="K2990">
        <v>185782319</v>
      </c>
      <c r="L2990">
        <v>15617789</v>
      </c>
      <c r="M2990">
        <v>11588854</v>
      </c>
      <c r="N2990">
        <v>13607762</v>
      </c>
      <c r="O2990">
        <v>13718486</v>
      </c>
      <c r="P2990">
        <v>96</v>
      </c>
      <c r="Q2990" t="s">
        <v>6319</v>
      </c>
    </row>
    <row r="2991" spans="1:17" x14ac:dyDescent="0.3">
      <c r="A2991" t="s">
        <v>4729</v>
      </c>
      <c r="B2991" t="str">
        <f>"002265"</f>
        <v>002265</v>
      </c>
      <c r="C2991" t="s">
        <v>6320</v>
      </c>
      <c r="D2991" t="s">
        <v>348</v>
      </c>
      <c r="F2991">
        <v>197245655</v>
      </c>
      <c r="G2991">
        <v>177825991</v>
      </c>
      <c r="H2991">
        <v>249110835</v>
      </c>
      <c r="I2991">
        <v>202683206</v>
      </c>
      <c r="J2991">
        <v>199187599</v>
      </c>
      <c r="K2991">
        <v>144197556</v>
      </c>
      <c r="L2991">
        <v>94109550</v>
      </c>
      <c r="M2991">
        <v>116496710</v>
      </c>
      <c r="N2991">
        <v>102991861</v>
      </c>
      <c r="O2991">
        <v>103266255</v>
      </c>
      <c r="P2991">
        <v>86</v>
      </c>
      <c r="Q2991" t="s">
        <v>6321</v>
      </c>
    </row>
    <row r="2992" spans="1:17" x14ac:dyDescent="0.3">
      <c r="A2992" t="s">
        <v>4729</v>
      </c>
      <c r="B2992" t="str">
        <f>"002266"</f>
        <v>002266</v>
      </c>
      <c r="C2992" t="s">
        <v>6322</v>
      </c>
      <c r="D2992" t="s">
        <v>499</v>
      </c>
      <c r="F2992">
        <v>379528226</v>
      </c>
      <c r="G2992">
        <v>397292326</v>
      </c>
      <c r="H2992">
        <v>154462548</v>
      </c>
      <c r="I2992">
        <v>311894010</v>
      </c>
      <c r="J2992">
        <v>208969158</v>
      </c>
      <c r="K2992">
        <v>412637060</v>
      </c>
      <c r="L2992">
        <v>346773912</v>
      </c>
      <c r="M2992">
        <v>317171667</v>
      </c>
      <c r="N2992">
        <v>375162310</v>
      </c>
      <c r="O2992">
        <v>534660156</v>
      </c>
      <c r="P2992">
        <v>297</v>
      </c>
      <c r="Q2992" t="s">
        <v>6323</v>
      </c>
    </row>
    <row r="2993" spans="1:17" x14ac:dyDescent="0.3">
      <c r="A2993" t="s">
        <v>4729</v>
      </c>
      <c r="B2993" t="str">
        <f>"002267"</f>
        <v>002267</v>
      </c>
      <c r="C2993" t="s">
        <v>6324</v>
      </c>
      <c r="D2993" t="s">
        <v>749</v>
      </c>
      <c r="F2993">
        <v>393658265</v>
      </c>
      <c r="G2993">
        <v>558074405</v>
      </c>
      <c r="H2993">
        <v>230277454</v>
      </c>
      <c r="I2993">
        <v>413443127</v>
      </c>
      <c r="J2993">
        <v>591663402</v>
      </c>
      <c r="K2993">
        <v>392194875</v>
      </c>
      <c r="L2993">
        <v>552509656</v>
      </c>
      <c r="M2993">
        <v>346207972</v>
      </c>
      <c r="N2993">
        <v>197337720</v>
      </c>
      <c r="O2993">
        <v>305437801</v>
      </c>
      <c r="P2993">
        <v>202</v>
      </c>
      <c r="Q2993" t="s">
        <v>6325</v>
      </c>
    </row>
    <row r="2994" spans="1:17" x14ac:dyDescent="0.3">
      <c r="A2994" t="s">
        <v>4729</v>
      </c>
      <c r="B2994" t="str">
        <f>"002268"</f>
        <v>002268</v>
      </c>
      <c r="C2994" t="s">
        <v>6326</v>
      </c>
      <c r="D2994" t="s">
        <v>236</v>
      </c>
      <c r="F2994">
        <v>793610220</v>
      </c>
      <c r="G2994">
        <v>1274671256</v>
      </c>
      <c r="H2994">
        <v>1519745709</v>
      </c>
      <c r="I2994">
        <v>1722557405</v>
      </c>
      <c r="J2994">
        <v>1616093944</v>
      </c>
      <c r="K2994">
        <v>1087874279</v>
      </c>
      <c r="L2994">
        <v>854791683</v>
      </c>
      <c r="M2994">
        <v>599943797</v>
      </c>
      <c r="N2994">
        <v>250912468</v>
      </c>
      <c r="O2994">
        <v>209237428</v>
      </c>
      <c r="P2994">
        <v>525</v>
      </c>
      <c r="Q2994" t="s">
        <v>6327</v>
      </c>
    </row>
    <row r="2995" spans="1:17" x14ac:dyDescent="0.3">
      <c r="A2995" t="s">
        <v>4729</v>
      </c>
      <c r="B2995" t="str">
        <f>"002269"</f>
        <v>002269</v>
      </c>
      <c r="C2995" t="s">
        <v>6328</v>
      </c>
      <c r="D2995" t="s">
        <v>255</v>
      </c>
      <c r="F2995">
        <v>673836868</v>
      </c>
      <c r="G2995">
        <v>877643965</v>
      </c>
      <c r="H2995">
        <v>932682022</v>
      </c>
      <c r="I2995">
        <v>1217243227</v>
      </c>
      <c r="J2995">
        <v>438912867</v>
      </c>
      <c r="K2995">
        <v>349485865</v>
      </c>
      <c r="L2995">
        <v>248056889</v>
      </c>
      <c r="M2995">
        <v>234536158</v>
      </c>
      <c r="N2995">
        <v>319804786</v>
      </c>
      <c r="O2995">
        <v>464840757</v>
      </c>
      <c r="P2995">
        <v>143</v>
      </c>
      <c r="Q2995" t="s">
        <v>6329</v>
      </c>
    </row>
    <row r="2996" spans="1:17" x14ac:dyDescent="0.3">
      <c r="A2996" t="s">
        <v>4729</v>
      </c>
      <c r="B2996" t="str">
        <f>"002270"</f>
        <v>002270</v>
      </c>
      <c r="C2996" t="s">
        <v>6330</v>
      </c>
      <c r="D2996" t="s">
        <v>210</v>
      </c>
      <c r="F2996">
        <v>488956905</v>
      </c>
      <c r="G2996">
        <v>659394339</v>
      </c>
      <c r="H2996">
        <v>785779923</v>
      </c>
      <c r="I2996">
        <v>1103104011</v>
      </c>
      <c r="J2996">
        <v>904622344</v>
      </c>
      <c r="K2996">
        <v>573486836</v>
      </c>
      <c r="L2996">
        <v>267459067</v>
      </c>
      <c r="M2996">
        <v>93078284</v>
      </c>
      <c r="N2996">
        <v>97020170</v>
      </c>
      <c r="O2996">
        <v>72592981</v>
      </c>
      <c r="P2996">
        <v>160</v>
      </c>
      <c r="Q2996" t="s">
        <v>6331</v>
      </c>
    </row>
    <row r="2997" spans="1:17" x14ac:dyDescent="0.3">
      <c r="A2997" t="s">
        <v>4729</v>
      </c>
      <c r="B2997" t="str">
        <f>"002271"</f>
        <v>002271</v>
      </c>
      <c r="C2997" t="s">
        <v>6332</v>
      </c>
      <c r="D2997" t="s">
        <v>6333</v>
      </c>
      <c r="F2997">
        <v>8763963165</v>
      </c>
      <c r="G2997">
        <v>6101484706</v>
      </c>
      <c r="H2997">
        <v>5636056135</v>
      </c>
      <c r="I2997">
        <v>4510848627</v>
      </c>
      <c r="J2997">
        <v>4281922599</v>
      </c>
      <c r="K2997">
        <v>2883103323</v>
      </c>
      <c r="L2997">
        <v>2082081141</v>
      </c>
      <c r="M2997">
        <v>1542413537</v>
      </c>
      <c r="N2997">
        <v>1218979545</v>
      </c>
      <c r="O2997">
        <v>897009960</v>
      </c>
      <c r="P2997">
        <v>22866</v>
      </c>
      <c r="Q2997" t="s">
        <v>6334</v>
      </c>
    </row>
    <row r="2998" spans="1:17" x14ac:dyDescent="0.3">
      <c r="A2998" t="s">
        <v>4729</v>
      </c>
      <c r="B2998" t="str">
        <f>"002272"</f>
        <v>002272</v>
      </c>
      <c r="C2998" t="s">
        <v>6335</v>
      </c>
      <c r="D2998" t="s">
        <v>2007</v>
      </c>
      <c r="F2998">
        <v>753919881</v>
      </c>
      <c r="G2998">
        <v>649639069</v>
      </c>
      <c r="H2998">
        <v>408166993</v>
      </c>
      <c r="I2998">
        <v>404957845</v>
      </c>
      <c r="J2998">
        <v>419617840</v>
      </c>
      <c r="K2998">
        <v>455786702</v>
      </c>
      <c r="L2998">
        <v>496684332</v>
      </c>
      <c r="M2998">
        <v>442074467</v>
      </c>
      <c r="N2998">
        <v>339118749</v>
      </c>
      <c r="O2998">
        <v>300637906</v>
      </c>
      <c r="P2998">
        <v>107</v>
      </c>
      <c r="Q2998" t="s">
        <v>6336</v>
      </c>
    </row>
    <row r="2999" spans="1:17" x14ac:dyDescent="0.3">
      <c r="A2999" t="s">
        <v>4729</v>
      </c>
      <c r="B2999" t="str">
        <f>"002273"</f>
        <v>002273</v>
      </c>
      <c r="C2999" t="s">
        <v>6337</v>
      </c>
      <c r="D2999" t="s">
        <v>164</v>
      </c>
      <c r="F2999">
        <v>813330771</v>
      </c>
      <c r="G2999">
        <v>881672295</v>
      </c>
      <c r="H2999">
        <v>741967192</v>
      </c>
      <c r="I2999">
        <v>552374950</v>
      </c>
      <c r="J2999">
        <v>522739193</v>
      </c>
      <c r="K2999">
        <v>452192962</v>
      </c>
      <c r="L2999">
        <v>382238857</v>
      </c>
      <c r="M2999">
        <v>277252153</v>
      </c>
      <c r="N2999">
        <v>153623351</v>
      </c>
      <c r="O2999">
        <v>113944089</v>
      </c>
      <c r="P2999">
        <v>949</v>
      </c>
      <c r="Q2999" t="s">
        <v>6338</v>
      </c>
    </row>
    <row r="3000" spans="1:17" x14ac:dyDescent="0.3">
      <c r="A3000" t="s">
        <v>4729</v>
      </c>
      <c r="B3000" t="str">
        <f>"002274"</f>
        <v>002274</v>
      </c>
      <c r="C3000" t="s">
        <v>6339</v>
      </c>
      <c r="D3000" t="s">
        <v>5562</v>
      </c>
      <c r="F3000">
        <v>184035153</v>
      </c>
      <c r="G3000">
        <v>88065165</v>
      </c>
      <c r="H3000">
        <v>112906323</v>
      </c>
      <c r="I3000">
        <v>121855298</v>
      </c>
      <c r="J3000">
        <v>151291116</v>
      </c>
      <c r="K3000">
        <v>179025752</v>
      </c>
      <c r="L3000">
        <v>230112536</v>
      </c>
      <c r="M3000">
        <v>186418234</v>
      </c>
      <c r="N3000">
        <v>159175414</v>
      </c>
      <c r="O3000">
        <v>141920976</v>
      </c>
      <c r="P3000">
        <v>217</v>
      </c>
      <c r="Q3000" t="s">
        <v>6340</v>
      </c>
    </row>
    <row r="3001" spans="1:17" x14ac:dyDescent="0.3">
      <c r="A3001" t="s">
        <v>4729</v>
      </c>
      <c r="B3001" t="str">
        <f>"002275"</f>
        <v>002275</v>
      </c>
      <c r="C3001" t="s">
        <v>6341</v>
      </c>
      <c r="D3001" t="s">
        <v>188</v>
      </c>
      <c r="F3001">
        <v>47520406</v>
      </c>
      <c r="G3001">
        <v>44897794</v>
      </c>
      <c r="H3001">
        <v>138442089</v>
      </c>
      <c r="I3001">
        <v>122429721</v>
      </c>
      <c r="J3001">
        <v>113053894</v>
      </c>
      <c r="K3001">
        <v>97591412</v>
      </c>
      <c r="L3001">
        <v>87933310</v>
      </c>
      <c r="M3001">
        <v>70881840</v>
      </c>
      <c r="N3001">
        <v>37815930</v>
      </c>
      <c r="O3001">
        <v>41029128</v>
      </c>
      <c r="P3001">
        <v>11978</v>
      </c>
      <c r="Q3001" t="s">
        <v>6342</v>
      </c>
    </row>
    <row r="3002" spans="1:17" x14ac:dyDescent="0.3">
      <c r="A3002" t="s">
        <v>4729</v>
      </c>
      <c r="B3002" t="str">
        <f>"002276"</f>
        <v>002276</v>
      </c>
      <c r="C3002" t="s">
        <v>6343</v>
      </c>
      <c r="D3002" t="s">
        <v>1164</v>
      </c>
      <c r="F3002">
        <v>3453375481</v>
      </c>
      <c r="G3002">
        <v>2686794929</v>
      </c>
      <c r="H3002">
        <v>2806834635</v>
      </c>
      <c r="I3002">
        <v>2811636014</v>
      </c>
      <c r="J3002">
        <v>2575781828</v>
      </c>
      <c r="K3002">
        <v>2035943305</v>
      </c>
      <c r="L3002">
        <v>2037692824</v>
      </c>
      <c r="M3002">
        <v>1958448310</v>
      </c>
      <c r="N3002">
        <v>1645159546</v>
      </c>
      <c r="O3002">
        <v>1428778145</v>
      </c>
      <c r="P3002">
        <v>255</v>
      </c>
      <c r="Q3002" t="s">
        <v>6344</v>
      </c>
    </row>
    <row r="3003" spans="1:17" x14ac:dyDescent="0.3">
      <c r="A3003" t="s">
        <v>4729</v>
      </c>
      <c r="B3003" t="str">
        <f>"002277"</f>
        <v>002277</v>
      </c>
      <c r="C3003" t="s">
        <v>6345</v>
      </c>
      <c r="D3003" t="s">
        <v>633</v>
      </c>
      <c r="F3003">
        <v>117347752</v>
      </c>
      <c r="G3003">
        <v>187609394</v>
      </c>
      <c r="H3003">
        <v>189939984</v>
      </c>
      <c r="I3003">
        <v>108253271</v>
      </c>
      <c r="J3003">
        <v>82519998</v>
      </c>
      <c r="K3003">
        <v>9551070</v>
      </c>
      <c r="L3003">
        <v>6118815</v>
      </c>
      <c r="M3003">
        <v>3522263</v>
      </c>
      <c r="N3003">
        <v>11912028</v>
      </c>
      <c r="O3003">
        <v>26842186</v>
      </c>
      <c r="P3003">
        <v>145</v>
      </c>
      <c r="Q3003" t="s">
        <v>6346</v>
      </c>
    </row>
    <row r="3004" spans="1:17" x14ac:dyDescent="0.3">
      <c r="A3004" t="s">
        <v>4729</v>
      </c>
      <c r="B3004" t="str">
        <f>"002278"</f>
        <v>002278</v>
      </c>
      <c r="C3004" t="s">
        <v>6347</v>
      </c>
      <c r="D3004" t="s">
        <v>395</v>
      </c>
      <c r="F3004">
        <v>494589809</v>
      </c>
      <c r="G3004">
        <v>346911324</v>
      </c>
      <c r="H3004">
        <v>385949470</v>
      </c>
      <c r="I3004">
        <v>467874803</v>
      </c>
      <c r="J3004">
        <v>472949512</v>
      </c>
      <c r="K3004">
        <v>463637199</v>
      </c>
      <c r="L3004">
        <v>552708986</v>
      </c>
      <c r="M3004">
        <v>541331229</v>
      </c>
      <c r="N3004">
        <v>471803073</v>
      </c>
      <c r="O3004">
        <v>433531106</v>
      </c>
      <c r="P3004">
        <v>57</v>
      </c>
      <c r="Q3004" t="s">
        <v>6348</v>
      </c>
    </row>
    <row r="3005" spans="1:17" x14ac:dyDescent="0.3">
      <c r="A3005" t="s">
        <v>4729</v>
      </c>
      <c r="B3005" t="str">
        <f>"002279"</f>
        <v>002279</v>
      </c>
      <c r="C3005" t="s">
        <v>6349</v>
      </c>
      <c r="D3005" t="s">
        <v>1189</v>
      </c>
      <c r="F3005">
        <v>437056774</v>
      </c>
      <c r="G3005">
        <v>410662895</v>
      </c>
      <c r="H3005">
        <v>639767199</v>
      </c>
      <c r="I3005">
        <v>517590826</v>
      </c>
      <c r="J3005">
        <v>488216872</v>
      </c>
      <c r="K3005">
        <v>305783701</v>
      </c>
      <c r="L3005">
        <v>186830461</v>
      </c>
      <c r="M3005">
        <v>65227159</v>
      </c>
      <c r="N3005">
        <v>67084988</v>
      </c>
      <c r="O3005">
        <v>61047579</v>
      </c>
      <c r="P3005">
        <v>323</v>
      </c>
      <c r="Q3005" t="s">
        <v>6350</v>
      </c>
    </row>
    <row r="3006" spans="1:17" x14ac:dyDescent="0.3">
      <c r="A3006" t="s">
        <v>4729</v>
      </c>
      <c r="B3006" t="str">
        <f>"002280"</f>
        <v>002280</v>
      </c>
      <c r="C3006" t="s">
        <v>6351</v>
      </c>
      <c r="D3006" t="s">
        <v>2020</v>
      </c>
      <c r="F3006">
        <v>819208724</v>
      </c>
      <c r="G3006">
        <v>1322122051</v>
      </c>
      <c r="H3006">
        <v>2051919629</v>
      </c>
      <c r="I3006">
        <v>3167386291</v>
      </c>
      <c r="J3006">
        <v>2246464752</v>
      </c>
      <c r="K3006">
        <v>862677576</v>
      </c>
      <c r="L3006">
        <v>689119180</v>
      </c>
      <c r="M3006">
        <v>234493478</v>
      </c>
      <c r="N3006">
        <v>53362460</v>
      </c>
      <c r="O3006">
        <v>61083267</v>
      </c>
      <c r="P3006">
        <v>179</v>
      </c>
      <c r="Q3006" t="s">
        <v>6352</v>
      </c>
    </row>
    <row r="3007" spans="1:17" x14ac:dyDescent="0.3">
      <c r="A3007" t="s">
        <v>4729</v>
      </c>
      <c r="B3007" t="str">
        <f>"002281"</f>
        <v>002281</v>
      </c>
      <c r="C3007" t="s">
        <v>6353</v>
      </c>
      <c r="D3007" t="s">
        <v>1019</v>
      </c>
      <c r="F3007">
        <v>1599394238</v>
      </c>
      <c r="G3007">
        <v>1638252908</v>
      </c>
      <c r="H3007">
        <v>1888274061</v>
      </c>
      <c r="I3007">
        <v>1610067681</v>
      </c>
      <c r="J3007">
        <v>1166962047</v>
      </c>
      <c r="K3007">
        <v>701330902</v>
      </c>
      <c r="L3007">
        <v>646329803</v>
      </c>
      <c r="M3007">
        <v>547827110</v>
      </c>
      <c r="N3007">
        <v>506723258</v>
      </c>
      <c r="O3007">
        <v>658310785</v>
      </c>
      <c r="P3007">
        <v>894</v>
      </c>
      <c r="Q3007" t="s">
        <v>6354</v>
      </c>
    </row>
    <row r="3008" spans="1:17" x14ac:dyDescent="0.3">
      <c r="A3008" t="s">
        <v>4729</v>
      </c>
      <c r="B3008" t="str">
        <f>"002282"</f>
        <v>002282</v>
      </c>
      <c r="C3008" t="s">
        <v>6355</v>
      </c>
      <c r="D3008" t="s">
        <v>404</v>
      </c>
      <c r="F3008">
        <v>340284316</v>
      </c>
      <c r="G3008">
        <v>315303755</v>
      </c>
      <c r="H3008">
        <v>295035534</v>
      </c>
      <c r="I3008">
        <v>310305993</v>
      </c>
      <c r="J3008">
        <v>329675157</v>
      </c>
      <c r="K3008">
        <v>199290792</v>
      </c>
      <c r="L3008">
        <v>244357182</v>
      </c>
      <c r="M3008">
        <v>264257297</v>
      </c>
      <c r="N3008">
        <v>258648306</v>
      </c>
      <c r="O3008">
        <v>235493885</v>
      </c>
      <c r="P3008">
        <v>97</v>
      </c>
      <c r="Q3008" t="s">
        <v>6356</v>
      </c>
    </row>
    <row r="3009" spans="1:17" x14ac:dyDescent="0.3">
      <c r="A3009" t="s">
        <v>4729</v>
      </c>
      <c r="B3009" t="str">
        <f>"002283"</f>
        <v>002283</v>
      </c>
      <c r="C3009" t="s">
        <v>6357</v>
      </c>
      <c r="D3009" t="s">
        <v>348</v>
      </c>
      <c r="F3009">
        <v>1012240832</v>
      </c>
      <c r="G3009">
        <v>1244973490</v>
      </c>
      <c r="H3009">
        <v>942157410</v>
      </c>
      <c r="I3009">
        <v>888985229</v>
      </c>
      <c r="J3009">
        <v>992197311</v>
      </c>
      <c r="K3009">
        <v>647574969</v>
      </c>
      <c r="L3009">
        <v>506193672</v>
      </c>
      <c r="M3009">
        <v>335110417</v>
      </c>
      <c r="N3009">
        <v>406431689</v>
      </c>
      <c r="O3009">
        <v>276005744</v>
      </c>
      <c r="P3009">
        <v>202</v>
      </c>
      <c r="Q3009" t="s">
        <v>6358</v>
      </c>
    </row>
    <row r="3010" spans="1:17" x14ac:dyDescent="0.3">
      <c r="A3010" t="s">
        <v>4729</v>
      </c>
      <c r="B3010" t="str">
        <f>"002284"</f>
        <v>002284</v>
      </c>
      <c r="C3010" t="s">
        <v>6359</v>
      </c>
      <c r="D3010" t="s">
        <v>348</v>
      </c>
      <c r="F3010">
        <v>606289775</v>
      </c>
      <c r="G3010">
        <v>574924625</v>
      </c>
      <c r="H3010">
        <v>626638663</v>
      </c>
      <c r="I3010">
        <v>701198359</v>
      </c>
      <c r="J3010">
        <v>740015088</v>
      </c>
      <c r="K3010">
        <v>769011219</v>
      </c>
      <c r="L3010">
        <v>645800042</v>
      </c>
      <c r="M3010">
        <v>657976793</v>
      </c>
      <c r="N3010">
        <v>552976847</v>
      </c>
      <c r="O3010">
        <v>429628469</v>
      </c>
      <c r="P3010">
        <v>197</v>
      </c>
      <c r="Q3010" t="s">
        <v>6360</v>
      </c>
    </row>
    <row r="3011" spans="1:17" x14ac:dyDescent="0.3">
      <c r="A3011" t="s">
        <v>4729</v>
      </c>
      <c r="B3011" t="str">
        <f>"002285"</f>
        <v>002285</v>
      </c>
      <c r="C3011" t="s">
        <v>6361</v>
      </c>
      <c r="D3011" t="s">
        <v>5051</v>
      </c>
      <c r="F3011">
        <v>1410484587</v>
      </c>
      <c r="G3011">
        <v>1593556080</v>
      </c>
      <c r="H3011">
        <v>1324081261</v>
      </c>
      <c r="I3011">
        <v>1571309819</v>
      </c>
      <c r="J3011">
        <v>1845185216</v>
      </c>
      <c r="K3011">
        <v>959021101</v>
      </c>
      <c r="L3011">
        <v>881193779</v>
      </c>
      <c r="M3011">
        <v>678862116</v>
      </c>
      <c r="N3011">
        <v>462820002</v>
      </c>
      <c r="O3011">
        <v>386460863</v>
      </c>
      <c r="P3011">
        <v>477</v>
      </c>
      <c r="Q3011" t="s">
        <v>6362</v>
      </c>
    </row>
    <row r="3012" spans="1:17" x14ac:dyDescent="0.3">
      <c r="A3012" t="s">
        <v>4729</v>
      </c>
      <c r="B3012" t="str">
        <f>"002286"</f>
        <v>002286</v>
      </c>
      <c r="C3012" t="s">
        <v>6363</v>
      </c>
      <c r="D3012" t="s">
        <v>445</v>
      </c>
      <c r="F3012">
        <v>284293463</v>
      </c>
      <c r="G3012">
        <v>206597347</v>
      </c>
      <c r="H3012">
        <v>191237187</v>
      </c>
      <c r="I3012">
        <v>191715979</v>
      </c>
      <c r="J3012">
        <v>150928040</v>
      </c>
      <c r="K3012">
        <v>126517252</v>
      </c>
      <c r="L3012">
        <v>114381191</v>
      </c>
      <c r="M3012">
        <v>89551393</v>
      </c>
      <c r="N3012">
        <v>95301226</v>
      </c>
      <c r="O3012">
        <v>129812103</v>
      </c>
      <c r="P3012">
        <v>179</v>
      </c>
      <c r="Q3012" t="s">
        <v>6364</v>
      </c>
    </row>
    <row r="3013" spans="1:17" x14ac:dyDescent="0.3">
      <c r="A3013" t="s">
        <v>4729</v>
      </c>
      <c r="B3013" t="str">
        <f>"002287"</f>
        <v>002287</v>
      </c>
      <c r="C3013" t="s">
        <v>6365</v>
      </c>
      <c r="D3013" t="s">
        <v>188</v>
      </c>
      <c r="F3013">
        <v>30477424</v>
      </c>
      <c r="G3013">
        <v>11779346</v>
      </c>
      <c r="H3013">
        <v>50617549</v>
      </c>
      <c r="I3013">
        <v>25695662</v>
      </c>
      <c r="J3013">
        <v>46674906</v>
      </c>
      <c r="K3013">
        <v>41729064</v>
      </c>
      <c r="L3013">
        <v>21112602</v>
      </c>
      <c r="M3013">
        <v>12762940</v>
      </c>
      <c r="N3013">
        <v>31039585</v>
      </c>
      <c r="O3013">
        <v>57004065</v>
      </c>
      <c r="P3013">
        <v>13304</v>
      </c>
      <c r="Q3013" t="s">
        <v>6366</v>
      </c>
    </row>
    <row r="3014" spans="1:17" x14ac:dyDescent="0.3">
      <c r="A3014" t="s">
        <v>4729</v>
      </c>
      <c r="B3014" t="str">
        <f>"002288"</f>
        <v>002288</v>
      </c>
      <c r="C3014" t="s">
        <v>6367</v>
      </c>
      <c r="D3014" t="s">
        <v>425</v>
      </c>
      <c r="F3014">
        <v>475348989</v>
      </c>
      <c r="G3014">
        <v>605162720</v>
      </c>
      <c r="H3014">
        <v>443963302</v>
      </c>
      <c r="I3014">
        <v>415389458</v>
      </c>
      <c r="J3014">
        <v>565012319</v>
      </c>
      <c r="K3014">
        <v>469209897</v>
      </c>
      <c r="L3014">
        <v>589500765</v>
      </c>
      <c r="M3014">
        <v>541617980</v>
      </c>
      <c r="N3014">
        <v>479392242</v>
      </c>
      <c r="O3014">
        <v>287298026</v>
      </c>
      <c r="P3014">
        <v>176</v>
      </c>
      <c r="Q3014" t="s">
        <v>6368</v>
      </c>
    </row>
    <row r="3015" spans="1:17" x14ac:dyDescent="0.3">
      <c r="A3015" t="s">
        <v>4729</v>
      </c>
      <c r="B3015" t="str">
        <f>"002289"</f>
        <v>002289</v>
      </c>
      <c r="C3015" t="s">
        <v>6369</v>
      </c>
      <c r="D3015" t="s">
        <v>1117</v>
      </c>
      <c r="F3015">
        <v>49250583</v>
      </c>
      <c r="G3015">
        <v>38766742</v>
      </c>
      <c r="H3015">
        <v>30254024</v>
      </c>
      <c r="I3015">
        <v>80666011</v>
      </c>
      <c r="J3015">
        <v>68342617</v>
      </c>
      <c r="K3015">
        <v>216154295</v>
      </c>
      <c r="L3015">
        <v>1036371245</v>
      </c>
      <c r="M3015">
        <v>797359202</v>
      </c>
      <c r="N3015">
        <v>446918593</v>
      </c>
      <c r="O3015">
        <v>362374644</v>
      </c>
      <c r="P3015">
        <v>70</v>
      </c>
      <c r="Q3015" t="s">
        <v>6370</v>
      </c>
    </row>
    <row r="3016" spans="1:17" x14ac:dyDescent="0.3">
      <c r="A3016" t="s">
        <v>4729</v>
      </c>
      <c r="B3016" t="str">
        <f>"002290"</f>
        <v>002290</v>
      </c>
      <c r="C3016" t="s">
        <v>6371</v>
      </c>
      <c r="D3016" t="s">
        <v>1253</v>
      </c>
      <c r="F3016">
        <v>325954731</v>
      </c>
      <c r="G3016">
        <v>359927855</v>
      </c>
      <c r="H3016">
        <v>309363412</v>
      </c>
      <c r="I3016">
        <v>1653258894</v>
      </c>
      <c r="J3016">
        <v>1464847617</v>
      </c>
      <c r="K3016">
        <v>472223661</v>
      </c>
      <c r="L3016">
        <v>326588226</v>
      </c>
      <c r="M3016">
        <v>272976598</v>
      </c>
      <c r="N3016">
        <v>235292213</v>
      </c>
      <c r="O3016">
        <v>187032115</v>
      </c>
      <c r="P3016">
        <v>80</v>
      </c>
      <c r="Q3016" t="s">
        <v>6372</v>
      </c>
    </row>
    <row r="3017" spans="1:17" x14ac:dyDescent="0.3">
      <c r="A3017" t="s">
        <v>4729</v>
      </c>
      <c r="B3017" t="str">
        <f>"002291"</f>
        <v>002291</v>
      </c>
      <c r="C3017" t="s">
        <v>6373</v>
      </c>
      <c r="D3017" t="s">
        <v>207</v>
      </c>
      <c r="F3017">
        <v>1082804393</v>
      </c>
      <c r="G3017">
        <v>1180095188</v>
      </c>
      <c r="H3017">
        <v>1330769715</v>
      </c>
      <c r="I3017">
        <v>777460273</v>
      </c>
      <c r="J3017">
        <v>757212977</v>
      </c>
      <c r="K3017">
        <v>712932971</v>
      </c>
      <c r="L3017">
        <v>707566471</v>
      </c>
      <c r="M3017">
        <v>725712942</v>
      </c>
      <c r="N3017">
        <v>696711054</v>
      </c>
      <c r="O3017">
        <v>657279445</v>
      </c>
      <c r="P3017">
        <v>172</v>
      </c>
      <c r="Q3017" t="s">
        <v>6374</v>
      </c>
    </row>
    <row r="3018" spans="1:17" x14ac:dyDescent="0.3">
      <c r="A3018" t="s">
        <v>4729</v>
      </c>
      <c r="B3018" t="str">
        <f>"002292"</f>
        <v>002292</v>
      </c>
      <c r="C3018" t="s">
        <v>6375</v>
      </c>
      <c r="D3018" t="s">
        <v>113</v>
      </c>
      <c r="F3018">
        <v>314015077</v>
      </c>
      <c r="G3018">
        <v>380733163</v>
      </c>
      <c r="H3018">
        <v>521459970</v>
      </c>
      <c r="I3018">
        <v>487106194</v>
      </c>
      <c r="J3018">
        <v>746188216</v>
      </c>
      <c r="K3018">
        <v>644516934</v>
      </c>
      <c r="L3018">
        <v>733358541</v>
      </c>
      <c r="M3018">
        <v>343486849</v>
      </c>
      <c r="N3018">
        <v>324242727</v>
      </c>
      <c r="O3018">
        <v>197188116</v>
      </c>
      <c r="P3018">
        <v>291</v>
      </c>
      <c r="Q3018" t="s">
        <v>6376</v>
      </c>
    </row>
    <row r="3019" spans="1:17" x14ac:dyDescent="0.3">
      <c r="A3019" t="s">
        <v>4729</v>
      </c>
      <c r="B3019" t="str">
        <f>"002293"</f>
        <v>002293</v>
      </c>
      <c r="C3019" t="s">
        <v>6377</v>
      </c>
      <c r="D3019" t="s">
        <v>2889</v>
      </c>
      <c r="F3019">
        <v>475292880</v>
      </c>
      <c r="G3019">
        <v>524975367</v>
      </c>
      <c r="H3019">
        <v>509928550</v>
      </c>
      <c r="I3019">
        <v>476911713</v>
      </c>
      <c r="J3019">
        <v>480808687</v>
      </c>
      <c r="K3019">
        <v>292689717</v>
      </c>
      <c r="L3019">
        <v>268050568</v>
      </c>
      <c r="M3019">
        <v>156591379</v>
      </c>
      <c r="N3019">
        <v>132063514</v>
      </c>
      <c r="O3019">
        <v>159483693</v>
      </c>
      <c r="P3019">
        <v>4959</v>
      </c>
      <c r="Q3019" t="s">
        <v>6378</v>
      </c>
    </row>
    <row r="3020" spans="1:17" x14ac:dyDescent="0.3">
      <c r="A3020" t="s">
        <v>4729</v>
      </c>
      <c r="B3020" t="str">
        <f>"002294"</f>
        <v>002294</v>
      </c>
      <c r="C3020" t="s">
        <v>6379</v>
      </c>
      <c r="D3020" t="s">
        <v>143</v>
      </c>
      <c r="F3020">
        <v>395573729</v>
      </c>
      <c r="G3020">
        <v>422318711</v>
      </c>
      <c r="H3020">
        <v>658975409</v>
      </c>
      <c r="I3020">
        <v>800934634</v>
      </c>
      <c r="J3020">
        <v>835193003</v>
      </c>
      <c r="K3020">
        <v>794780660</v>
      </c>
      <c r="L3020">
        <v>820932573</v>
      </c>
      <c r="M3020">
        <v>838888883</v>
      </c>
      <c r="N3020">
        <v>696946060</v>
      </c>
      <c r="O3020">
        <v>544601053</v>
      </c>
      <c r="P3020">
        <v>25590</v>
      </c>
      <c r="Q3020" t="s">
        <v>6380</v>
      </c>
    </row>
    <row r="3021" spans="1:17" x14ac:dyDescent="0.3">
      <c r="A3021" t="s">
        <v>4729</v>
      </c>
      <c r="B3021" t="str">
        <f>"002295"</f>
        <v>002295</v>
      </c>
      <c r="C3021" t="s">
        <v>6381</v>
      </c>
      <c r="D3021" t="s">
        <v>263</v>
      </c>
      <c r="F3021">
        <v>1035184408</v>
      </c>
      <c r="G3021">
        <v>1086107387</v>
      </c>
      <c r="H3021">
        <v>827501871</v>
      </c>
      <c r="I3021">
        <v>895934346</v>
      </c>
      <c r="J3021">
        <v>857797961</v>
      </c>
      <c r="K3021">
        <v>441642997</v>
      </c>
      <c r="L3021">
        <v>146556473</v>
      </c>
      <c r="M3021">
        <v>295571232</v>
      </c>
      <c r="N3021">
        <v>336962564</v>
      </c>
      <c r="O3021">
        <v>300449006</v>
      </c>
      <c r="P3021">
        <v>56</v>
      </c>
      <c r="Q3021" t="s">
        <v>6382</v>
      </c>
    </row>
    <row r="3022" spans="1:17" x14ac:dyDescent="0.3">
      <c r="A3022" t="s">
        <v>4729</v>
      </c>
      <c r="B3022" t="str">
        <f>"002296"</f>
        <v>002296</v>
      </c>
      <c r="C3022" t="s">
        <v>6383</v>
      </c>
      <c r="D3022" t="s">
        <v>1019</v>
      </c>
      <c r="F3022">
        <v>463267133</v>
      </c>
      <c r="G3022">
        <v>456156172</v>
      </c>
      <c r="H3022">
        <v>387210576</v>
      </c>
      <c r="I3022">
        <v>528156487</v>
      </c>
      <c r="J3022">
        <v>567489218</v>
      </c>
      <c r="K3022">
        <v>465789584</v>
      </c>
      <c r="L3022">
        <v>476050908</v>
      </c>
      <c r="M3022">
        <v>457857559</v>
      </c>
      <c r="N3022">
        <v>410971446</v>
      </c>
      <c r="O3022">
        <v>346457671</v>
      </c>
      <c r="P3022">
        <v>160</v>
      </c>
      <c r="Q3022" t="s">
        <v>6384</v>
      </c>
    </row>
    <row r="3023" spans="1:17" x14ac:dyDescent="0.3">
      <c r="A3023" t="s">
        <v>4729</v>
      </c>
      <c r="B3023" t="str">
        <f>"002297"</f>
        <v>002297</v>
      </c>
      <c r="C3023" t="s">
        <v>6385</v>
      </c>
      <c r="D3023" t="s">
        <v>98</v>
      </c>
      <c r="F3023">
        <v>113650979</v>
      </c>
      <c r="G3023">
        <v>149528685</v>
      </c>
      <c r="H3023">
        <v>160219699</v>
      </c>
      <c r="I3023">
        <v>110994346</v>
      </c>
      <c r="J3023">
        <v>207228031</v>
      </c>
      <c r="K3023">
        <v>210047650</v>
      </c>
      <c r="L3023">
        <v>155268276</v>
      </c>
      <c r="M3023">
        <v>179674733</v>
      </c>
      <c r="N3023">
        <v>161010842</v>
      </c>
      <c r="O3023">
        <v>162013124</v>
      </c>
      <c r="P3023">
        <v>100</v>
      </c>
      <c r="Q3023" t="s">
        <v>6386</v>
      </c>
    </row>
    <row r="3024" spans="1:17" x14ac:dyDescent="0.3">
      <c r="A3024" t="s">
        <v>4729</v>
      </c>
      <c r="B3024" t="str">
        <f>"002298"</f>
        <v>002298</v>
      </c>
      <c r="C3024" t="s">
        <v>6387</v>
      </c>
      <c r="D3024" t="s">
        <v>945</v>
      </c>
      <c r="F3024">
        <v>1646116632</v>
      </c>
      <c r="G3024">
        <v>1463541169</v>
      </c>
      <c r="H3024">
        <v>1295182421</v>
      </c>
      <c r="I3024">
        <v>978660987</v>
      </c>
      <c r="J3024">
        <v>868317381</v>
      </c>
      <c r="K3024">
        <v>1033162394</v>
      </c>
      <c r="L3024">
        <v>1060570242</v>
      </c>
      <c r="M3024">
        <v>683977251</v>
      </c>
      <c r="N3024">
        <v>687642459</v>
      </c>
      <c r="O3024">
        <v>632493016</v>
      </c>
      <c r="P3024">
        <v>182</v>
      </c>
      <c r="Q3024" t="s">
        <v>6388</v>
      </c>
    </row>
    <row r="3025" spans="1:17" x14ac:dyDescent="0.3">
      <c r="A3025" t="s">
        <v>4729</v>
      </c>
      <c r="B3025" t="str">
        <f>"002299"</f>
        <v>002299</v>
      </c>
      <c r="C3025" t="s">
        <v>6389</v>
      </c>
      <c r="D3025" t="s">
        <v>6260</v>
      </c>
      <c r="F3025">
        <v>847209407</v>
      </c>
      <c r="G3025">
        <v>731387012</v>
      </c>
      <c r="H3025">
        <v>738903485</v>
      </c>
      <c r="I3025">
        <v>628938670</v>
      </c>
      <c r="J3025">
        <v>325933391</v>
      </c>
      <c r="K3025">
        <v>231754787</v>
      </c>
      <c r="L3025">
        <v>247033114</v>
      </c>
      <c r="M3025">
        <v>280876869</v>
      </c>
      <c r="N3025">
        <v>229805804</v>
      </c>
      <c r="O3025">
        <v>152044329</v>
      </c>
      <c r="P3025">
        <v>1371</v>
      </c>
      <c r="Q3025" t="s">
        <v>6390</v>
      </c>
    </row>
    <row r="3026" spans="1:17" x14ac:dyDescent="0.3">
      <c r="A3026" t="s">
        <v>4729</v>
      </c>
      <c r="B3026" t="str">
        <f>"002300"</f>
        <v>002300</v>
      </c>
      <c r="C3026" t="s">
        <v>6391</v>
      </c>
      <c r="D3026" t="s">
        <v>1164</v>
      </c>
      <c r="F3026">
        <v>1485412671</v>
      </c>
      <c r="G3026">
        <v>1193375285</v>
      </c>
      <c r="H3026">
        <v>1109104560</v>
      </c>
      <c r="I3026">
        <v>1089818671</v>
      </c>
      <c r="J3026">
        <v>852169440</v>
      </c>
      <c r="K3026">
        <v>794182632</v>
      </c>
      <c r="L3026">
        <v>659436739</v>
      </c>
      <c r="M3026">
        <v>610366148</v>
      </c>
      <c r="N3026">
        <v>615692060</v>
      </c>
      <c r="O3026">
        <v>647737970</v>
      </c>
      <c r="P3026">
        <v>125</v>
      </c>
      <c r="Q3026" t="s">
        <v>6392</v>
      </c>
    </row>
    <row r="3027" spans="1:17" x14ac:dyDescent="0.3">
      <c r="A3027" t="s">
        <v>4729</v>
      </c>
      <c r="B3027" t="str">
        <f>"002301"</f>
        <v>002301</v>
      </c>
      <c r="C3027" t="s">
        <v>6393</v>
      </c>
      <c r="D3027" t="s">
        <v>3410</v>
      </c>
      <c r="F3027">
        <v>3939886063</v>
      </c>
      <c r="G3027">
        <v>3411558536</v>
      </c>
      <c r="H3027">
        <v>1922291634</v>
      </c>
      <c r="I3027">
        <v>977584507</v>
      </c>
      <c r="J3027">
        <v>422373043</v>
      </c>
      <c r="K3027">
        <v>329958757</v>
      </c>
      <c r="L3027">
        <v>262434300</v>
      </c>
      <c r="M3027">
        <v>374689027</v>
      </c>
      <c r="N3027">
        <v>324684086</v>
      </c>
      <c r="O3027">
        <v>268323710</v>
      </c>
      <c r="P3027">
        <v>202</v>
      </c>
      <c r="Q3027" t="s">
        <v>6394</v>
      </c>
    </row>
    <row r="3028" spans="1:17" x14ac:dyDescent="0.3">
      <c r="A3028" t="s">
        <v>4729</v>
      </c>
      <c r="B3028" t="str">
        <f>"002302"</f>
        <v>002302</v>
      </c>
      <c r="C3028" t="s">
        <v>6395</v>
      </c>
      <c r="D3028" t="s">
        <v>3098</v>
      </c>
      <c r="F3028">
        <v>17905838258</v>
      </c>
      <c r="G3028">
        <v>10056752212</v>
      </c>
      <c r="H3028">
        <v>9081592997</v>
      </c>
      <c r="I3028">
        <v>7803806418</v>
      </c>
      <c r="J3028">
        <v>7897751801</v>
      </c>
      <c r="K3028">
        <v>6592509785</v>
      </c>
      <c r="L3028">
        <v>4474646661</v>
      </c>
      <c r="M3028">
        <v>3825195214</v>
      </c>
      <c r="N3028">
        <v>3003740858</v>
      </c>
      <c r="O3028">
        <v>495814832</v>
      </c>
      <c r="P3028">
        <v>201</v>
      </c>
      <c r="Q3028" t="s">
        <v>6396</v>
      </c>
    </row>
    <row r="3029" spans="1:17" x14ac:dyDescent="0.3">
      <c r="A3029" t="s">
        <v>4729</v>
      </c>
      <c r="B3029" t="str">
        <f>"002303"</f>
        <v>002303</v>
      </c>
      <c r="C3029" t="s">
        <v>6397</v>
      </c>
      <c r="D3029" t="s">
        <v>2165</v>
      </c>
      <c r="F3029">
        <v>1174880261</v>
      </c>
      <c r="G3029">
        <v>1125059167</v>
      </c>
      <c r="H3029">
        <v>1088781409</v>
      </c>
      <c r="I3029">
        <v>998117662</v>
      </c>
      <c r="J3029">
        <v>862931335</v>
      </c>
      <c r="K3029">
        <v>680775119</v>
      </c>
      <c r="L3029">
        <v>487415607</v>
      </c>
      <c r="M3029">
        <v>401780455</v>
      </c>
      <c r="N3029">
        <v>365374846</v>
      </c>
      <c r="O3029">
        <v>295690370</v>
      </c>
      <c r="P3029">
        <v>224</v>
      </c>
      <c r="Q3029" t="s">
        <v>6398</v>
      </c>
    </row>
    <row r="3030" spans="1:17" x14ac:dyDescent="0.3">
      <c r="A3030" t="s">
        <v>4729</v>
      </c>
      <c r="B3030" t="str">
        <f>"002304"</f>
        <v>002304</v>
      </c>
      <c r="C3030" t="s">
        <v>6399</v>
      </c>
      <c r="D3030" t="s">
        <v>458</v>
      </c>
      <c r="F3030">
        <v>1247950</v>
      </c>
      <c r="G3030">
        <v>4225231</v>
      </c>
      <c r="H3030">
        <v>16080619</v>
      </c>
      <c r="I3030">
        <v>5419315</v>
      </c>
      <c r="J3030">
        <v>8485383</v>
      </c>
      <c r="K3030">
        <v>10824187</v>
      </c>
      <c r="L3030">
        <v>6455492</v>
      </c>
      <c r="M3030">
        <v>9271528</v>
      </c>
      <c r="N3030">
        <v>21748492</v>
      </c>
      <c r="O3030">
        <v>55306783</v>
      </c>
      <c r="P3030">
        <v>52722</v>
      </c>
      <c r="Q3030" t="s">
        <v>6400</v>
      </c>
    </row>
    <row r="3031" spans="1:17" x14ac:dyDescent="0.3">
      <c r="A3031" t="s">
        <v>4729</v>
      </c>
      <c r="B3031" t="str">
        <f>"002305"</f>
        <v>002305</v>
      </c>
      <c r="C3031" t="s">
        <v>6401</v>
      </c>
      <c r="D3031" t="s">
        <v>30</v>
      </c>
      <c r="F3031">
        <v>159116508</v>
      </c>
      <c r="G3031">
        <v>813521885</v>
      </c>
      <c r="H3031">
        <v>789003123</v>
      </c>
      <c r="I3031">
        <v>954375247</v>
      </c>
      <c r="J3031">
        <v>191751781</v>
      </c>
      <c r="K3031">
        <v>202764924</v>
      </c>
      <c r="L3031">
        <v>266432062</v>
      </c>
      <c r="M3031">
        <v>345100308</v>
      </c>
      <c r="N3031">
        <v>142040858</v>
      </c>
      <c r="O3031">
        <v>103552652</v>
      </c>
      <c r="P3031">
        <v>107</v>
      </c>
      <c r="Q3031" t="s">
        <v>6402</v>
      </c>
    </row>
    <row r="3032" spans="1:17" x14ac:dyDescent="0.3">
      <c r="A3032" t="s">
        <v>4729</v>
      </c>
      <c r="B3032" t="str">
        <f>"002306"</f>
        <v>002306</v>
      </c>
      <c r="C3032" t="s">
        <v>6403</v>
      </c>
      <c r="D3032" t="s">
        <v>3598</v>
      </c>
      <c r="F3032">
        <v>5865704</v>
      </c>
      <c r="G3032">
        <v>14496599</v>
      </c>
      <c r="H3032">
        <v>10577280</v>
      </c>
      <c r="I3032">
        <v>8224191</v>
      </c>
      <c r="J3032">
        <v>9788641</v>
      </c>
      <c r="K3032">
        <v>13907219</v>
      </c>
      <c r="L3032">
        <v>13867931</v>
      </c>
      <c r="M3032">
        <v>73022953</v>
      </c>
      <c r="N3032">
        <v>43821802</v>
      </c>
      <c r="O3032">
        <v>55286034</v>
      </c>
      <c r="P3032">
        <v>68</v>
      </c>
      <c r="Q3032" t="s">
        <v>6404</v>
      </c>
    </row>
    <row r="3033" spans="1:17" x14ac:dyDescent="0.3">
      <c r="A3033" t="s">
        <v>4729</v>
      </c>
      <c r="B3033" t="str">
        <f>"002307"</f>
        <v>002307</v>
      </c>
      <c r="C3033" t="s">
        <v>6405</v>
      </c>
      <c r="D3033" t="s">
        <v>101</v>
      </c>
      <c r="F3033">
        <v>2057892866</v>
      </c>
      <c r="G3033">
        <v>1785144303</v>
      </c>
      <c r="H3033">
        <v>1929533918</v>
      </c>
      <c r="I3033">
        <v>3142590992</v>
      </c>
      <c r="J3033">
        <v>2868609291</v>
      </c>
      <c r="K3033">
        <v>2499258079</v>
      </c>
      <c r="L3033">
        <v>1887557438</v>
      </c>
      <c r="M3033">
        <v>1778632887</v>
      </c>
      <c r="N3033">
        <v>1322593820</v>
      </c>
      <c r="O3033">
        <v>1054227980</v>
      </c>
      <c r="P3033">
        <v>90</v>
      </c>
      <c r="Q3033" t="s">
        <v>6406</v>
      </c>
    </row>
    <row r="3034" spans="1:17" x14ac:dyDescent="0.3">
      <c r="A3034" t="s">
        <v>4729</v>
      </c>
      <c r="B3034" t="str">
        <f>"002308"</f>
        <v>002308</v>
      </c>
      <c r="C3034" t="s">
        <v>6407</v>
      </c>
      <c r="D3034" t="s">
        <v>236</v>
      </c>
      <c r="F3034">
        <v>147103800</v>
      </c>
      <c r="G3034">
        <v>133046983</v>
      </c>
      <c r="H3034">
        <v>233644850</v>
      </c>
      <c r="I3034">
        <v>255554353</v>
      </c>
      <c r="J3034">
        <v>244337586</v>
      </c>
      <c r="K3034">
        <v>185526493</v>
      </c>
      <c r="L3034">
        <v>197982620</v>
      </c>
      <c r="M3034">
        <v>214548530</v>
      </c>
      <c r="N3034">
        <v>209094358</v>
      </c>
      <c r="O3034">
        <v>185602174</v>
      </c>
      <c r="P3034">
        <v>218</v>
      </c>
      <c r="Q3034" t="s">
        <v>6408</v>
      </c>
    </row>
    <row r="3035" spans="1:17" x14ac:dyDescent="0.3">
      <c r="A3035" t="s">
        <v>4729</v>
      </c>
      <c r="B3035" t="str">
        <f>"002309"</f>
        <v>002309</v>
      </c>
      <c r="C3035" t="s">
        <v>6409</v>
      </c>
      <c r="D3035" t="s">
        <v>356</v>
      </c>
      <c r="F3035">
        <v>2637141699</v>
      </c>
      <c r="G3035">
        <v>3430269267</v>
      </c>
      <c r="H3035">
        <v>5495001806</v>
      </c>
      <c r="I3035">
        <v>9375564484</v>
      </c>
      <c r="J3035">
        <v>9535753085</v>
      </c>
      <c r="K3035">
        <v>6011960305</v>
      </c>
      <c r="L3035">
        <v>7024620509</v>
      </c>
      <c r="M3035">
        <v>4657269167</v>
      </c>
      <c r="N3035">
        <v>4761864963</v>
      </c>
      <c r="O3035">
        <v>3153362445</v>
      </c>
      <c r="P3035">
        <v>284</v>
      </c>
      <c r="Q3035" t="s">
        <v>6410</v>
      </c>
    </row>
    <row r="3036" spans="1:17" x14ac:dyDescent="0.3">
      <c r="A3036" t="s">
        <v>4729</v>
      </c>
      <c r="B3036" t="str">
        <f>"002310"</f>
        <v>002310</v>
      </c>
      <c r="C3036" t="s">
        <v>6411</v>
      </c>
      <c r="D3036" t="s">
        <v>2417</v>
      </c>
      <c r="F3036">
        <v>6987490788</v>
      </c>
      <c r="G3036">
        <v>8540254786</v>
      </c>
      <c r="H3036">
        <v>9650126979</v>
      </c>
      <c r="I3036">
        <v>8978648775</v>
      </c>
      <c r="J3036">
        <v>7470625326</v>
      </c>
      <c r="K3036">
        <v>5123746526</v>
      </c>
      <c r="L3036">
        <v>3789479267</v>
      </c>
      <c r="M3036">
        <v>3369568307</v>
      </c>
      <c r="N3036">
        <v>3154253515</v>
      </c>
      <c r="O3036">
        <v>1727423851</v>
      </c>
      <c r="P3036">
        <v>1194</v>
      </c>
      <c r="Q3036" t="s">
        <v>6412</v>
      </c>
    </row>
    <row r="3037" spans="1:17" x14ac:dyDescent="0.3">
      <c r="A3037" t="s">
        <v>4729</v>
      </c>
      <c r="B3037" t="str">
        <f>"002311"</f>
        <v>002311</v>
      </c>
      <c r="C3037" t="s">
        <v>6413</v>
      </c>
      <c r="D3037" t="s">
        <v>3155</v>
      </c>
      <c r="F3037">
        <v>1293328829</v>
      </c>
      <c r="G3037">
        <v>1067301941</v>
      </c>
      <c r="H3037">
        <v>1021751433</v>
      </c>
      <c r="I3037">
        <v>1096136256</v>
      </c>
      <c r="J3037">
        <v>760285344</v>
      </c>
      <c r="K3037">
        <v>575469413</v>
      </c>
      <c r="L3037">
        <v>556106830</v>
      </c>
      <c r="M3037">
        <v>496191414</v>
      </c>
      <c r="N3037">
        <v>469740989</v>
      </c>
      <c r="O3037">
        <v>361265281</v>
      </c>
      <c r="P3037">
        <v>1933</v>
      </c>
      <c r="Q3037" t="s">
        <v>6414</v>
      </c>
    </row>
    <row r="3038" spans="1:17" x14ac:dyDescent="0.3">
      <c r="A3038" t="s">
        <v>4729</v>
      </c>
      <c r="B3038" t="str">
        <f>"002312"</f>
        <v>002312</v>
      </c>
      <c r="C3038" t="s">
        <v>6415</v>
      </c>
      <c r="D3038" t="s">
        <v>183</v>
      </c>
      <c r="F3038">
        <v>225454660</v>
      </c>
      <c r="G3038">
        <v>169385133</v>
      </c>
      <c r="H3038">
        <v>227077053</v>
      </c>
      <c r="I3038">
        <v>86079223</v>
      </c>
      <c r="J3038">
        <v>85054336</v>
      </c>
      <c r="K3038">
        <v>258128308</v>
      </c>
      <c r="L3038">
        <v>1231184379</v>
      </c>
      <c r="M3038">
        <v>1047374973</v>
      </c>
      <c r="N3038">
        <v>616701986</v>
      </c>
      <c r="O3038">
        <v>402288723</v>
      </c>
      <c r="P3038">
        <v>249</v>
      </c>
      <c r="Q3038" t="s">
        <v>6416</v>
      </c>
    </row>
    <row r="3039" spans="1:17" x14ac:dyDescent="0.3">
      <c r="A3039" t="s">
        <v>4729</v>
      </c>
      <c r="B3039" t="str">
        <f>"002313"</f>
        <v>002313</v>
      </c>
      <c r="C3039" t="s">
        <v>6417</v>
      </c>
      <c r="D3039" t="s">
        <v>786</v>
      </c>
      <c r="F3039">
        <v>1797051903</v>
      </c>
      <c r="G3039">
        <v>1787602984</v>
      </c>
      <c r="H3039">
        <v>1759535958</v>
      </c>
      <c r="I3039">
        <v>1613182837</v>
      </c>
      <c r="J3039">
        <v>1001300379</v>
      </c>
      <c r="K3039">
        <v>1040180553</v>
      </c>
      <c r="L3039">
        <v>1115363531</v>
      </c>
      <c r="M3039">
        <v>1112531728</v>
      </c>
      <c r="N3039">
        <v>1295853372</v>
      </c>
      <c r="O3039">
        <v>931061724</v>
      </c>
      <c r="P3039">
        <v>243</v>
      </c>
      <c r="Q3039" t="s">
        <v>6418</v>
      </c>
    </row>
    <row r="3040" spans="1:17" x14ac:dyDescent="0.3">
      <c r="A3040" t="s">
        <v>4729</v>
      </c>
      <c r="B3040" t="str">
        <f>"002314"</f>
        <v>002314</v>
      </c>
      <c r="C3040" t="s">
        <v>6419</v>
      </c>
      <c r="D3040" t="s">
        <v>104</v>
      </c>
      <c r="F3040">
        <v>804919952</v>
      </c>
      <c r="G3040">
        <v>1254403294</v>
      </c>
      <c r="H3040">
        <v>949318746</v>
      </c>
      <c r="I3040">
        <v>936120462</v>
      </c>
      <c r="J3040">
        <v>482384214</v>
      </c>
      <c r="K3040">
        <v>464531039</v>
      </c>
      <c r="L3040">
        <v>544495459</v>
      </c>
      <c r="M3040">
        <v>672275607</v>
      </c>
      <c r="N3040">
        <v>773916919</v>
      </c>
      <c r="O3040">
        <v>688132904</v>
      </c>
      <c r="P3040">
        <v>206</v>
      </c>
      <c r="Q3040" t="s">
        <v>6420</v>
      </c>
    </row>
    <row r="3041" spans="1:17" x14ac:dyDescent="0.3">
      <c r="A3041" t="s">
        <v>4729</v>
      </c>
      <c r="B3041" t="str">
        <f>"002315"</f>
        <v>002315</v>
      </c>
      <c r="C3041" t="s">
        <v>6421</v>
      </c>
      <c r="D3041" t="s">
        <v>2020</v>
      </c>
      <c r="F3041">
        <v>34889676</v>
      </c>
      <c r="G3041">
        <v>31761988</v>
      </c>
      <c r="H3041">
        <v>44711812</v>
      </c>
      <c r="I3041">
        <v>60191977</v>
      </c>
      <c r="J3041">
        <v>60494570</v>
      </c>
      <c r="K3041">
        <v>66681542</v>
      </c>
      <c r="L3041">
        <v>36325490</v>
      </c>
      <c r="M3041">
        <v>6457332</v>
      </c>
      <c r="N3041">
        <v>8256086</v>
      </c>
      <c r="O3041">
        <v>4105507</v>
      </c>
      <c r="P3041">
        <v>221</v>
      </c>
      <c r="Q3041" t="s">
        <v>6422</v>
      </c>
    </row>
    <row r="3042" spans="1:17" x14ac:dyDescent="0.3">
      <c r="A3042" t="s">
        <v>4729</v>
      </c>
      <c r="B3042" t="str">
        <f>"002316"</f>
        <v>002316</v>
      </c>
      <c r="C3042" t="s">
        <v>6423</v>
      </c>
      <c r="D3042" t="s">
        <v>6424</v>
      </c>
      <c r="F3042">
        <v>288320359</v>
      </c>
      <c r="G3042">
        <v>325299546</v>
      </c>
      <c r="H3042">
        <v>434245293</v>
      </c>
      <c r="I3042">
        <v>609175008</v>
      </c>
      <c r="J3042">
        <v>564166361</v>
      </c>
      <c r="K3042">
        <v>510695057</v>
      </c>
      <c r="L3042">
        <v>533362623</v>
      </c>
      <c r="M3042">
        <v>538507344</v>
      </c>
      <c r="N3042">
        <v>722558849</v>
      </c>
      <c r="O3042">
        <v>496575084</v>
      </c>
      <c r="P3042">
        <v>229</v>
      </c>
      <c r="Q3042" t="s">
        <v>6425</v>
      </c>
    </row>
    <row r="3043" spans="1:17" x14ac:dyDescent="0.3">
      <c r="A3043" t="s">
        <v>4729</v>
      </c>
      <c r="B3043" t="str">
        <f>"002317"</f>
        <v>002317</v>
      </c>
      <c r="C3043" t="s">
        <v>6426</v>
      </c>
      <c r="D3043" t="s">
        <v>188</v>
      </c>
      <c r="F3043">
        <v>492960111</v>
      </c>
      <c r="G3043">
        <v>402808377</v>
      </c>
      <c r="H3043">
        <v>664729816</v>
      </c>
      <c r="I3043">
        <v>479704356</v>
      </c>
      <c r="J3043">
        <v>361658594</v>
      </c>
      <c r="K3043">
        <v>324064963</v>
      </c>
      <c r="L3043">
        <v>256463282</v>
      </c>
      <c r="M3043">
        <v>271967306</v>
      </c>
      <c r="N3043">
        <v>182348890</v>
      </c>
      <c r="O3043">
        <v>114790909</v>
      </c>
      <c r="P3043">
        <v>344</v>
      </c>
      <c r="Q3043" t="s">
        <v>6427</v>
      </c>
    </row>
    <row r="3044" spans="1:17" x14ac:dyDescent="0.3">
      <c r="A3044" t="s">
        <v>4729</v>
      </c>
      <c r="B3044" t="str">
        <f>"002318"</f>
        <v>002318</v>
      </c>
      <c r="C3044" t="s">
        <v>6428</v>
      </c>
      <c r="D3044" t="s">
        <v>281</v>
      </c>
      <c r="F3044">
        <v>835229726</v>
      </c>
      <c r="G3044">
        <v>520163463</v>
      </c>
      <c r="H3044">
        <v>709813991</v>
      </c>
      <c r="I3044">
        <v>573627229</v>
      </c>
      <c r="J3044">
        <v>547777692</v>
      </c>
      <c r="K3044">
        <v>470338073</v>
      </c>
      <c r="L3044">
        <v>432104058</v>
      </c>
      <c r="M3044">
        <v>408251171</v>
      </c>
      <c r="N3044">
        <v>323829061</v>
      </c>
      <c r="O3044">
        <v>244015143</v>
      </c>
      <c r="P3044">
        <v>451</v>
      </c>
      <c r="Q3044" t="s">
        <v>6429</v>
      </c>
    </row>
    <row r="3045" spans="1:17" x14ac:dyDescent="0.3">
      <c r="A3045" t="s">
        <v>4729</v>
      </c>
      <c r="B3045" t="str">
        <f>"002319"</f>
        <v>002319</v>
      </c>
      <c r="C3045" t="s">
        <v>6430</v>
      </c>
      <c r="D3045" t="s">
        <v>2585</v>
      </c>
      <c r="F3045">
        <v>136652850</v>
      </c>
      <c r="G3045">
        <v>109716907</v>
      </c>
      <c r="H3045">
        <v>141818007</v>
      </c>
      <c r="I3045">
        <v>145368159</v>
      </c>
      <c r="J3045">
        <v>164496345</v>
      </c>
      <c r="K3045">
        <v>174152408</v>
      </c>
      <c r="L3045">
        <v>182895336</v>
      </c>
      <c r="M3045">
        <v>226748206</v>
      </c>
      <c r="N3045">
        <v>223295676</v>
      </c>
      <c r="O3045">
        <v>168365026</v>
      </c>
      <c r="P3045">
        <v>55</v>
      </c>
      <c r="Q3045" t="s">
        <v>6431</v>
      </c>
    </row>
    <row r="3046" spans="1:17" x14ac:dyDescent="0.3">
      <c r="A3046" t="s">
        <v>4729</v>
      </c>
      <c r="B3046" t="str">
        <f>"002320"</f>
        <v>002320</v>
      </c>
      <c r="C3046" t="s">
        <v>6432</v>
      </c>
      <c r="D3046" t="s">
        <v>69</v>
      </c>
      <c r="F3046">
        <v>10497231</v>
      </c>
      <c r="G3046">
        <v>26915766</v>
      </c>
      <c r="H3046">
        <v>13043921</v>
      </c>
      <c r="I3046">
        <v>10889488</v>
      </c>
      <c r="J3046">
        <v>41413395</v>
      </c>
      <c r="K3046">
        <v>39686865</v>
      </c>
      <c r="L3046">
        <v>38232906</v>
      </c>
      <c r="M3046">
        <v>34176434</v>
      </c>
      <c r="N3046">
        <v>46551215</v>
      </c>
      <c r="O3046">
        <v>47924503</v>
      </c>
      <c r="P3046">
        <v>174</v>
      </c>
      <c r="Q3046" t="s">
        <v>6433</v>
      </c>
    </row>
    <row r="3047" spans="1:17" x14ac:dyDescent="0.3">
      <c r="A3047" t="s">
        <v>4729</v>
      </c>
      <c r="B3047" t="str">
        <f>"002321"</f>
        <v>002321</v>
      </c>
      <c r="C3047" t="s">
        <v>6434</v>
      </c>
      <c r="D3047" t="s">
        <v>1882</v>
      </c>
      <c r="F3047">
        <v>429765460</v>
      </c>
      <c r="G3047">
        <v>405715870</v>
      </c>
      <c r="H3047">
        <v>574670192</v>
      </c>
      <c r="I3047">
        <v>486238940</v>
      </c>
      <c r="J3047">
        <v>453203785</v>
      </c>
      <c r="K3047">
        <v>294966259</v>
      </c>
      <c r="L3047">
        <v>140142277</v>
      </c>
      <c r="M3047">
        <v>146923716</v>
      </c>
      <c r="N3047">
        <v>172188325</v>
      </c>
      <c r="O3047">
        <v>192093830</v>
      </c>
      <c r="P3047">
        <v>111</v>
      </c>
      <c r="Q3047" t="s">
        <v>6435</v>
      </c>
    </row>
    <row r="3048" spans="1:17" x14ac:dyDescent="0.3">
      <c r="A3048" t="s">
        <v>4729</v>
      </c>
      <c r="B3048" t="str">
        <f>"002322"</f>
        <v>002322</v>
      </c>
      <c r="C3048" t="s">
        <v>6436</v>
      </c>
      <c r="D3048" t="s">
        <v>945</v>
      </c>
      <c r="F3048">
        <v>368923589</v>
      </c>
      <c r="G3048">
        <v>357470261</v>
      </c>
      <c r="H3048">
        <v>483762482</v>
      </c>
      <c r="I3048">
        <v>441491188</v>
      </c>
      <c r="J3048">
        <v>364893887</v>
      </c>
      <c r="K3048">
        <v>338784460</v>
      </c>
      <c r="L3048">
        <v>277054405</v>
      </c>
      <c r="M3048">
        <v>177332501</v>
      </c>
      <c r="N3048">
        <v>254748579</v>
      </c>
      <c r="O3048">
        <v>221120867</v>
      </c>
      <c r="P3048">
        <v>180</v>
      </c>
      <c r="Q3048" t="s">
        <v>6437</v>
      </c>
    </row>
    <row r="3049" spans="1:17" x14ac:dyDescent="0.3">
      <c r="A3049" t="s">
        <v>4729</v>
      </c>
      <c r="B3049" t="str">
        <f>"002323"</f>
        <v>002323</v>
      </c>
      <c r="C3049" t="s">
        <v>6438</v>
      </c>
      <c r="D3049" t="s">
        <v>722</v>
      </c>
      <c r="F3049">
        <v>46128854</v>
      </c>
      <c r="G3049">
        <v>980601879</v>
      </c>
      <c r="H3049">
        <v>1192210582</v>
      </c>
      <c r="I3049">
        <v>992082603</v>
      </c>
      <c r="J3049">
        <v>977629111</v>
      </c>
      <c r="K3049">
        <v>619073735</v>
      </c>
      <c r="L3049">
        <v>140483138</v>
      </c>
      <c r="M3049">
        <v>391150241</v>
      </c>
      <c r="N3049">
        <v>341553665</v>
      </c>
      <c r="O3049">
        <v>238842301</v>
      </c>
      <c r="P3049">
        <v>78</v>
      </c>
      <c r="Q3049" t="s">
        <v>6439</v>
      </c>
    </row>
    <row r="3050" spans="1:17" x14ac:dyDescent="0.3">
      <c r="A3050" t="s">
        <v>4729</v>
      </c>
      <c r="B3050" t="str">
        <f>"002324"</f>
        <v>002324</v>
      </c>
      <c r="C3050" t="s">
        <v>6440</v>
      </c>
      <c r="D3050" t="s">
        <v>341</v>
      </c>
      <c r="F3050">
        <v>1550547361</v>
      </c>
      <c r="G3050">
        <v>1355539250</v>
      </c>
      <c r="H3050">
        <v>1273195738</v>
      </c>
      <c r="I3050">
        <v>1247248451</v>
      </c>
      <c r="J3050">
        <v>1336908557</v>
      </c>
      <c r="K3050">
        <v>1200812205</v>
      </c>
      <c r="L3050">
        <v>918688047</v>
      </c>
      <c r="M3050">
        <v>704550372</v>
      </c>
      <c r="N3050">
        <v>619143235</v>
      </c>
      <c r="O3050">
        <v>411690843</v>
      </c>
      <c r="P3050">
        <v>212</v>
      </c>
      <c r="Q3050" t="s">
        <v>6441</v>
      </c>
    </row>
    <row r="3051" spans="1:17" x14ac:dyDescent="0.3">
      <c r="A3051" t="s">
        <v>4729</v>
      </c>
      <c r="B3051" t="str">
        <f>"002325"</f>
        <v>002325</v>
      </c>
      <c r="C3051" t="s">
        <v>6442</v>
      </c>
      <c r="D3051" t="s">
        <v>450</v>
      </c>
      <c r="F3051">
        <v>2811892424</v>
      </c>
      <c r="G3051">
        <v>2510960811</v>
      </c>
      <c r="H3051">
        <v>5898525845</v>
      </c>
      <c r="I3051">
        <v>5616729203</v>
      </c>
      <c r="J3051">
        <v>5021277339</v>
      </c>
      <c r="K3051">
        <v>4433274094</v>
      </c>
      <c r="L3051">
        <v>3747062020</v>
      </c>
      <c r="M3051">
        <v>3088207545</v>
      </c>
      <c r="N3051">
        <v>2492837160</v>
      </c>
      <c r="O3051">
        <v>1334264896</v>
      </c>
      <c r="P3051">
        <v>171</v>
      </c>
      <c r="Q3051" t="s">
        <v>6443</v>
      </c>
    </row>
    <row r="3052" spans="1:17" x14ac:dyDescent="0.3">
      <c r="A3052" t="s">
        <v>4729</v>
      </c>
      <c r="B3052" t="str">
        <f>"002326"</f>
        <v>002326</v>
      </c>
      <c r="C3052" t="s">
        <v>6444</v>
      </c>
      <c r="D3052" t="s">
        <v>375</v>
      </c>
      <c r="F3052">
        <v>670211256</v>
      </c>
      <c r="G3052">
        <v>715388078</v>
      </c>
      <c r="H3052">
        <v>634259300</v>
      </c>
      <c r="I3052">
        <v>753262643</v>
      </c>
      <c r="J3052">
        <v>619192246</v>
      </c>
      <c r="K3052">
        <v>443820362</v>
      </c>
      <c r="L3052">
        <v>435503881</v>
      </c>
      <c r="M3052">
        <v>315390777</v>
      </c>
      <c r="N3052">
        <v>198470163</v>
      </c>
      <c r="O3052">
        <v>188113401</v>
      </c>
      <c r="P3052">
        <v>298</v>
      </c>
      <c r="Q3052" t="s">
        <v>6445</v>
      </c>
    </row>
    <row r="3053" spans="1:17" x14ac:dyDescent="0.3">
      <c r="A3053" t="s">
        <v>4729</v>
      </c>
      <c r="B3053" t="str">
        <f>"002327"</f>
        <v>002327</v>
      </c>
      <c r="C3053" t="s">
        <v>6446</v>
      </c>
      <c r="D3053" t="s">
        <v>2889</v>
      </c>
      <c r="F3053">
        <v>196598781</v>
      </c>
      <c r="G3053">
        <v>222692371</v>
      </c>
      <c r="H3053">
        <v>214484038</v>
      </c>
      <c r="I3053">
        <v>372337475</v>
      </c>
      <c r="J3053">
        <v>325539669</v>
      </c>
      <c r="K3053">
        <v>312945574</v>
      </c>
      <c r="L3053">
        <v>194109948</v>
      </c>
      <c r="M3053">
        <v>76079995</v>
      </c>
      <c r="N3053">
        <v>68901519</v>
      </c>
      <c r="O3053">
        <v>64600236</v>
      </c>
      <c r="P3053">
        <v>1306</v>
      </c>
      <c r="Q3053" t="s">
        <v>6447</v>
      </c>
    </row>
    <row r="3054" spans="1:17" x14ac:dyDescent="0.3">
      <c r="A3054" t="s">
        <v>4729</v>
      </c>
      <c r="B3054" t="str">
        <f>"002328"</f>
        <v>002328</v>
      </c>
      <c r="C3054" t="s">
        <v>6448</v>
      </c>
      <c r="D3054" t="s">
        <v>985</v>
      </c>
      <c r="F3054">
        <v>562951003</v>
      </c>
      <c r="G3054">
        <v>268146611</v>
      </c>
      <c r="H3054">
        <v>171879316</v>
      </c>
      <c r="I3054">
        <v>262032404</v>
      </c>
      <c r="J3054">
        <v>270304495</v>
      </c>
      <c r="K3054">
        <v>361909056</v>
      </c>
      <c r="L3054">
        <v>360142476</v>
      </c>
      <c r="M3054">
        <v>360051550</v>
      </c>
      <c r="N3054">
        <v>328675611</v>
      </c>
      <c r="O3054">
        <v>324781951</v>
      </c>
      <c r="P3054">
        <v>110</v>
      </c>
      <c r="Q3054" t="s">
        <v>6449</v>
      </c>
    </row>
    <row r="3055" spans="1:17" x14ac:dyDescent="0.3">
      <c r="A3055" t="s">
        <v>4729</v>
      </c>
      <c r="B3055" t="str">
        <f>"002329"</f>
        <v>002329</v>
      </c>
      <c r="C3055" t="s">
        <v>6450</v>
      </c>
      <c r="D3055" t="s">
        <v>900</v>
      </c>
      <c r="F3055">
        <v>425999308</v>
      </c>
      <c r="G3055">
        <v>475800878</v>
      </c>
      <c r="H3055">
        <v>366337447</v>
      </c>
      <c r="I3055">
        <v>848444111</v>
      </c>
      <c r="J3055">
        <v>1110863510</v>
      </c>
      <c r="K3055">
        <v>1080969033</v>
      </c>
      <c r="L3055">
        <v>617169252</v>
      </c>
      <c r="M3055">
        <v>278693992</v>
      </c>
      <c r="N3055">
        <v>110796176</v>
      </c>
      <c r="O3055">
        <v>130638367</v>
      </c>
      <c r="P3055">
        <v>186</v>
      </c>
      <c r="Q3055" t="s">
        <v>6451</v>
      </c>
    </row>
    <row r="3056" spans="1:17" x14ac:dyDescent="0.3">
      <c r="A3056" t="s">
        <v>4729</v>
      </c>
      <c r="B3056" t="str">
        <f>"002330"</f>
        <v>002330</v>
      </c>
      <c r="C3056" t="s">
        <v>6452</v>
      </c>
      <c r="D3056" t="s">
        <v>170</v>
      </c>
      <c r="F3056">
        <v>122227704</v>
      </c>
      <c r="G3056">
        <v>109467120</v>
      </c>
      <c r="H3056">
        <v>131318376</v>
      </c>
      <c r="I3056">
        <v>191352645</v>
      </c>
      <c r="J3056">
        <v>172717509</v>
      </c>
      <c r="K3056">
        <v>194396971</v>
      </c>
      <c r="L3056">
        <v>169186338</v>
      </c>
      <c r="M3056">
        <v>162588707</v>
      </c>
      <c r="N3056">
        <v>158650210</v>
      </c>
      <c r="O3056">
        <v>131740789</v>
      </c>
      <c r="P3056">
        <v>540</v>
      </c>
      <c r="Q3056" t="s">
        <v>6453</v>
      </c>
    </row>
    <row r="3057" spans="1:17" x14ac:dyDescent="0.3">
      <c r="A3057" t="s">
        <v>4729</v>
      </c>
      <c r="B3057" t="str">
        <f>"002331"</f>
        <v>002331</v>
      </c>
      <c r="C3057" t="s">
        <v>6454</v>
      </c>
      <c r="D3057" t="s">
        <v>316</v>
      </c>
      <c r="F3057">
        <v>634593551</v>
      </c>
      <c r="G3057">
        <v>695979689</v>
      </c>
      <c r="H3057">
        <v>567790186</v>
      </c>
      <c r="I3057">
        <v>439790845</v>
      </c>
      <c r="J3057">
        <v>285258121</v>
      </c>
      <c r="K3057">
        <v>220935754</v>
      </c>
      <c r="L3057">
        <v>189358993</v>
      </c>
      <c r="M3057">
        <v>268259345</v>
      </c>
      <c r="N3057">
        <v>193195934</v>
      </c>
      <c r="O3057">
        <v>165096073</v>
      </c>
      <c r="P3057">
        <v>121</v>
      </c>
      <c r="Q3057" t="s">
        <v>6455</v>
      </c>
    </row>
    <row r="3058" spans="1:17" x14ac:dyDescent="0.3">
      <c r="A3058" t="s">
        <v>4729</v>
      </c>
      <c r="B3058" t="str">
        <f>"002332"</f>
        <v>002332</v>
      </c>
      <c r="C3058" t="s">
        <v>6456</v>
      </c>
      <c r="D3058" t="s">
        <v>143</v>
      </c>
      <c r="F3058">
        <v>565416680</v>
      </c>
      <c r="G3058">
        <v>687235050</v>
      </c>
      <c r="H3058">
        <v>712749255</v>
      </c>
      <c r="I3058">
        <v>716943419</v>
      </c>
      <c r="J3058">
        <v>612359925</v>
      </c>
      <c r="K3058">
        <v>404566677</v>
      </c>
      <c r="L3058">
        <v>402408238</v>
      </c>
      <c r="M3058">
        <v>358664151</v>
      </c>
      <c r="N3058">
        <v>310541642</v>
      </c>
      <c r="O3058">
        <v>291704234</v>
      </c>
      <c r="P3058">
        <v>385</v>
      </c>
      <c r="Q3058" t="s">
        <v>6457</v>
      </c>
    </row>
    <row r="3059" spans="1:17" x14ac:dyDescent="0.3">
      <c r="A3059" t="s">
        <v>4729</v>
      </c>
      <c r="B3059" t="str">
        <f>"002333"</f>
        <v>002333</v>
      </c>
      <c r="C3059" t="s">
        <v>6458</v>
      </c>
      <c r="D3059" t="s">
        <v>722</v>
      </c>
      <c r="F3059">
        <v>436478779</v>
      </c>
      <c r="G3059">
        <v>195154166</v>
      </c>
      <c r="H3059">
        <v>30857328</v>
      </c>
      <c r="I3059">
        <v>84935158</v>
      </c>
      <c r="J3059">
        <v>93470345</v>
      </c>
      <c r="K3059">
        <v>91642310</v>
      </c>
      <c r="L3059">
        <v>63274406</v>
      </c>
      <c r="M3059">
        <v>59094292</v>
      </c>
      <c r="N3059">
        <v>22539790</v>
      </c>
      <c r="O3059">
        <v>19246304</v>
      </c>
      <c r="P3059">
        <v>59</v>
      </c>
      <c r="Q3059" t="s">
        <v>6459</v>
      </c>
    </row>
    <row r="3060" spans="1:17" x14ac:dyDescent="0.3">
      <c r="A3060" t="s">
        <v>4729</v>
      </c>
      <c r="B3060" t="str">
        <f>"002334"</f>
        <v>002334</v>
      </c>
      <c r="C3060" t="s">
        <v>6460</v>
      </c>
      <c r="D3060" t="s">
        <v>2432</v>
      </c>
      <c r="F3060">
        <v>697808263</v>
      </c>
      <c r="G3060">
        <v>532163938</v>
      </c>
      <c r="H3060">
        <v>600932500</v>
      </c>
      <c r="I3060">
        <v>888161126</v>
      </c>
      <c r="J3060">
        <v>829081520</v>
      </c>
      <c r="K3060">
        <v>385789260</v>
      </c>
      <c r="L3060">
        <v>331606216</v>
      </c>
      <c r="M3060">
        <v>218701307</v>
      </c>
      <c r="N3060">
        <v>155960288</v>
      </c>
      <c r="O3060">
        <v>137634909</v>
      </c>
      <c r="P3060">
        <v>222</v>
      </c>
      <c r="Q3060" t="s">
        <v>6461</v>
      </c>
    </row>
    <row r="3061" spans="1:17" x14ac:dyDescent="0.3">
      <c r="A3061" t="s">
        <v>4729</v>
      </c>
      <c r="B3061" t="str">
        <f>"002335"</f>
        <v>002335</v>
      </c>
      <c r="C3061" t="s">
        <v>6462</v>
      </c>
      <c r="D3061" t="s">
        <v>880</v>
      </c>
      <c r="F3061">
        <v>2058082483</v>
      </c>
      <c r="G3061">
        <v>1703565415</v>
      </c>
      <c r="H3061">
        <v>1611912356</v>
      </c>
      <c r="I3061">
        <v>1503221455</v>
      </c>
      <c r="J3061">
        <v>1118529809</v>
      </c>
      <c r="K3061">
        <v>832185061</v>
      </c>
      <c r="L3061">
        <v>775796424</v>
      </c>
      <c r="M3061">
        <v>736534858</v>
      </c>
      <c r="N3061">
        <v>394890603</v>
      </c>
      <c r="O3061">
        <v>288560015</v>
      </c>
      <c r="P3061">
        <v>431</v>
      </c>
      <c r="Q3061" t="s">
        <v>6463</v>
      </c>
    </row>
    <row r="3062" spans="1:17" x14ac:dyDescent="0.3">
      <c r="A3062" t="s">
        <v>4729</v>
      </c>
      <c r="B3062" t="str">
        <f>"002336"</f>
        <v>002336</v>
      </c>
      <c r="C3062" t="s">
        <v>6464</v>
      </c>
      <c r="D3062" t="s">
        <v>798</v>
      </c>
      <c r="F3062">
        <v>13375112</v>
      </c>
      <c r="G3062">
        <v>9847156</v>
      </c>
      <c r="H3062">
        <v>3035935</v>
      </c>
      <c r="I3062">
        <v>4300249</v>
      </c>
      <c r="J3062">
        <v>10087784</v>
      </c>
      <c r="K3062">
        <v>5946124</v>
      </c>
      <c r="L3062">
        <v>2683411</v>
      </c>
      <c r="M3062">
        <v>5095605</v>
      </c>
      <c r="N3062">
        <v>11207645</v>
      </c>
      <c r="O3062">
        <v>4626925</v>
      </c>
      <c r="P3062">
        <v>69</v>
      </c>
      <c r="Q3062" t="s">
        <v>6465</v>
      </c>
    </row>
    <row r="3063" spans="1:17" x14ac:dyDescent="0.3">
      <c r="A3063" t="s">
        <v>4729</v>
      </c>
      <c r="B3063" t="str">
        <f>"002337"</f>
        <v>002337</v>
      </c>
      <c r="C3063" t="s">
        <v>6466</v>
      </c>
      <c r="D3063" t="s">
        <v>741</v>
      </c>
      <c r="F3063">
        <v>271612084</v>
      </c>
      <c r="G3063">
        <v>130839415</v>
      </c>
      <c r="H3063">
        <v>319947822</v>
      </c>
      <c r="I3063">
        <v>352472320</v>
      </c>
      <c r="J3063">
        <v>388859216</v>
      </c>
      <c r="K3063">
        <v>414333382</v>
      </c>
      <c r="L3063">
        <v>377639950</v>
      </c>
      <c r="M3063">
        <v>225854507</v>
      </c>
      <c r="N3063">
        <v>190330296</v>
      </c>
      <c r="O3063">
        <v>216912718</v>
      </c>
      <c r="P3063">
        <v>92</v>
      </c>
      <c r="Q3063" t="s">
        <v>6467</v>
      </c>
    </row>
    <row r="3064" spans="1:17" x14ac:dyDescent="0.3">
      <c r="A3064" t="s">
        <v>4729</v>
      </c>
      <c r="B3064" t="str">
        <f>"002338"</f>
        <v>002338</v>
      </c>
      <c r="C3064" t="s">
        <v>6468</v>
      </c>
      <c r="D3064" t="s">
        <v>1136</v>
      </c>
      <c r="F3064">
        <v>184263493</v>
      </c>
      <c r="G3064">
        <v>166372163</v>
      </c>
      <c r="H3064">
        <v>149475713</v>
      </c>
      <c r="I3064">
        <v>161981949</v>
      </c>
      <c r="J3064">
        <v>122028557</v>
      </c>
      <c r="K3064">
        <v>115044992</v>
      </c>
      <c r="L3064">
        <v>149983806</v>
      </c>
      <c r="M3064">
        <v>203913918</v>
      </c>
      <c r="N3064">
        <v>161059439</v>
      </c>
      <c r="O3064">
        <v>121317760</v>
      </c>
      <c r="P3064">
        <v>147</v>
      </c>
      <c r="Q3064" t="s">
        <v>6469</v>
      </c>
    </row>
    <row r="3065" spans="1:17" x14ac:dyDescent="0.3">
      <c r="A3065" t="s">
        <v>4729</v>
      </c>
      <c r="B3065" t="str">
        <f>"002339"</f>
        <v>002339</v>
      </c>
      <c r="C3065" t="s">
        <v>6470</v>
      </c>
      <c r="D3065" t="s">
        <v>610</v>
      </c>
      <c r="F3065">
        <v>1164772006</v>
      </c>
      <c r="G3065">
        <v>1079080868</v>
      </c>
      <c r="H3065">
        <v>1285838315</v>
      </c>
      <c r="I3065">
        <v>1439925380</v>
      </c>
      <c r="J3065">
        <v>1364138864</v>
      </c>
      <c r="K3065">
        <v>1181257646</v>
      </c>
      <c r="L3065">
        <v>936876554</v>
      </c>
      <c r="M3065">
        <v>683586400</v>
      </c>
      <c r="N3065">
        <v>568118531</v>
      </c>
      <c r="O3065">
        <v>508673364</v>
      </c>
      <c r="P3065">
        <v>120</v>
      </c>
      <c r="Q3065" t="s">
        <v>6471</v>
      </c>
    </row>
    <row r="3066" spans="1:17" x14ac:dyDescent="0.3">
      <c r="A3066" t="s">
        <v>4729</v>
      </c>
      <c r="B3066" t="str">
        <f>"002340"</f>
        <v>002340</v>
      </c>
      <c r="C3066" t="s">
        <v>6472</v>
      </c>
      <c r="D3066" t="s">
        <v>1790</v>
      </c>
      <c r="F3066">
        <v>4124951968</v>
      </c>
      <c r="G3066">
        <v>2546193922</v>
      </c>
      <c r="H3066">
        <v>2570124992</v>
      </c>
      <c r="I3066">
        <v>1800038226</v>
      </c>
      <c r="J3066">
        <v>2335062645</v>
      </c>
      <c r="K3066">
        <v>1658940030</v>
      </c>
      <c r="L3066">
        <v>1240051681</v>
      </c>
      <c r="M3066">
        <v>846050656</v>
      </c>
      <c r="N3066">
        <v>463009628</v>
      </c>
      <c r="O3066">
        <v>223759222</v>
      </c>
      <c r="P3066">
        <v>1302</v>
      </c>
      <c r="Q3066" t="s">
        <v>6473</v>
      </c>
    </row>
    <row r="3067" spans="1:17" x14ac:dyDescent="0.3">
      <c r="A3067" t="s">
        <v>4729</v>
      </c>
      <c r="B3067" t="str">
        <f>"002341"</f>
        <v>002341</v>
      </c>
      <c r="C3067" t="s">
        <v>6474</v>
      </c>
      <c r="D3067" t="s">
        <v>324</v>
      </c>
      <c r="F3067">
        <v>199488975</v>
      </c>
      <c r="G3067">
        <v>526478088</v>
      </c>
      <c r="H3067">
        <v>1218726463</v>
      </c>
      <c r="I3067">
        <v>1335721659</v>
      </c>
      <c r="J3067">
        <v>882608869</v>
      </c>
      <c r="K3067">
        <v>801042644</v>
      </c>
      <c r="L3067">
        <v>775241427</v>
      </c>
      <c r="M3067">
        <v>853910815</v>
      </c>
      <c r="N3067">
        <v>863165210</v>
      </c>
      <c r="O3067">
        <v>711900751</v>
      </c>
      <c r="P3067">
        <v>276</v>
      </c>
      <c r="Q3067" t="s">
        <v>6475</v>
      </c>
    </row>
    <row r="3068" spans="1:17" x14ac:dyDescent="0.3">
      <c r="A3068" t="s">
        <v>4729</v>
      </c>
      <c r="B3068" t="str">
        <f>"002342"</f>
        <v>002342</v>
      </c>
      <c r="C3068" t="s">
        <v>6476</v>
      </c>
      <c r="D3068" t="s">
        <v>274</v>
      </c>
      <c r="F3068">
        <v>974691543</v>
      </c>
      <c r="G3068">
        <v>842407337</v>
      </c>
      <c r="H3068">
        <v>758261157</v>
      </c>
      <c r="I3068">
        <v>725433001</v>
      </c>
      <c r="J3068">
        <v>787071369</v>
      </c>
      <c r="K3068">
        <v>858559239</v>
      </c>
      <c r="L3068">
        <v>668994298</v>
      </c>
      <c r="M3068">
        <v>707977069</v>
      </c>
      <c r="N3068">
        <v>701607382</v>
      </c>
      <c r="O3068">
        <v>616742975</v>
      </c>
      <c r="P3068">
        <v>112</v>
      </c>
      <c r="Q3068" t="s">
        <v>6477</v>
      </c>
    </row>
    <row r="3069" spans="1:17" x14ac:dyDescent="0.3">
      <c r="A3069" t="s">
        <v>4729</v>
      </c>
      <c r="B3069" t="str">
        <f>"002343"</f>
        <v>002343</v>
      </c>
      <c r="C3069" t="s">
        <v>6478</v>
      </c>
      <c r="D3069" t="s">
        <v>113</v>
      </c>
      <c r="F3069">
        <v>231852148</v>
      </c>
      <c r="G3069">
        <v>532225438</v>
      </c>
      <c r="H3069">
        <v>886587157</v>
      </c>
      <c r="I3069">
        <v>1204847057</v>
      </c>
      <c r="J3069">
        <v>1474147522</v>
      </c>
      <c r="K3069">
        <v>1107387782</v>
      </c>
      <c r="L3069">
        <v>870737981</v>
      </c>
      <c r="M3069">
        <v>210614196</v>
      </c>
      <c r="N3069">
        <v>212644872</v>
      </c>
      <c r="O3069">
        <v>194400090</v>
      </c>
      <c r="P3069">
        <v>183</v>
      </c>
      <c r="Q3069" t="s">
        <v>6479</v>
      </c>
    </row>
    <row r="3070" spans="1:17" x14ac:dyDescent="0.3">
      <c r="A3070" t="s">
        <v>4729</v>
      </c>
      <c r="B3070" t="str">
        <f>"002344"</f>
        <v>002344</v>
      </c>
      <c r="C3070" t="s">
        <v>6480</v>
      </c>
      <c r="D3070" t="s">
        <v>271</v>
      </c>
      <c r="F3070">
        <v>119264139</v>
      </c>
      <c r="G3070">
        <v>3179599</v>
      </c>
      <c r="H3070">
        <v>4195634</v>
      </c>
      <c r="I3070">
        <v>15049469</v>
      </c>
      <c r="J3070">
        <v>16145535</v>
      </c>
      <c r="K3070">
        <v>153520582</v>
      </c>
      <c r="L3070">
        <v>155431579</v>
      </c>
      <c r="M3070">
        <v>209877833</v>
      </c>
      <c r="N3070">
        <v>151301860</v>
      </c>
      <c r="O3070">
        <v>93609174</v>
      </c>
      <c r="P3070">
        <v>145</v>
      </c>
      <c r="Q3070" t="s">
        <v>6481</v>
      </c>
    </row>
    <row r="3071" spans="1:17" x14ac:dyDescent="0.3">
      <c r="A3071" t="s">
        <v>4729</v>
      </c>
      <c r="B3071" t="str">
        <f>"002345"</f>
        <v>002345</v>
      </c>
      <c r="C3071" t="s">
        <v>6482</v>
      </c>
      <c r="D3071" t="s">
        <v>1238</v>
      </c>
      <c r="F3071">
        <v>218834366</v>
      </c>
      <c r="G3071">
        <v>154279273</v>
      </c>
      <c r="H3071">
        <v>189247808</v>
      </c>
      <c r="I3071">
        <v>201428559</v>
      </c>
      <c r="J3071">
        <v>188276432</v>
      </c>
      <c r="K3071">
        <v>157789930</v>
      </c>
      <c r="L3071">
        <v>156911406</v>
      </c>
      <c r="M3071">
        <v>145835286</v>
      </c>
      <c r="N3071">
        <v>82712621</v>
      </c>
      <c r="O3071">
        <v>80735309</v>
      </c>
      <c r="P3071">
        <v>137</v>
      </c>
      <c r="Q3071" t="s">
        <v>6483</v>
      </c>
    </row>
    <row r="3072" spans="1:17" x14ac:dyDescent="0.3">
      <c r="A3072" t="s">
        <v>4729</v>
      </c>
      <c r="B3072" t="str">
        <f>"002346"</f>
        <v>002346</v>
      </c>
      <c r="C3072" t="s">
        <v>6484</v>
      </c>
      <c r="D3072" t="s">
        <v>210</v>
      </c>
      <c r="F3072">
        <v>454333957</v>
      </c>
      <c r="G3072">
        <v>358816357</v>
      </c>
      <c r="H3072">
        <v>324955606</v>
      </c>
      <c r="I3072">
        <v>342303257</v>
      </c>
      <c r="J3072">
        <v>283764784</v>
      </c>
      <c r="K3072">
        <v>263450799</v>
      </c>
      <c r="L3072">
        <v>270248601</v>
      </c>
      <c r="M3072">
        <v>230544094</v>
      </c>
      <c r="N3072">
        <v>103916915</v>
      </c>
      <c r="O3072">
        <v>197670293</v>
      </c>
      <c r="P3072">
        <v>105</v>
      </c>
      <c r="Q3072" t="s">
        <v>6485</v>
      </c>
    </row>
    <row r="3073" spans="1:17" x14ac:dyDescent="0.3">
      <c r="A3073" t="s">
        <v>4729</v>
      </c>
      <c r="B3073" t="str">
        <f>"002347"</f>
        <v>002347</v>
      </c>
      <c r="C3073" t="s">
        <v>6486</v>
      </c>
      <c r="D3073" t="s">
        <v>274</v>
      </c>
      <c r="F3073">
        <v>592258001</v>
      </c>
      <c r="G3073">
        <v>521069603</v>
      </c>
      <c r="H3073">
        <v>507013792</v>
      </c>
      <c r="I3073">
        <v>476113898</v>
      </c>
      <c r="J3073">
        <v>467299569</v>
      </c>
      <c r="K3073">
        <v>488907386</v>
      </c>
      <c r="L3073">
        <v>501139662</v>
      </c>
      <c r="M3073">
        <v>429526265</v>
      </c>
      <c r="N3073">
        <v>385860948</v>
      </c>
      <c r="O3073">
        <v>338079058</v>
      </c>
      <c r="P3073">
        <v>75</v>
      </c>
      <c r="Q3073" t="s">
        <v>6487</v>
      </c>
    </row>
    <row r="3074" spans="1:17" x14ac:dyDescent="0.3">
      <c r="A3074" t="s">
        <v>4729</v>
      </c>
      <c r="B3074" t="str">
        <f>"002348"</f>
        <v>002348</v>
      </c>
      <c r="C3074" t="s">
        <v>6488</v>
      </c>
      <c r="D3074" t="s">
        <v>2931</v>
      </c>
      <c r="F3074">
        <v>219338057</v>
      </c>
      <c r="G3074">
        <v>302739268</v>
      </c>
      <c r="H3074">
        <v>321564305</v>
      </c>
      <c r="I3074">
        <v>379733494</v>
      </c>
      <c r="J3074">
        <v>320481722</v>
      </c>
      <c r="K3074">
        <v>124102703</v>
      </c>
      <c r="L3074">
        <v>173961999</v>
      </c>
      <c r="M3074">
        <v>132149502</v>
      </c>
      <c r="N3074">
        <v>138527400</v>
      </c>
      <c r="O3074">
        <v>143654366</v>
      </c>
      <c r="P3074">
        <v>112</v>
      </c>
      <c r="Q3074" t="s">
        <v>6489</v>
      </c>
    </row>
    <row r="3075" spans="1:17" x14ac:dyDescent="0.3">
      <c r="A3075" t="s">
        <v>4729</v>
      </c>
      <c r="B3075" t="str">
        <f>"002349"</f>
        <v>002349</v>
      </c>
      <c r="C3075" t="s">
        <v>6490</v>
      </c>
      <c r="D3075" t="s">
        <v>188</v>
      </c>
      <c r="F3075">
        <v>213685446</v>
      </c>
      <c r="G3075">
        <v>235441378</v>
      </c>
      <c r="H3075">
        <v>275047788</v>
      </c>
      <c r="I3075">
        <v>455428489</v>
      </c>
      <c r="J3075">
        <v>294239120</v>
      </c>
      <c r="K3075">
        <v>140130800</v>
      </c>
      <c r="L3075">
        <v>291747812</v>
      </c>
      <c r="M3075">
        <v>135231423</v>
      </c>
      <c r="N3075">
        <v>178057631</v>
      </c>
      <c r="O3075">
        <v>135245616</v>
      </c>
      <c r="P3075">
        <v>194</v>
      </c>
      <c r="Q3075" t="s">
        <v>6491</v>
      </c>
    </row>
    <row r="3076" spans="1:17" x14ac:dyDescent="0.3">
      <c r="A3076" t="s">
        <v>4729</v>
      </c>
      <c r="B3076" t="str">
        <f>"002350"</f>
        <v>002350</v>
      </c>
      <c r="C3076" t="s">
        <v>6492</v>
      </c>
      <c r="D3076" t="s">
        <v>657</v>
      </c>
      <c r="F3076">
        <v>950801580</v>
      </c>
      <c r="G3076">
        <v>982080913</v>
      </c>
      <c r="H3076">
        <v>1065246638</v>
      </c>
      <c r="I3076">
        <v>1205673712</v>
      </c>
      <c r="J3076">
        <v>1060408992</v>
      </c>
      <c r="K3076">
        <v>716397059</v>
      </c>
      <c r="L3076">
        <v>699446742</v>
      </c>
      <c r="M3076">
        <v>518441189</v>
      </c>
      <c r="N3076">
        <v>307039175</v>
      </c>
      <c r="O3076">
        <v>354644655</v>
      </c>
      <c r="P3076">
        <v>104</v>
      </c>
      <c r="Q3076" t="s">
        <v>6493</v>
      </c>
    </row>
    <row r="3077" spans="1:17" x14ac:dyDescent="0.3">
      <c r="A3077" t="s">
        <v>4729</v>
      </c>
      <c r="B3077" t="str">
        <f>"002351"</f>
        <v>002351</v>
      </c>
      <c r="C3077" t="s">
        <v>6494</v>
      </c>
      <c r="D3077" t="s">
        <v>3526</v>
      </c>
      <c r="F3077">
        <v>221279267</v>
      </c>
      <c r="G3077">
        <v>214833135</v>
      </c>
      <c r="H3077">
        <v>176253225</v>
      </c>
      <c r="I3077">
        <v>92741437</v>
      </c>
      <c r="J3077">
        <v>80909319</v>
      </c>
      <c r="K3077">
        <v>70496720</v>
      </c>
      <c r="L3077">
        <v>31905782</v>
      </c>
      <c r="M3077">
        <v>29173058</v>
      </c>
      <c r="N3077">
        <v>20448514</v>
      </c>
      <c r="O3077">
        <v>38566504</v>
      </c>
      <c r="P3077">
        <v>339</v>
      </c>
      <c r="Q3077" t="s">
        <v>6495</v>
      </c>
    </row>
    <row r="3078" spans="1:17" x14ac:dyDescent="0.3">
      <c r="A3078" t="s">
        <v>4729</v>
      </c>
      <c r="B3078" t="str">
        <f>"002352"</f>
        <v>002352</v>
      </c>
      <c r="C3078" t="s">
        <v>6496</v>
      </c>
      <c r="D3078" t="s">
        <v>537</v>
      </c>
      <c r="F3078">
        <v>30441758000</v>
      </c>
      <c r="G3078">
        <v>16849064251</v>
      </c>
      <c r="H3078">
        <v>12044542726</v>
      </c>
      <c r="I3078">
        <v>7352877749</v>
      </c>
      <c r="J3078">
        <v>5804152565</v>
      </c>
      <c r="K3078">
        <v>4559911487</v>
      </c>
      <c r="L3078">
        <v>209655208</v>
      </c>
      <c r="M3078">
        <v>171408841</v>
      </c>
      <c r="N3078">
        <v>156936979</v>
      </c>
      <c r="O3078">
        <v>183202131</v>
      </c>
      <c r="P3078">
        <v>3728</v>
      </c>
      <c r="Q3078" t="s">
        <v>6497</v>
      </c>
    </row>
    <row r="3079" spans="1:17" x14ac:dyDescent="0.3">
      <c r="A3079" t="s">
        <v>4729</v>
      </c>
      <c r="B3079" t="str">
        <f>"002353"</f>
        <v>002353</v>
      </c>
      <c r="C3079" t="s">
        <v>6498</v>
      </c>
      <c r="D3079" t="s">
        <v>395</v>
      </c>
      <c r="F3079">
        <v>4286290362</v>
      </c>
      <c r="G3079">
        <v>3257039596</v>
      </c>
      <c r="H3079">
        <v>2974772486</v>
      </c>
      <c r="I3079">
        <v>2493968835</v>
      </c>
      <c r="J3079">
        <v>2000352391</v>
      </c>
      <c r="K3079">
        <v>1722568206</v>
      </c>
      <c r="L3079">
        <v>1833093510</v>
      </c>
      <c r="M3079">
        <v>2043907899</v>
      </c>
      <c r="N3079">
        <v>1605092605</v>
      </c>
      <c r="O3079">
        <v>924969962</v>
      </c>
      <c r="P3079">
        <v>861</v>
      </c>
      <c r="Q3079" t="s">
        <v>6499</v>
      </c>
    </row>
    <row r="3080" spans="1:17" x14ac:dyDescent="0.3">
      <c r="A3080" t="s">
        <v>4729</v>
      </c>
      <c r="B3080" t="str">
        <f>"002354"</f>
        <v>002354</v>
      </c>
      <c r="C3080" t="s">
        <v>6500</v>
      </c>
      <c r="D3080" t="s">
        <v>517</v>
      </c>
      <c r="F3080">
        <v>220220874</v>
      </c>
      <c r="G3080">
        <v>159387886</v>
      </c>
      <c r="H3080">
        <v>282868668</v>
      </c>
      <c r="I3080">
        <v>638147032</v>
      </c>
      <c r="J3080">
        <v>643480407</v>
      </c>
      <c r="K3080">
        <v>408152490</v>
      </c>
      <c r="L3080">
        <v>416323630</v>
      </c>
      <c r="M3080">
        <v>86406366</v>
      </c>
      <c r="N3080">
        <v>115626760</v>
      </c>
      <c r="O3080">
        <v>96906208</v>
      </c>
      <c r="P3080">
        <v>265</v>
      </c>
      <c r="Q3080" t="s">
        <v>6501</v>
      </c>
    </row>
    <row r="3081" spans="1:17" x14ac:dyDescent="0.3">
      <c r="A3081" t="s">
        <v>4729</v>
      </c>
      <c r="B3081" t="str">
        <f>"002355"</f>
        <v>002355</v>
      </c>
      <c r="C3081" t="s">
        <v>6502</v>
      </c>
      <c r="D3081" t="s">
        <v>422</v>
      </c>
      <c r="F3081">
        <v>256655713</v>
      </c>
      <c r="G3081">
        <v>482861638</v>
      </c>
      <c r="H3081">
        <v>503950206</v>
      </c>
      <c r="I3081">
        <v>568612594</v>
      </c>
      <c r="J3081">
        <v>479287705</v>
      </c>
      <c r="K3081">
        <v>348667185</v>
      </c>
      <c r="L3081">
        <v>294853513</v>
      </c>
      <c r="M3081">
        <v>179520347</v>
      </c>
      <c r="N3081">
        <v>184206746</v>
      </c>
      <c r="O3081">
        <v>206640439</v>
      </c>
      <c r="P3081">
        <v>120</v>
      </c>
      <c r="Q3081" t="s">
        <v>6503</v>
      </c>
    </row>
    <row r="3082" spans="1:17" x14ac:dyDescent="0.3">
      <c r="A3082" t="s">
        <v>4729</v>
      </c>
      <c r="B3082" t="str">
        <f>"002356"</f>
        <v>002356</v>
      </c>
      <c r="C3082" t="s">
        <v>6504</v>
      </c>
      <c r="D3082" t="s">
        <v>1404</v>
      </c>
      <c r="F3082">
        <v>98748025</v>
      </c>
      <c r="G3082">
        <v>208779651</v>
      </c>
      <c r="H3082">
        <v>339711788</v>
      </c>
      <c r="I3082">
        <v>436978946</v>
      </c>
      <c r="J3082">
        <v>686215641</v>
      </c>
      <c r="K3082">
        <v>541312662</v>
      </c>
      <c r="L3082">
        <v>377953773</v>
      </c>
      <c r="M3082">
        <v>360264236</v>
      </c>
      <c r="N3082">
        <v>438841249</v>
      </c>
      <c r="O3082">
        <v>358795597</v>
      </c>
      <c r="P3082">
        <v>75</v>
      </c>
      <c r="Q3082" t="s">
        <v>6505</v>
      </c>
    </row>
    <row r="3083" spans="1:17" x14ac:dyDescent="0.3">
      <c r="A3083" t="s">
        <v>4729</v>
      </c>
      <c r="B3083" t="str">
        <f>"002357"</f>
        <v>002357</v>
      </c>
      <c r="C3083" t="s">
        <v>6506</v>
      </c>
      <c r="D3083" t="s">
        <v>1133</v>
      </c>
      <c r="F3083">
        <v>75046052</v>
      </c>
      <c r="G3083">
        <v>79004825</v>
      </c>
      <c r="H3083">
        <v>64297218</v>
      </c>
      <c r="I3083">
        <v>75202004</v>
      </c>
      <c r="J3083">
        <v>83545545</v>
      </c>
      <c r="K3083">
        <v>70299528</v>
      </c>
      <c r="L3083">
        <v>67034590</v>
      </c>
      <c r="M3083">
        <v>4672204</v>
      </c>
      <c r="N3083">
        <v>4347738</v>
      </c>
      <c r="O3083">
        <v>3495493</v>
      </c>
      <c r="P3083">
        <v>102</v>
      </c>
      <c r="Q3083" t="s">
        <v>6507</v>
      </c>
    </row>
    <row r="3084" spans="1:17" x14ac:dyDescent="0.3">
      <c r="A3084" t="s">
        <v>4729</v>
      </c>
      <c r="B3084" t="str">
        <f>"002358"</f>
        <v>002358</v>
      </c>
      <c r="C3084" t="s">
        <v>6508</v>
      </c>
      <c r="D3084" t="s">
        <v>210</v>
      </c>
      <c r="F3084">
        <v>1842770631</v>
      </c>
      <c r="G3084">
        <v>2178701124</v>
      </c>
      <c r="H3084">
        <v>2812417954</v>
      </c>
      <c r="I3084">
        <v>4186669527</v>
      </c>
      <c r="J3084">
        <v>2406463169</v>
      </c>
      <c r="K3084">
        <v>1870769506</v>
      </c>
      <c r="L3084">
        <v>1180990172</v>
      </c>
      <c r="M3084">
        <v>934890791</v>
      </c>
      <c r="N3084">
        <v>809684758</v>
      </c>
      <c r="O3084">
        <v>505938633</v>
      </c>
      <c r="P3084">
        <v>142</v>
      </c>
      <c r="Q3084" t="s">
        <v>6509</v>
      </c>
    </row>
    <row r="3085" spans="1:17" x14ac:dyDescent="0.3">
      <c r="A3085" t="s">
        <v>4729</v>
      </c>
      <c r="B3085" t="str">
        <f>"002359"</f>
        <v>002359</v>
      </c>
      <c r="C3085" t="s">
        <v>6510</v>
      </c>
      <c r="G3085">
        <v>387733331</v>
      </c>
      <c r="H3085">
        <v>557683037</v>
      </c>
      <c r="I3085">
        <v>1467761468</v>
      </c>
      <c r="J3085">
        <v>871480632</v>
      </c>
      <c r="K3085">
        <v>647981794</v>
      </c>
      <c r="L3085">
        <v>464245416</v>
      </c>
      <c r="M3085">
        <v>504355414</v>
      </c>
      <c r="N3085">
        <v>440001685</v>
      </c>
      <c r="O3085">
        <v>246644859</v>
      </c>
      <c r="P3085">
        <v>68</v>
      </c>
      <c r="Q3085" t="s">
        <v>6511</v>
      </c>
    </row>
    <row r="3086" spans="1:17" x14ac:dyDescent="0.3">
      <c r="A3086" t="s">
        <v>4729</v>
      </c>
      <c r="B3086" t="str">
        <f>"002360"</f>
        <v>002360</v>
      </c>
      <c r="C3086" t="s">
        <v>6512</v>
      </c>
      <c r="D3086" t="s">
        <v>2736</v>
      </c>
      <c r="F3086">
        <v>151525623</v>
      </c>
      <c r="G3086">
        <v>157915942</v>
      </c>
      <c r="H3086">
        <v>110002103</v>
      </c>
      <c r="I3086">
        <v>81249373</v>
      </c>
      <c r="J3086">
        <v>72301232</v>
      </c>
      <c r="K3086">
        <v>67239218</v>
      </c>
      <c r="L3086">
        <v>71016656</v>
      </c>
      <c r="M3086">
        <v>59125802</v>
      </c>
      <c r="N3086">
        <v>55123808</v>
      </c>
      <c r="O3086">
        <v>36819400</v>
      </c>
      <c r="P3086">
        <v>111</v>
      </c>
      <c r="Q3086" t="s">
        <v>6513</v>
      </c>
    </row>
    <row r="3087" spans="1:17" x14ac:dyDescent="0.3">
      <c r="A3087" t="s">
        <v>4729</v>
      </c>
      <c r="B3087" t="str">
        <f>"002361"</f>
        <v>002361</v>
      </c>
      <c r="C3087" t="s">
        <v>6514</v>
      </c>
      <c r="D3087" t="s">
        <v>3377</v>
      </c>
      <c r="F3087">
        <v>1160435068</v>
      </c>
      <c r="G3087">
        <v>910176740</v>
      </c>
      <c r="H3087">
        <v>938301181</v>
      </c>
      <c r="I3087">
        <v>867746280</v>
      </c>
      <c r="J3087">
        <v>825766230</v>
      </c>
      <c r="K3087">
        <v>611599805</v>
      </c>
      <c r="L3087">
        <v>525091883</v>
      </c>
      <c r="M3087">
        <v>402826726</v>
      </c>
      <c r="N3087">
        <v>284660267</v>
      </c>
      <c r="O3087">
        <v>228405437</v>
      </c>
      <c r="P3087">
        <v>89</v>
      </c>
      <c r="Q3087" t="s">
        <v>6515</v>
      </c>
    </row>
    <row r="3088" spans="1:17" x14ac:dyDescent="0.3">
      <c r="A3088" t="s">
        <v>4729</v>
      </c>
      <c r="B3088" t="str">
        <f>"002362"</f>
        <v>002362</v>
      </c>
      <c r="C3088" t="s">
        <v>6516</v>
      </c>
      <c r="D3088" t="s">
        <v>945</v>
      </c>
      <c r="F3088">
        <v>146323045</v>
      </c>
      <c r="G3088">
        <v>144512514</v>
      </c>
      <c r="H3088">
        <v>134079460</v>
      </c>
      <c r="I3088">
        <v>141971601</v>
      </c>
      <c r="J3088">
        <v>79494195</v>
      </c>
      <c r="K3088">
        <v>56845247</v>
      </c>
      <c r="L3088">
        <v>42078592</v>
      </c>
      <c r="M3088">
        <v>36027195</v>
      </c>
      <c r="N3088">
        <v>38414500</v>
      </c>
      <c r="O3088">
        <v>84406519</v>
      </c>
      <c r="P3088">
        <v>197</v>
      </c>
      <c r="Q3088" t="s">
        <v>6517</v>
      </c>
    </row>
    <row r="3089" spans="1:17" x14ac:dyDescent="0.3">
      <c r="A3089" t="s">
        <v>4729</v>
      </c>
      <c r="B3089" t="str">
        <f>"002363"</f>
        <v>002363</v>
      </c>
      <c r="C3089" t="s">
        <v>6518</v>
      </c>
      <c r="D3089" t="s">
        <v>348</v>
      </c>
      <c r="F3089">
        <v>433587935</v>
      </c>
      <c r="G3089">
        <v>412234196</v>
      </c>
      <c r="H3089">
        <v>399760818</v>
      </c>
      <c r="I3089">
        <v>463501716</v>
      </c>
      <c r="J3089">
        <v>387647546</v>
      </c>
      <c r="K3089">
        <v>364353516</v>
      </c>
      <c r="L3089">
        <v>262420876</v>
      </c>
      <c r="M3089">
        <v>292006137</v>
      </c>
      <c r="N3089">
        <v>275897852</v>
      </c>
      <c r="O3089">
        <v>230243949</v>
      </c>
      <c r="P3089">
        <v>126</v>
      </c>
      <c r="Q3089" t="s">
        <v>6519</v>
      </c>
    </row>
    <row r="3090" spans="1:17" x14ac:dyDescent="0.3">
      <c r="A3090" t="s">
        <v>4729</v>
      </c>
      <c r="B3090" t="str">
        <f>"002364"</f>
        <v>002364</v>
      </c>
      <c r="C3090" t="s">
        <v>6520</v>
      </c>
      <c r="D3090" t="s">
        <v>880</v>
      </c>
      <c r="F3090">
        <v>1083659487</v>
      </c>
      <c r="G3090">
        <v>1015788826</v>
      </c>
      <c r="H3090">
        <v>959252141</v>
      </c>
      <c r="I3090">
        <v>772908493</v>
      </c>
      <c r="J3090">
        <v>719068347</v>
      </c>
      <c r="K3090">
        <v>612373930</v>
      </c>
      <c r="L3090">
        <v>606961416</v>
      </c>
      <c r="M3090">
        <v>394249873</v>
      </c>
      <c r="N3090">
        <v>308896429</v>
      </c>
      <c r="O3090">
        <v>245393741</v>
      </c>
      <c r="P3090">
        <v>219</v>
      </c>
      <c r="Q3090" t="s">
        <v>6521</v>
      </c>
    </row>
    <row r="3091" spans="1:17" x14ac:dyDescent="0.3">
      <c r="A3091" t="s">
        <v>4729</v>
      </c>
      <c r="B3091" t="str">
        <f>"002365"</f>
        <v>002365</v>
      </c>
      <c r="C3091" t="s">
        <v>6522</v>
      </c>
      <c r="D3091" t="s">
        <v>496</v>
      </c>
      <c r="F3091">
        <v>229877762</v>
      </c>
      <c r="G3091">
        <v>126102892</v>
      </c>
      <c r="H3091">
        <v>113739221</v>
      </c>
      <c r="I3091">
        <v>130343677</v>
      </c>
      <c r="J3091">
        <v>143013610</v>
      </c>
      <c r="K3091">
        <v>71166630</v>
      </c>
      <c r="L3091">
        <v>76235003</v>
      </c>
      <c r="M3091">
        <v>68579492</v>
      </c>
      <c r="N3091">
        <v>47595109</v>
      </c>
      <c r="O3091">
        <v>68743055</v>
      </c>
      <c r="P3091">
        <v>195</v>
      </c>
      <c r="Q3091" t="s">
        <v>6523</v>
      </c>
    </row>
    <row r="3092" spans="1:17" x14ac:dyDescent="0.3">
      <c r="A3092" t="s">
        <v>4729</v>
      </c>
      <c r="B3092" t="str">
        <f>"002366"</f>
        <v>002366</v>
      </c>
      <c r="C3092" t="s">
        <v>6524</v>
      </c>
      <c r="D3092" t="s">
        <v>880</v>
      </c>
      <c r="F3092">
        <v>487062957</v>
      </c>
      <c r="G3092">
        <v>803129117</v>
      </c>
      <c r="H3092">
        <v>999175899</v>
      </c>
      <c r="I3092">
        <v>1221628018</v>
      </c>
      <c r="J3092">
        <v>781755181</v>
      </c>
      <c r="K3092">
        <v>461328813</v>
      </c>
      <c r="L3092">
        <v>120624964</v>
      </c>
      <c r="M3092">
        <v>100655190</v>
      </c>
      <c r="N3092">
        <v>104739426</v>
      </c>
      <c r="O3092">
        <v>95036203</v>
      </c>
      <c r="P3092">
        <v>175</v>
      </c>
      <c r="Q3092" t="s">
        <v>6525</v>
      </c>
    </row>
    <row r="3093" spans="1:17" x14ac:dyDescent="0.3">
      <c r="A3093" t="s">
        <v>4729</v>
      </c>
      <c r="B3093" t="str">
        <f>"002367"</f>
        <v>002367</v>
      </c>
      <c r="C3093" t="s">
        <v>6526</v>
      </c>
      <c r="D3093" t="s">
        <v>1691</v>
      </c>
      <c r="F3093">
        <v>990263591</v>
      </c>
      <c r="G3093">
        <v>708835205</v>
      </c>
      <c r="H3093">
        <v>861497162</v>
      </c>
      <c r="I3093">
        <v>818316420</v>
      </c>
      <c r="J3093">
        <v>814523519</v>
      </c>
      <c r="K3093">
        <v>637017531</v>
      </c>
      <c r="L3093">
        <v>439037353</v>
      </c>
      <c r="M3093">
        <v>282061852</v>
      </c>
      <c r="N3093">
        <v>249234179</v>
      </c>
      <c r="O3093">
        <v>196804297</v>
      </c>
      <c r="P3093">
        <v>388</v>
      </c>
      <c r="Q3093" t="s">
        <v>6527</v>
      </c>
    </row>
    <row r="3094" spans="1:17" x14ac:dyDescent="0.3">
      <c r="A3094" t="s">
        <v>4729</v>
      </c>
      <c r="B3094" t="str">
        <f>"002368"</f>
        <v>002368</v>
      </c>
      <c r="C3094" t="s">
        <v>6528</v>
      </c>
      <c r="D3094" t="s">
        <v>316</v>
      </c>
      <c r="F3094">
        <v>4270500560</v>
      </c>
      <c r="G3094">
        <v>2395566035</v>
      </c>
      <c r="H3094">
        <v>2816023982</v>
      </c>
      <c r="I3094">
        <v>2284641539</v>
      </c>
      <c r="J3094">
        <v>2109952884</v>
      </c>
      <c r="K3094">
        <v>2268645752</v>
      </c>
      <c r="L3094">
        <v>2074200536</v>
      </c>
      <c r="M3094">
        <v>1489756053</v>
      </c>
      <c r="N3094">
        <v>1140516250</v>
      </c>
      <c r="O3094">
        <v>862799754</v>
      </c>
      <c r="P3094">
        <v>373</v>
      </c>
      <c r="Q3094" t="s">
        <v>6529</v>
      </c>
    </row>
    <row r="3095" spans="1:17" x14ac:dyDescent="0.3">
      <c r="A3095" t="s">
        <v>4729</v>
      </c>
      <c r="B3095" t="str">
        <f>"002369"</f>
        <v>002369</v>
      </c>
      <c r="C3095" t="s">
        <v>6530</v>
      </c>
      <c r="D3095" t="s">
        <v>313</v>
      </c>
      <c r="F3095">
        <v>470188402</v>
      </c>
      <c r="G3095">
        <v>687112601</v>
      </c>
      <c r="H3095">
        <v>981413891</v>
      </c>
      <c r="I3095">
        <v>693551745</v>
      </c>
      <c r="J3095">
        <v>296802836</v>
      </c>
      <c r="K3095">
        <v>508488041</v>
      </c>
      <c r="L3095">
        <v>610635618</v>
      </c>
      <c r="M3095">
        <v>497603563</v>
      </c>
      <c r="N3095">
        <v>306768103</v>
      </c>
      <c r="O3095">
        <v>233994280</v>
      </c>
      <c r="P3095">
        <v>179</v>
      </c>
      <c r="Q3095" t="s">
        <v>6531</v>
      </c>
    </row>
    <row r="3096" spans="1:17" x14ac:dyDescent="0.3">
      <c r="A3096" t="s">
        <v>4729</v>
      </c>
      <c r="B3096" t="str">
        <f>"002370"</f>
        <v>002370</v>
      </c>
      <c r="C3096" t="s">
        <v>6532</v>
      </c>
      <c r="D3096" t="s">
        <v>143</v>
      </c>
      <c r="F3096">
        <v>69964130</v>
      </c>
      <c r="G3096">
        <v>117642064</v>
      </c>
      <c r="H3096">
        <v>73035206</v>
      </c>
      <c r="I3096">
        <v>338993118</v>
      </c>
      <c r="J3096">
        <v>237357288</v>
      </c>
      <c r="K3096">
        <v>234399494</v>
      </c>
      <c r="L3096">
        <v>159925307</v>
      </c>
      <c r="M3096">
        <v>84882756</v>
      </c>
      <c r="N3096">
        <v>74755692</v>
      </c>
      <c r="O3096">
        <v>96349847</v>
      </c>
      <c r="P3096">
        <v>201</v>
      </c>
      <c r="Q3096" t="s">
        <v>6533</v>
      </c>
    </row>
    <row r="3097" spans="1:17" x14ac:dyDescent="0.3">
      <c r="A3097" t="s">
        <v>4729</v>
      </c>
      <c r="B3097" t="str">
        <f>"002371"</f>
        <v>002371</v>
      </c>
      <c r="C3097" t="s">
        <v>6534</v>
      </c>
      <c r="D3097" t="s">
        <v>3187</v>
      </c>
      <c r="F3097">
        <v>1899157846</v>
      </c>
      <c r="G3097">
        <v>1431025871</v>
      </c>
      <c r="H3097">
        <v>936399635</v>
      </c>
      <c r="I3097">
        <v>843249861</v>
      </c>
      <c r="J3097">
        <v>734912167</v>
      </c>
      <c r="K3097">
        <v>693709647</v>
      </c>
      <c r="L3097">
        <v>490565771</v>
      </c>
      <c r="M3097">
        <v>472987673</v>
      </c>
      <c r="N3097">
        <v>479894005</v>
      </c>
      <c r="O3097">
        <v>529035874</v>
      </c>
      <c r="P3097">
        <v>1587</v>
      </c>
      <c r="Q3097" t="s">
        <v>6535</v>
      </c>
    </row>
    <row r="3098" spans="1:17" x14ac:dyDescent="0.3">
      <c r="A3098" t="s">
        <v>4729</v>
      </c>
      <c r="B3098" t="str">
        <f>"002372"</f>
        <v>002372</v>
      </c>
      <c r="C3098" t="s">
        <v>6536</v>
      </c>
      <c r="D3098" t="s">
        <v>3347</v>
      </c>
      <c r="F3098">
        <v>353405747</v>
      </c>
      <c r="G3098">
        <v>292342285</v>
      </c>
      <c r="H3098">
        <v>263549690</v>
      </c>
      <c r="I3098">
        <v>280166334</v>
      </c>
      <c r="J3098">
        <v>212608495</v>
      </c>
      <c r="K3098">
        <v>170183312</v>
      </c>
      <c r="L3098">
        <v>174799966</v>
      </c>
      <c r="M3098">
        <v>150098644</v>
      </c>
      <c r="N3098">
        <v>136258519</v>
      </c>
      <c r="O3098">
        <v>147605897</v>
      </c>
      <c r="P3098">
        <v>10689</v>
      </c>
      <c r="Q3098" t="s">
        <v>6537</v>
      </c>
    </row>
    <row r="3099" spans="1:17" x14ac:dyDescent="0.3">
      <c r="A3099" t="s">
        <v>4729</v>
      </c>
      <c r="B3099" t="str">
        <f>"002373"</f>
        <v>002373</v>
      </c>
      <c r="C3099" t="s">
        <v>6538</v>
      </c>
      <c r="D3099" t="s">
        <v>316</v>
      </c>
      <c r="F3099">
        <v>4134455862</v>
      </c>
      <c r="G3099">
        <v>3403309117</v>
      </c>
      <c r="H3099">
        <v>3356514708</v>
      </c>
      <c r="I3099">
        <v>2462280392</v>
      </c>
      <c r="J3099">
        <v>1127983511</v>
      </c>
      <c r="K3099">
        <v>863342731</v>
      </c>
      <c r="L3099">
        <v>698396869</v>
      </c>
      <c r="M3099">
        <v>480261274</v>
      </c>
      <c r="N3099">
        <v>90442671</v>
      </c>
      <c r="O3099">
        <v>151061495</v>
      </c>
      <c r="P3099">
        <v>713</v>
      </c>
      <c r="Q3099" t="s">
        <v>6539</v>
      </c>
    </row>
    <row r="3100" spans="1:17" x14ac:dyDescent="0.3">
      <c r="A3100" t="s">
        <v>4729</v>
      </c>
      <c r="B3100" t="str">
        <f>"002374"</f>
        <v>002374</v>
      </c>
      <c r="C3100" t="s">
        <v>6540</v>
      </c>
      <c r="D3100" t="s">
        <v>2373</v>
      </c>
      <c r="F3100">
        <v>1760304794</v>
      </c>
      <c r="G3100">
        <v>1533627999</v>
      </c>
      <c r="H3100">
        <v>1425269039</v>
      </c>
      <c r="I3100">
        <v>996498508</v>
      </c>
      <c r="J3100">
        <v>698600128</v>
      </c>
      <c r="K3100">
        <v>613309759</v>
      </c>
      <c r="L3100">
        <v>397856751</v>
      </c>
      <c r="M3100">
        <v>415520965</v>
      </c>
      <c r="N3100">
        <v>108617679</v>
      </c>
      <c r="O3100">
        <v>85319157</v>
      </c>
      <c r="P3100">
        <v>92</v>
      </c>
      <c r="Q3100" t="s">
        <v>6541</v>
      </c>
    </row>
    <row r="3101" spans="1:17" x14ac:dyDescent="0.3">
      <c r="A3101" t="s">
        <v>4729</v>
      </c>
      <c r="B3101" t="str">
        <f>"002375"</f>
        <v>002375</v>
      </c>
      <c r="C3101" t="s">
        <v>6542</v>
      </c>
      <c r="D3101" t="s">
        <v>450</v>
      </c>
      <c r="F3101">
        <v>4044343773</v>
      </c>
      <c r="G3101">
        <v>4273903658</v>
      </c>
      <c r="H3101">
        <v>11683635900</v>
      </c>
      <c r="I3101">
        <v>12116265619</v>
      </c>
      <c r="J3101">
        <v>12198577024</v>
      </c>
      <c r="K3101">
        <v>11481447204</v>
      </c>
      <c r="L3101">
        <v>11338189307</v>
      </c>
      <c r="M3101">
        <v>10859743338</v>
      </c>
      <c r="N3101">
        <v>7245087263</v>
      </c>
      <c r="O3101">
        <v>5335936402</v>
      </c>
      <c r="P3101">
        <v>176</v>
      </c>
      <c r="Q3101" t="s">
        <v>6543</v>
      </c>
    </row>
    <row r="3102" spans="1:17" x14ac:dyDescent="0.3">
      <c r="A3102" t="s">
        <v>4729</v>
      </c>
      <c r="B3102" t="str">
        <f>"002376"</f>
        <v>002376</v>
      </c>
      <c r="C3102" t="s">
        <v>6544</v>
      </c>
      <c r="D3102" t="s">
        <v>236</v>
      </c>
      <c r="F3102">
        <v>943007959</v>
      </c>
      <c r="G3102">
        <v>856279905</v>
      </c>
      <c r="H3102">
        <v>742921303</v>
      </c>
      <c r="I3102">
        <v>692885908</v>
      </c>
      <c r="J3102">
        <v>507245097</v>
      </c>
      <c r="K3102">
        <v>517652807</v>
      </c>
      <c r="L3102">
        <v>458040503</v>
      </c>
      <c r="M3102">
        <v>482735444</v>
      </c>
      <c r="N3102">
        <v>473252839</v>
      </c>
      <c r="O3102">
        <v>286576392</v>
      </c>
      <c r="P3102">
        <v>298</v>
      </c>
      <c r="Q3102" t="s">
        <v>6545</v>
      </c>
    </row>
    <row r="3103" spans="1:17" x14ac:dyDescent="0.3">
      <c r="A3103" t="s">
        <v>4729</v>
      </c>
      <c r="B3103" t="str">
        <f>"002377"</f>
        <v>002377</v>
      </c>
      <c r="C3103" t="s">
        <v>6546</v>
      </c>
      <c r="D3103" t="s">
        <v>5051</v>
      </c>
      <c r="F3103">
        <v>754570817</v>
      </c>
      <c r="G3103">
        <v>764176209</v>
      </c>
      <c r="H3103">
        <v>668663179</v>
      </c>
      <c r="I3103">
        <v>537832020</v>
      </c>
      <c r="J3103">
        <v>514852544</v>
      </c>
      <c r="K3103">
        <v>322180844</v>
      </c>
      <c r="L3103">
        <v>529704721</v>
      </c>
      <c r="M3103">
        <v>697566756</v>
      </c>
      <c r="N3103">
        <v>447429419</v>
      </c>
      <c r="O3103">
        <v>420917607</v>
      </c>
      <c r="P3103">
        <v>95</v>
      </c>
      <c r="Q3103" t="s">
        <v>6547</v>
      </c>
    </row>
    <row r="3104" spans="1:17" x14ac:dyDescent="0.3">
      <c r="A3104" t="s">
        <v>4729</v>
      </c>
      <c r="B3104" t="str">
        <f>"002378"</f>
        <v>002378</v>
      </c>
      <c r="C3104" t="s">
        <v>6548</v>
      </c>
      <c r="D3104" t="s">
        <v>1110</v>
      </c>
      <c r="F3104">
        <v>176132058</v>
      </c>
      <c r="G3104">
        <v>156014352</v>
      </c>
      <c r="H3104">
        <v>202039430</v>
      </c>
      <c r="I3104">
        <v>255907043</v>
      </c>
      <c r="J3104">
        <v>142615497</v>
      </c>
      <c r="K3104">
        <v>156985731</v>
      </c>
      <c r="L3104">
        <v>228675888</v>
      </c>
      <c r="M3104">
        <v>276204835</v>
      </c>
      <c r="N3104">
        <v>175366166</v>
      </c>
      <c r="O3104">
        <v>154518042</v>
      </c>
      <c r="P3104">
        <v>128</v>
      </c>
      <c r="Q3104" t="s">
        <v>6549</v>
      </c>
    </row>
    <row r="3105" spans="1:17" x14ac:dyDescent="0.3">
      <c r="A3105" t="s">
        <v>4729</v>
      </c>
      <c r="B3105" t="str">
        <f>"002379"</f>
        <v>002379</v>
      </c>
      <c r="C3105" t="s">
        <v>6550</v>
      </c>
      <c r="D3105" t="s">
        <v>504</v>
      </c>
      <c r="F3105">
        <v>117529533</v>
      </c>
      <c r="G3105">
        <v>188597447</v>
      </c>
      <c r="H3105">
        <v>199271105</v>
      </c>
      <c r="I3105">
        <v>218030525</v>
      </c>
      <c r="J3105">
        <v>281409863</v>
      </c>
      <c r="K3105">
        <v>197643471</v>
      </c>
      <c r="L3105">
        <v>259876445</v>
      </c>
      <c r="M3105">
        <v>205602466</v>
      </c>
      <c r="N3105">
        <v>225672739</v>
      </c>
      <c r="O3105">
        <v>169241961</v>
      </c>
      <c r="P3105">
        <v>88</v>
      </c>
      <c r="Q3105" t="s">
        <v>6551</v>
      </c>
    </row>
    <row r="3106" spans="1:17" x14ac:dyDescent="0.3">
      <c r="A3106" t="s">
        <v>4729</v>
      </c>
      <c r="B3106" t="str">
        <f>"002380"</f>
        <v>002380</v>
      </c>
      <c r="C3106" t="s">
        <v>6552</v>
      </c>
      <c r="D3106" t="s">
        <v>316</v>
      </c>
      <c r="F3106">
        <v>582282234</v>
      </c>
      <c r="G3106">
        <v>530436862</v>
      </c>
      <c r="H3106">
        <v>510516645</v>
      </c>
      <c r="I3106">
        <v>482835326</v>
      </c>
      <c r="J3106">
        <v>457982950</v>
      </c>
      <c r="K3106">
        <v>415625575</v>
      </c>
      <c r="L3106">
        <v>303776365</v>
      </c>
      <c r="M3106">
        <v>248313159</v>
      </c>
      <c r="N3106">
        <v>206402647</v>
      </c>
      <c r="O3106">
        <v>203931681</v>
      </c>
      <c r="P3106">
        <v>131</v>
      </c>
      <c r="Q3106" t="s">
        <v>6553</v>
      </c>
    </row>
    <row r="3107" spans="1:17" x14ac:dyDescent="0.3">
      <c r="A3107" t="s">
        <v>4729</v>
      </c>
      <c r="B3107" t="str">
        <f>"002381"</f>
        <v>002381</v>
      </c>
      <c r="C3107" t="s">
        <v>6554</v>
      </c>
      <c r="D3107" t="s">
        <v>2469</v>
      </c>
      <c r="F3107">
        <v>476209616</v>
      </c>
      <c r="G3107">
        <v>441393107</v>
      </c>
      <c r="H3107">
        <v>368816624</v>
      </c>
      <c r="I3107">
        <v>418732587</v>
      </c>
      <c r="J3107">
        <v>378338323</v>
      </c>
      <c r="K3107">
        <v>605441551</v>
      </c>
      <c r="L3107">
        <v>346959318</v>
      </c>
      <c r="M3107">
        <v>329621306</v>
      </c>
      <c r="N3107">
        <v>305643155</v>
      </c>
      <c r="O3107">
        <v>305295589</v>
      </c>
      <c r="P3107">
        <v>276</v>
      </c>
      <c r="Q3107" t="s">
        <v>6555</v>
      </c>
    </row>
    <row r="3108" spans="1:17" x14ac:dyDescent="0.3">
      <c r="A3108" t="s">
        <v>4729</v>
      </c>
      <c r="B3108" t="str">
        <f>"002382"</f>
        <v>002382</v>
      </c>
      <c r="C3108" t="s">
        <v>6556</v>
      </c>
      <c r="D3108" t="s">
        <v>1077</v>
      </c>
      <c r="F3108">
        <v>776582295</v>
      </c>
      <c r="G3108">
        <v>1064269845</v>
      </c>
      <c r="H3108">
        <v>685329973</v>
      </c>
      <c r="I3108">
        <v>659838489</v>
      </c>
      <c r="J3108">
        <v>196785172</v>
      </c>
      <c r="K3108">
        <v>188533402</v>
      </c>
      <c r="L3108">
        <v>229296362</v>
      </c>
      <c r="M3108">
        <v>224212768</v>
      </c>
      <c r="N3108">
        <v>208427231</v>
      </c>
      <c r="O3108">
        <v>220877376</v>
      </c>
      <c r="P3108">
        <v>849</v>
      </c>
      <c r="Q3108" t="s">
        <v>6557</v>
      </c>
    </row>
    <row r="3109" spans="1:17" x14ac:dyDescent="0.3">
      <c r="A3109" t="s">
        <v>4729</v>
      </c>
      <c r="B3109" t="str">
        <f>"002383"</f>
        <v>002383</v>
      </c>
      <c r="C3109" t="s">
        <v>6558</v>
      </c>
      <c r="D3109" t="s">
        <v>1136</v>
      </c>
      <c r="F3109">
        <v>520836900</v>
      </c>
      <c r="G3109">
        <v>1290063326</v>
      </c>
      <c r="H3109">
        <v>1217146345</v>
      </c>
      <c r="I3109">
        <v>1143991550</v>
      </c>
      <c r="J3109">
        <v>1320659301</v>
      </c>
      <c r="K3109">
        <v>571616772</v>
      </c>
      <c r="L3109">
        <v>290803308</v>
      </c>
      <c r="M3109">
        <v>164322320</v>
      </c>
      <c r="N3109">
        <v>234167104</v>
      </c>
      <c r="O3109">
        <v>168013964</v>
      </c>
      <c r="P3109">
        <v>211</v>
      </c>
      <c r="Q3109" t="s">
        <v>6559</v>
      </c>
    </row>
    <row r="3110" spans="1:17" x14ac:dyDescent="0.3">
      <c r="A3110" t="s">
        <v>4729</v>
      </c>
      <c r="B3110" t="str">
        <f>"002384"</f>
        <v>002384</v>
      </c>
      <c r="C3110" t="s">
        <v>6560</v>
      </c>
      <c r="D3110" t="s">
        <v>425</v>
      </c>
      <c r="F3110">
        <v>7666079766</v>
      </c>
      <c r="G3110">
        <v>7090498633</v>
      </c>
      <c r="H3110">
        <v>5525361753</v>
      </c>
      <c r="I3110">
        <v>6228022936</v>
      </c>
      <c r="J3110">
        <v>6063070646</v>
      </c>
      <c r="K3110">
        <v>3340275781</v>
      </c>
      <c r="L3110">
        <v>1690573827</v>
      </c>
      <c r="M3110">
        <v>1192502639</v>
      </c>
      <c r="N3110">
        <v>695287218</v>
      </c>
      <c r="O3110">
        <v>609900324</v>
      </c>
      <c r="P3110">
        <v>1070</v>
      </c>
      <c r="Q3110" t="s">
        <v>6561</v>
      </c>
    </row>
    <row r="3111" spans="1:17" x14ac:dyDescent="0.3">
      <c r="A3111" t="s">
        <v>4729</v>
      </c>
      <c r="B3111" t="str">
        <f>"002385"</f>
        <v>002385</v>
      </c>
      <c r="C3111" t="s">
        <v>6562</v>
      </c>
      <c r="D3111" t="s">
        <v>2886</v>
      </c>
      <c r="F3111">
        <v>771082458</v>
      </c>
      <c r="G3111">
        <v>878105824</v>
      </c>
      <c r="H3111">
        <v>1078317776</v>
      </c>
      <c r="I3111">
        <v>1707819967</v>
      </c>
      <c r="J3111">
        <v>1332962400</v>
      </c>
      <c r="K3111">
        <v>1091100456</v>
      </c>
      <c r="L3111">
        <v>845536158</v>
      </c>
      <c r="M3111">
        <v>614504814</v>
      </c>
      <c r="N3111">
        <v>351999880</v>
      </c>
      <c r="O3111">
        <v>144847045</v>
      </c>
      <c r="P3111">
        <v>890</v>
      </c>
      <c r="Q3111" t="s">
        <v>6563</v>
      </c>
    </row>
    <row r="3112" spans="1:17" x14ac:dyDescent="0.3">
      <c r="A3112" t="s">
        <v>4729</v>
      </c>
      <c r="B3112" t="str">
        <f>"002386"</f>
        <v>002386</v>
      </c>
      <c r="C3112" t="s">
        <v>6564</v>
      </c>
      <c r="D3112" t="s">
        <v>175</v>
      </c>
      <c r="F3112">
        <v>271504173</v>
      </c>
      <c r="G3112">
        <v>159471516</v>
      </c>
      <c r="H3112">
        <v>183727416</v>
      </c>
      <c r="I3112">
        <v>165960460</v>
      </c>
      <c r="J3112">
        <v>139628863</v>
      </c>
      <c r="K3112">
        <v>173538642</v>
      </c>
      <c r="L3112">
        <v>234227367</v>
      </c>
      <c r="M3112">
        <v>168962357</v>
      </c>
      <c r="N3112">
        <v>127968294</v>
      </c>
      <c r="O3112">
        <v>52016025</v>
      </c>
      <c r="P3112">
        <v>143</v>
      </c>
      <c r="Q3112" t="s">
        <v>6565</v>
      </c>
    </row>
    <row r="3113" spans="1:17" x14ac:dyDescent="0.3">
      <c r="A3113" t="s">
        <v>4729</v>
      </c>
      <c r="B3113" t="str">
        <f>"002387"</f>
        <v>002387</v>
      </c>
      <c r="C3113" t="s">
        <v>6566</v>
      </c>
      <c r="D3113" t="s">
        <v>1117</v>
      </c>
      <c r="F3113">
        <v>1162446012</v>
      </c>
      <c r="G3113">
        <v>497080330</v>
      </c>
      <c r="H3113">
        <v>758292894</v>
      </c>
      <c r="I3113">
        <v>131648249</v>
      </c>
      <c r="J3113">
        <v>0</v>
      </c>
      <c r="K3113">
        <v>0</v>
      </c>
      <c r="L3113">
        <v>9910577</v>
      </c>
      <c r="M3113">
        <v>46881839</v>
      </c>
      <c r="N3113">
        <v>14655311</v>
      </c>
      <c r="O3113">
        <v>9154475</v>
      </c>
      <c r="P3113">
        <v>274</v>
      </c>
      <c r="Q3113" t="s">
        <v>6567</v>
      </c>
    </row>
    <row r="3114" spans="1:17" x14ac:dyDescent="0.3">
      <c r="A3114" t="s">
        <v>4729</v>
      </c>
      <c r="B3114" t="str">
        <f>"002388"</f>
        <v>002388</v>
      </c>
      <c r="C3114" t="s">
        <v>6568</v>
      </c>
      <c r="D3114" t="s">
        <v>651</v>
      </c>
      <c r="F3114">
        <v>719733783</v>
      </c>
      <c r="G3114">
        <v>605467965</v>
      </c>
      <c r="H3114">
        <v>725740945</v>
      </c>
      <c r="I3114">
        <v>387779648</v>
      </c>
      <c r="J3114">
        <v>165738659</v>
      </c>
      <c r="K3114">
        <v>221875969</v>
      </c>
      <c r="L3114">
        <v>163799433</v>
      </c>
      <c r="M3114">
        <v>130026025</v>
      </c>
      <c r="N3114">
        <v>107694001</v>
      </c>
      <c r="O3114">
        <v>111583241</v>
      </c>
      <c r="P3114">
        <v>148</v>
      </c>
      <c r="Q3114" t="s">
        <v>6569</v>
      </c>
    </row>
    <row r="3115" spans="1:17" x14ac:dyDescent="0.3">
      <c r="A3115" t="s">
        <v>4729</v>
      </c>
      <c r="B3115" t="str">
        <f>"002389"</f>
        <v>002389</v>
      </c>
      <c r="C3115" t="s">
        <v>6570</v>
      </c>
      <c r="D3115" t="s">
        <v>98</v>
      </c>
      <c r="F3115">
        <v>1901783030</v>
      </c>
      <c r="G3115">
        <v>1730125670</v>
      </c>
      <c r="H3115">
        <v>1639489779</v>
      </c>
      <c r="I3115">
        <v>1466579952</v>
      </c>
      <c r="J3115">
        <v>1018608680</v>
      </c>
      <c r="K3115">
        <v>392214503</v>
      </c>
      <c r="L3115">
        <v>295791644</v>
      </c>
      <c r="M3115">
        <v>222034593</v>
      </c>
      <c r="N3115">
        <v>120802821</v>
      </c>
      <c r="O3115">
        <v>54067504</v>
      </c>
      <c r="P3115">
        <v>435</v>
      </c>
      <c r="Q3115" t="s">
        <v>6571</v>
      </c>
    </row>
    <row r="3116" spans="1:17" x14ac:dyDescent="0.3">
      <c r="A3116" t="s">
        <v>4729</v>
      </c>
      <c r="B3116" t="str">
        <f>"002390"</f>
        <v>002390</v>
      </c>
      <c r="C3116" t="s">
        <v>6572</v>
      </c>
      <c r="D3116" t="s">
        <v>188</v>
      </c>
      <c r="F3116">
        <v>2891684509</v>
      </c>
      <c r="G3116">
        <v>2414740945</v>
      </c>
      <c r="H3116">
        <v>2802582160</v>
      </c>
      <c r="I3116">
        <v>2704831780</v>
      </c>
      <c r="J3116">
        <v>2406603820</v>
      </c>
      <c r="K3116">
        <v>2203159953</v>
      </c>
      <c r="L3116">
        <v>1470580428</v>
      </c>
      <c r="M3116">
        <v>1058090202</v>
      </c>
      <c r="N3116">
        <v>187247661</v>
      </c>
      <c r="O3116">
        <v>150870773</v>
      </c>
      <c r="P3116">
        <v>272</v>
      </c>
      <c r="Q3116" t="s">
        <v>6573</v>
      </c>
    </row>
    <row r="3117" spans="1:17" x14ac:dyDescent="0.3">
      <c r="A3117" t="s">
        <v>4729</v>
      </c>
      <c r="B3117" t="str">
        <f>"002391"</f>
        <v>002391</v>
      </c>
      <c r="C3117" t="s">
        <v>6574</v>
      </c>
      <c r="D3117" t="s">
        <v>853</v>
      </c>
      <c r="F3117">
        <v>503898131</v>
      </c>
      <c r="G3117">
        <v>469036288</v>
      </c>
      <c r="H3117">
        <v>479630190</v>
      </c>
      <c r="I3117">
        <v>263693083</v>
      </c>
      <c r="J3117">
        <v>265959846</v>
      </c>
      <c r="K3117">
        <v>385271638</v>
      </c>
      <c r="L3117">
        <v>399932723</v>
      </c>
      <c r="M3117">
        <v>255649401</v>
      </c>
      <c r="N3117">
        <v>165767118</v>
      </c>
      <c r="O3117">
        <v>141647620</v>
      </c>
      <c r="P3117">
        <v>192</v>
      </c>
      <c r="Q3117" t="s">
        <v>6575</v>
      </c>
    </row>
    <row r="3118" spans="1:17" x14ac:dyDescent="0.3">
      <c r="A3118" t="s">
        <v>4729</v>
      </c>
      <c r="B3118" t="str">
        <f>"002392"</f>
        <v>002392</v>
      </c>
      <c r="C3118" t="s">
        <v>6576</v>
      </c>
      <c r="D3118" t="s">
        <v>5922</v>
      </c>
      <c r="F3118">
        <v>1553371458</v>
      </c>
      <c r="G3118">
        <v>1181724620</v>
      </c>
      <c r="H3118">
        <v>1019710751</v>
      </c>
      <c r="I3118">
        <v>1063046405</v>
      </c>
      <c r="J3118">
        <v>1115477988</v>
      </c>
      <c r="K3118">
        <v>1314347204</v>
      </c>
      <c r="L3118">
        <v>1258336124</v>
      </c>
      <c r="M3118">
        <v>1069341094</v>
      </c>
      <c r="N3118">
        <v>795396527</v>
      </c>
      <c r="O3118">
        <v>544722422</v>
      </c>
      <c r="P3118">
        <v>142</v>
      </c>
      <c r="Q3118" t="s">
        <v>6577</v>
      </c>
    </row>
    <row r="3119" spans="1:17" x14ac:dyDescent="0.3">
      <c r="A3119" t="s">
        <v>4729</v>
      </c>
      <c r="B3119" t="str">
        <f>"002393"</f>
        <v>002393</v>
      </c>
      <c r="C3119" t="s">
        <v>6578</v>
      </c>
      <c r="D3119" t="s">
        <v>143</v>
      </c>
      <c r="F3119">
        <v>143312217</v>
      </c>
      <c r="G3119">
        <v>137152535</v>
      </c>
      <c r="H3119">
        <v>180513616</v>
      </c>
      <c r="I3119">
        <v>178628864</v>
      </c>
      <c r="J3119">
        <v>96784139</v>
      </c>
      <c r="K3119">
        <v>65285639</v>
      </c>
      <c r="L3119">
        <v>89133190</v>
      </c>
      <c r="M3119">
        <v>77090798</v>
      </c>
      <c r="N3119">
        <v>64903857</v>
      </c>
      <c r="O3119">
        <v>92638647</v>
      </c>
      <c r="P3119">
        <v>153</v>
      </c>
      <c r="Q3119" t="s">
        <v>6579</v>
      </c>
    </row>
    <row r="3120" spans="1:17" x14ac:dyDescent="0.3">
      <c r="A3120" t="s">
        <v>4729</v>
      </c>
      <c r="B3120" t="str">
        <f>"002394"</f>
        <v>002394</v>
      </c>
      <c r="C3120" t="s">
        <v>6580</v>
      </c>
      <c r="D3120" t="s">
        <v>1009</v>
      </c>
      <c r="F3120">
        <v>441991472</v>
      </c>
      <c r="G3120">
        <v>307303447</v>
      </c>
      <c r="H3120">
        <v>392561610</v>
      </c>
      <c r="I3120">
        <v>397772120</v>
      </c>
      <c r="J3120">
        <v>451780791</v>
      </c>
      <c r="K3120">
        <v>397291085</v>
      </c>
      <c r="L3120">
        <v>343283830</v>
      </c>
      <c r="M3120">
        <v>372490444</v>
      </c>
      <c r="N3120">
        <v>333508721</v>
      </c>
      <c r="O3120">
        <v>273198339</v>
      </c>
      <c r="P3120">
        <v>673</v>
      </c>
      <c r="Q3120" t="s">
        <v>6581</v>
      </c>
    </row>
    <row r="3121" spans="1:17" x14ac:dyDescent="0.3">
      <c r="A3121" t="s">
        <v>4729</v>
      </c>
      <c r="B3121" t="str">
        <f>"002395"</f>
        <v>002395</v>
      </c>
      <c r="C3121" t="s">
        <v>6582</v>
      </c>
      <c r="D3121" t="s">
        <v>3377</v>
      </c>
      <c r="F3121">
        <v>36687688</v>
      </c>
      <c r="G3121">
        <v>49604109</v>
      </c>
      <c r="H3121">
        <v>78904521</v>
      </c>
      <c r="I3121">
        <v>93331415</v>
      </c>
      <c r="J3121">
        <v>83592038</v>
      </c>
      <c r="K3121">
        <v>95217232</v>
      </c>
      <c r="L3121">
        <v>96147548</v>
      </c>
      <c r="M3121">
        <v>103169152</v>
      </c>
      <c r="N3121">
        <v>114661442</v>
      </c>
      <c r="O3121">
        <v>108887913</v>
      </c>
      <c r="P3121">
        <v>59</v>
      </c>
      <c r="Q3121" t="s">
        <v>6583</v>
      </c>
    </row>
    <row r="3122" spans="1:17" x14ac:dyDescent="0.3">
      <c r="A3122" t="s">
        <v>4729</v>
      </c>
      <c r="B3122" t="str">
        <f>"002396"</f>
        <v>002396</v>
      </c>
      <c r="C3122" t="s">
        <v>6584</v>
      </c>
      <c r="D3122" t="s">
        <v>1019</v>
      </c>
      <c r="F3122">
        <v>1758020669</v>
      </c>
      <c r="G3122">
        <v>1685647392</v>
      </c>
      <c r="H3122">
        <v>1831113503</v>
      </c>
      <c r="I3122">
        <v>1732376317</v>
      </c>
      <c r="J3122">
        <v>1521677467</v>
      </c>
      <c r="K3122">
        <v>1001867787</v>
      </c>
      <c r="L3122">
        <v>960037517</v>
      </c>
      <c r="M3122">
        <v>962803493</v>
      </c>
      <c r="N3122">
        <v>630637706</v>
      </c>
      <c r="O3122">
        <v>606575385</v>
      </c>
      <c r="P3122">
        <v>3694</v>
      </c>
      <c r="Q3122" t="s">
        <v>6585</v>
      </c>
    </row>
    <row r="3123" spans="1:17" x14ac:dyDescent="0.3">
      <c r="A3123" t="s">
        <v>4729</v>
      </c>
      <c r="B3123" t="str">
        <f>"002397"</f>
        <v>002397</v>
      </c>
      <c r="C3123" t="s">
        <v>6586</v>
      </c>
      <c r="D3123" t="s">
        <v>2889</v>
      </c>
      <c r="F3123">
        <v>335985167</v>
      </c>
      <c r="G3123">
        <v>353663645</v>
      </c>
      <c r="H3123">
        <v>457980117</v>
      </c>
      <c r="I3123">
        <v>418366590</v>
      </c>
      <c r="J3123">
        <v>423716665</v>
      </c>
      <c r="K3123">
        <v>406051169</v>
      </c>
      <c r="L3123">
        <v>395059731</v>
      </c>
      <c r="M3123">
        <v>243795290</v>
      </c>
      <c r="N3123">
        <v>149200510</v>
      </c>
      <c r="O3123">
        <v>98620575</v>
      </c>
      <c r="P3123">
        <v>109</v>
      </c>
      <c r="Q3123" t="s">
        <v>6587</v>
      </c>
    </row>
    <row r="3124" spans="1:17" x14ac:dyDescent="0.3">
      <c r="A3124" t="s">
        <v>4729</v>
      </c>
      <c r="B3124" t="str">
        <f>"002398"</f>
        <v>002398</v>
      </c>
      <c r="C3124" t="s">
        <v>6588</v>
      </c>
      <c r="D3124" t="s">
        <v>722</v>
      </c>
      <c r="F3124">
        <v>3141605287</v>
      </c>
      <c r="G3124">
        <v>2393936927</v>
      </c>
      <c r="H3124">
        <v>1934715567</v>
      </c>
      <c r="I3124">
        <v>1518390778</v>
      </c>
      <c r="J3124">
        <v>1148427171</v>
      </c>
      <c r="K3124">
        <v>890699975</v>
      </c>
      <c r="L3124">
        <v>953167504</v>
      </c>
      <c r="M3124">
        <v>1039685079</v>
      </c>
      <c r="N3124">
        <v>966936487</v>
      </c>
      <c r="O3124">
        <v>687031273</v>
      </c>
      <c r="P3124">
        <v>217</v>
      </c>
      <c r="Q3124" t="s">
        <v>6589</v>
      </c>
    </row>
    <row r="3125" spans="1:17" x14ac:dyDescent="0.3">
      <c r="A3125" t="s">
        <v>4729</v>
      </c>
      <c r="B3125" t="str">
        <f>"002399"</f>
        <v>002399</v>
      </c>
      <c r="C3125" t="s">
        <v>6590</v>
      </c>
      <c r="D3125" t="s">
        <v>496</v>
      </c>
      <c r="F3125">
        <v>1518444482</v>
      </c>
      <c r="G3125">
        <v>1638622971</v>
      </c>
      <c r="H3125">
        <v>1293516539</v>
      </c>
      <c r="I3125">
        <v>1083741935</v>
      </c>
      <c r="J3125">
        <v>760239701</v>
      </c>
      <c r="K3125">
        <v>481427662</v>
      </c>
      <c r="L3125">
        <v>461040389</v>
      </c>
      <c r="M3125">
        <v>383460679</v>
      </c>
      <c r="N3125">
        <v>196025543</v>
      </c>
      <c r="O3125">
        <v>353798645</v>
      </c>
      <c r="P3125">
        <v>285</v>
      </c>
      <c r="Q3125" t="s">
        <v>6591</v>
      </c>
    </row>
    <row r="3126" spans="1:17" x14ac:dyDescent="0.3">
      <c r="A3126" t="s">
        <v>4729</v>
      </c>
      <c r="B3126" t="str">
        <f>"002400"</f>
        <v>002400</v>
      </c>
      <c r="C3126" t="s">
        <v>6592</v>
      </c>
      <c r="D3126" t="s">
        <v>207</v>
      </c>
      <c r="F3126">
        <v>2942118635</v>
      </c>
      <c r="G3126">
        <v>3150776059</v>
      </c>
      <c r="H3126">
        <v>2518633214</v>
      </c>
      <c r="I3126">
        <v>2494048437</v>
      </c>
      <c r="J3126">
        <v>2327074120</v>
      </c>
      <c r="K3126">
        <v>2708381251</v>
      </c>
      <c r="L3126">
        <v>2253969232</v>
      </c>
      <c r="M3126">
        <v>1601808176</v>
      </c>
      <c r="N3126">
        <v>795234379</v>
      </c>
      <c r="O3126">
        <v>531542868</v>
      </c>
      <c r="P3126">
        <v>328</v>
      </c>
      <c r="Q3126" t="s">
        <v>6593</v>
      </c>
    </row>
    <row r="3127" spans="1:17" x14ac:dyDescent="0.3">
      <c r="A3127" t="s">
        <v>4729</v>
      </c>
      <c r="B3127" t="str">
        <f>"002401"</f>
        <v>002401</v>
      </c>
      <c r="C3127" t="s">
        <v>6594</v>
      </c>
      <c r="D3127" t="s">
        <v>316</v>
      </c>
      <c r="F3127">
        <v>69274951</v>
      </c>
      <c r="G3127">
        <v>80546336</v>
      </c>
      <c r="H3127">
        <v>122874355</v>
      </c>
      <c r="I3127">
        <v>127734104</v>
      </c>
      <c r="J3127">
        <v>141015682</v>
      </c>
      <c r="K3127">
        <v>136795493</v>
      </c>
      <c r="L3127">
        <v>125716717</v>
      </c>
      <c r="M3127">
        <v>100322322</v>
      </c>
      <c r="N3127">
        <v>115683409</v>
      </c>
      <c r="O3127">
        <v>139164638</v>
      </c>
      <c r="P3127">
        <v>152</v>
      </c>
      <c r="Q3127" t="s">
        <v>6595</v>
      </c>
    </row>
    <row r="3128" spans="1:17" x14ac:dyDescent="0.3">
      <c r="A3128" t="s">
        <v>4729</v>
      </c>
      <c r="B3128" t="str">
        <f>"002402"</f>
        <v>002402</v>
      </c>
      <c r="C3128" t="s">
        <v>6596</v>
      </c>
      <c r="D3128" t="s">
        <v>313</v>
      </c>
      <c r="F3128">
        <v>1313030034</v>
      </c>
      <c r="G3128">
        <v>1012695159</v>
      </c>
      <c r="H3128">
        <v>772371934</v>
      </c>
      <c r="I3128">
        <v>799494120</v>
      </c>
      <c r="J3128">
        <v>534316637</v>
      </c>
      <c r="K3128">
        <v>360128864</v>
      </c>
      <c r="L3128">
        <v>329016875</v>
      </c>
      <c r="M3128">
        <v>280909659</v>
      </c>
      <c r="N3128">
        <v>259845835</v>
      </c>
      <c r="O3128">
        <v>171852251</v>
      </c>
      <c r="P3128">
        <v>1281</v>
      </c>
      <c r="Q3128" t="s">
        <v>6597</v>
      </c>
    </row>
    <row r="3129" spans="1:17" x14ac:dyDescent="0.3">
      <c r="A3129" t="s">
        <v>4729</v>
      </c>
      <c r="B3129" t="str">
        <f>"002403"</f>
        <v>002403</v>
      </c>
      <c r="C3129" t="s">
        <v>6598</v>
      </c>
      <c r="D3129" t="s">
        <v>5799</v>
      </c>
      <c r="F3129">
        <v>872240188</v>
      </c>
      <c r="G3129">
        <v>735321045</v>
      </c>
      <c r="H3129">
        <v>891382134</v>
      </c>
      <c r="I3129">
        <v>809651140</v>
      </c>
      <c r="J3129">
        <v>609098945</v>
      </c>
      <c r="K3129">
        <v>480409657</v>
      </c>
      <c r="L3129">
        <v>436050213</v>
      </c>
      <c r="M3129">
        <v>387766725</v>
      </c>
      <c r="N3129">
        <v>407867587</v>
      </c>
      <c r="O3129">
        <v>392610588</v>
      </c>
      <c r="P3129">
        <v>151</v>
      </c>
      <c r="Q3129" t="s">
        <v>6599</v>
      </c>
    </row>
    <row r="3130" spans="1:17" x14ac:dyDescent="0.3">
      <c r="A3130" t="s">
        <v>4729</v>
      </c>
      <c r="B3130" t="str">
        <f>"002404"</f>
        <v>002404</v>
      </c>
      <c r="C3130" t="s">
        <v>6600</v>
      </c>
      <c r="D3130" t="s">
        <v>366</v>
      </c>
      <c r="F3130">
        <v>485061639</v>
      </c>
      <c r="G3130">
        <v>320749843</v>
      </c>
      <c r="H3130">
        <v>397675782</v>
      </c>
      <c r="I3130">
        <v>387644599</v>
      </c>
      <c r="J3130">
        <v>343079570</v>
      </c>
      <c r="K3130">
        <v>341368405</v>
      </c>
      <c r="L3130">
        <v>282196894</v>
      </c>
      <c r="M3130">
        <v>322267126</v>
      </c>
      <c r="N3130">
        <v>228740560</v>
      </c>
      <c r="O3130">
        <v>203618452</v>
      </c>
      <c r="P3130">
        <v>108</v>
      </c>
      <c r="Q3130" t="s">
        <v>6601</v>
      </c>
    </row>
    <row r="3131" spans="1:17" x14ac:dyDescent="0.3">
      <c r="A3131" t="s">
        <v>4729</v>
      </c>
      <c r="B3131" t="str">
        <f>"002405"</f>
        <v>002405</v>
      </c>
      <c r="C3131" t="s">
        <v>6602</v>
      </c>
      <c r="D3131" t="s">
        <v>945</v>
      </c>
      <c r="F3131">
        <v>938038814</v>
      </c>
      <c r="G3131">
        <v>664911387</v>
      </c>
      <c r="H3131">
        <v>719243135</v>
      </c>
      <c r="I3131">
        <v>437586999</v>
      </c>
      <c r="J3131">
        <v>626954316</v>
      </c>
      <c r="K3131">
        <v>411107244</v>
      </c>
      <c r="L3131">
        <v>390432619</v>
      </c>
      <c r="M3131">
        <v>200556181</v>
      </c>
      <c r="N3131">
        <v>231113501</v>
      </c>
      <c r="O3131">
        <v>214152755</v>
      </c>
      <c r="P3131">
        <v>3861</v>
      </c>
      <c r="Q3131" t="s">
        <v>6603</v>
      </c>
    </row>
    <row r="3132" spans="1:17" x14ac:dyDescent="0.3">
      <c r="A3132" t="s">
        <v>4729</v>
      </c>
      <c r="B3132" t="str">
        <f>"002406"</f>
        <v>002406</v>
      </c>
      <c r="C3132" t="s">
        <v>6604</v>
      </c>
      <c r="D3132" t="s">
        <v>348</v>
      </c>
      <c r="F3132">
        <v>421630238</v>
      </c>
      <c r="G3132">
        <v>511833957</v>
      </c>
      <c r="H3132">
        <v>515675520</v>
      </c>
      <c r="I3132">
        <v>414465113</v>
      </c>
      <c r="J3132">
        <v>367649316</v>
      </c>
      <c r="K3132">
        <v>323614541</v>
      </c>
      <c r="L3132">
        <v>355229556</v>
      </c>
      <c r="M3132">
        <v>369522581</v>
      </c>
      <c r="N3132">
        <v>316714166</v>
      </c>
      <c r="O3132">
        <v>294697408</v>
      </c>
      <c r="P3132">
        <v>272</v>
      </c>
      <c r="Q3132" t="s">
        <v>6605</v>
      </c>
    </row>
    <row r="3133" spans="1:17" x14ac:dyDescent="0.3">
      <c r="A3133" t="s">
        <v>4729</v>
      </c>
      <c r="B3133" t="str">
        <f>"002407"</f>
        <v>002407</v>
      </c>
      <c r="C3133" t="s">
        <v>6606</v>
      </c>
      <c r="D3133" t="s">
        <v>375</v>
      </c>
      <c r="F3133">
        <v>1033696540</v>
      </c>
      <c r="G3133">
        <v>761048189</v>
      </c>
      <c r="H3133">
        <v>885290524</v>
      </c>
      <c r="I3133">
        <v>1208705485</v>
      </c>
      <c r="J3133">
        <v>1048448015</v>
      </c>
      <c r="K3133">
        <v>623495666</v>
      </c>
      <c r="L3133">
        <v>409957507</v>
      </c>
      <c r="M3133">
        <v>383321187</v>
      </c>
      <c r="N3133">
        <v>280315041</v>
      </c>
      <c r="O3133">
        <v>264530003</v>
      </c>
      <c r="P3133">
        <v>566</v>
      </c>
      <c r="Q3133" t="s">
        <v>6607</v>
      </c>
    </row>
    <row r="3134" spans="1:17" x14ac:dyDescent="0.3">
      <c r="A3134" t="s">
        <v>4729</v>
      </c>
      <c r="B3134" t="str">
        <f>"002408"</f>
        <v>002408</v>
      </c>
      <c r="C3134" t="s">
        <v>6608</v>
      </c>
      <c r="D3134" t="s">
        <v>1617</v>
      </c>
      <c r="F3134">
        <v>2630470402</v>
      </c>
      <c r="G3134">
        <v>2084202328</v>
      </c>
      <c r="H3134">
        <v>1533223842</v>
      </c>
      <c r="I3134">
        <v>1800727700</v>
      </c>
      <c r="J3134">
        <v>414786776</v>
      </c>
      <c r="K3134">
        <v>382511653</v>
      </c>
      <c r="L3134">
        <v>281312823</v>
      </c>
      <c r="M3134">
        <v>196611719</v>
      </c>
      <c r="N3134">
        <v>204511556</v>
      </c>
      <c r="O3134">
        <v>230351045</v>
      </c>
      <c r="P3134">
        <v>317</v>
      </c>
      <c r="Q3134" t="s">
        <v>6609</v>
      </c>
    </row>
    <row r="3135" spans="1:17" x14ac:dyDescent="0.3">
      <c r="A3135" t="s">
        <v>4729</v>
      </c>
      <c r="B3135" t="str">
        <f>"002409"</f>
        <v>002409</v>
      </c>
      <c r="C3135" t="s">
        <v>6610</v>
      </c>
      <c r="D3135" t="s">
        <v>475</v>
      </c>
      <c r="F3135">
        <v>692944003</v>
      </c>
      <c r="G3135">
        <v>622981161</v>
      </c>
      <c r="H3135">
        <v>343275242</v>
      </c>
      <c r="I3135">
        <v>374345519</v>
      </c>
      <c r="J3135">
        <v>188545489</v>
      </c>
      <c r="K3135">
        <v>182174980</v>
      </c>
      <c r="L3135">
        <v>150266409</v>
      </c>
      <c r="M3135">
        <v>195514734</v>
      </c>
      <c r="N3135">
        <v>219530854</v>
      </c>
      <c r="O3135">
        <v>147735066</v>
      </c>
      <c r="P3135">
        <v>496</v>
      </c>
      <c r="Q3135" t="s">
        <v>6611</v>
      </c>
    </row>
    <row r="3136" spans="1:17" x14ac:dyDescent="0.3">
      <c r="A3136" t="s">
        <v>4729</v>
      </c>
      <c r="B3136" t="str">
        <f>"002410"</f>
        <v>002410</v>
      </c>
      <c r="C3136" t="s">
        <v>6612</v>
      </c>
      <c r="D3136" t="s">
        <v>945</v>
      </c>
      <c r="F3136">
        <v>494634645</v>
      </c>
      <c r="G3136">
        <v>422116281</v>
      </c>
      <c r="H3136">
        <v>559408187</v>
      </c>
      <c r="I3136">
        <v>291492303</v>
      </c>
      <c r="J3136">
        <v>127396744</v>
      </c>
      <c r="K3136">
        <v>65692646</v>
      </c>
      <c r="L3136">
        <v>64424358</v>
      </c>
      <c r="M3136">
        <v>49527855</v>
      </c>
      <c r="N3136">
        <v>19330416</v>
      </c>
      <c r="O3136">
        <v>25885792</v>
      </c>
      <c r="P3136">
        <v>2190</v>
      </c>
      <c r="Q3136" t="s">
        <v>6613</v>
      </c>
    </row>
    <row r="3137" spans="1:17" x14ac:dyDescent="0.3">
      <c r="A3137" t="s">
        <v>4729</v>
      </c>
      <c r="B3137" t="str">
        <f>"002411"</f>
        <v>002411</v>
      </c>
      <c r="C3137" t="s">
        <v>6614</v>
      </c>
      <c r="D3137" t="s">
        <v>125</v>
      </c>
      <c r="G3137">
        <v>4394589197</v>
      </c>
      <c r="H3137">
        <v>4007442850</v>
      </c>
      <c r="I3137">
        <v>2893262024</v>
      </c>
      <c r="J3137">
        <v>2118073034</v>
      </c>
      <c r="K3137">
        <v>1027179506</v>
      </c>
      <c r="L3137">
        <v>1085499311</v>
      </c>
      <c r="M3137">
        <v>227184019</v>
      </c>
      <c r="N3137">
        <v>188550918</v>
      </c>
      <c r="O3137">
        <v>134702287</v>
      </c>
      <c r="P3137">
        <v>244</v>
      </c>
      <c r="Q3137" t="s">
        <v>6615</v>
      </c>
    </row>
    <row r="3138" spans="1:17" x14ac:dyDescent="0.3">
      <c r="A3138" t="s">
        <v>4729</v>
      </c>
      <c r="B3138" t="str">
        <f>"002412"</f>
        <v>002412</v>
      </c>
      <c r="C3138" t="s">
        <v>6616</v>
      </c>
      <c r="D3138" t="s">
        <v>188</v>
      </c>
      <c r="F3138">
        <v>207401999</v>
      </c>
      <c r="G3138">
        <v>207864498</v>
      </c>
      <c r="H3138">
        <v>274774541</v>
      </c>
      <c r="I3138">
        <v>238717228</v>
      </c>
      <c r="J3138">
        <v>159373732</v>
      </c>
      <c r="K3138">
        <v>160672665</v>
      </c>
      <c r="L3138">
        <v>129175190</v>
      </c>
      <c r="M3138">
        <v>121257484</v>
      </c>
      <c r="N3138">
        <v>85221114</v>
      </c>
      <c r="O3138">
        <v>78504453</v>
      </c>
      <c r="P3138">
        <v>155</v>
      </c>
      <c r="Q3138" t="s">
        <v>6617</v>
      </c>
    </row>
    <row r="3139" spans="1:17" x14ac:dyDescent="0.3">
      <c r="A3139" t="s">
        <v>4729</v>
      </c>
      <c r="B3139" t="str">
        <f>"002413"</f>
        <v>002413</v>
      </c>
      <c r="C3139" t="s">
        <v>6618</v>
      </c>
      <c r="D3139" t="s">
        <v>1136</v>
      </c>
      <c r="F3139">
        <v>1203756292</v>
      </c>
      <c r="G3139">
        <v>936868745</v>
      </c>
      <c r="H3139">
        <v>841508833</v>
      </c>
      <c r="I3139">
        <v>695805708</v>
      </c>
      <c r="J3139">
        <v>611065010</v>
      </c>
      <c r="K3139">
        <v>446675382</v>
      </c>
      <c r="L3139">
        <v>182540180</v>
      </c>
      <c r="M3139">
        <v>436052956</v>
      </c>
      <c r="N3139">
        <v>392733416</v>
      </c>
      <c r="O3139">
        <v>258874913</v>
      </c>
      <c r="P3139">
        <v>218</v>
      </c>
      <c r="Q3139" t="s">
        <v>6619</v>
      </c>
    </row>
    <row r="3140" spans="1:17" x14ac:dyDescent="0.3">
      <c r="A3140" t="s">
        <v>4729</v>
      </c>
      <c r="B3140" t="str">
        <f>"002414"</f>
        <v>002414</v>
      </c>
      <c r="C3140" t="s">
        <v>6620</v>
      </c>
      <c r="D3140" t="s">
        <v>1136</v>
      </c>
      <c r="F3140">
        <v>1929927854</v>
      </c>
      <c r="G3140">
        <v>1668203171</v>
      </c>
      <c r="H3140">
        <v>767182891</v>
      </c>
      <c r="I3140">
        <v>737443985</v>
      </c>
      <c r="J3140">
        <v>869151092</v>
      </c>
      <c r="K3140">
        <v>738963946</v>
      </c>
      <c r="L3140">
        <v>568421982</v>
      </c>
      <c r="M3140">
        <v>424746518</v>
      </c>
      <c r="N3140">
        <v>379288013</v>
      </c>
      <c r="O3140">
        <v>480692091</v>
      </c>
      <c r="P3140">
        <v>789</v>
      </c>
      <c r="Q3140" t="s">
        <v>6621</v>
      </c>
    </row>
    <row r="3141" spans="1:17" x14ac:dyDescent="0.3">
      <c r="A3141" t="s">
        <v>4729</v>
      </c>
      <c r="B3141" t="str">
        <f>"002415"</f>
        <v>002415</v>
      </c>
      <c r="C3141" t="s">
        <v>6622</v>
      </c>
      <c r="D3141" t="s">
        <v>2980</v>
      </c>
      <c r="F3141">
        <v>26174773100</v>
      </c>
      <c r="G3141">
        <v>21979380717</v>
      </c>
      <c r="H3141">
        <v>21307927200</v>
      </c>
      <c r="I3141">
        <v>16619441281</v>
      </c>
      <c r="J3141">
        <v>14705210073</v>
      </c>
      <c r="K3141">
        <v>11242812903</v>
      </c>
      <c r="L3141">
        <v>8125932743</v>
      </c>
      <c r="M3141">
        <v>4281526957</v>
      </c>
      <c r="N3141">
        <v>2878641141</v>
      </c>
      <c r="O3141">
        <v>1596724569</v>
      </c>
      <c r="P3141">
        <v>63223</v>
      </c>
      <c r="Q3141" t="s">
        <v>6623</v>
      </c>
    </row>
    <row r="3142" spans="1:17" x14ac:dyDescent="0.3">
      <c r="A3142" t="s">
        <v>4729</v>
      </c>
      <c r="B3142" t="str">
        <f>"002416"</f>
        <v>002416</v>
      </c>
      <c r="C3142" t="s">
        <v>6624</v>
      </c>
      <c r="D3142" t="s">
        <v>295</v>
      </c>
      <c r="F3142">
        <v>1927782447</v>
      </c>
      <c r="G3142">
        <v>1117432821</v>
      </c>
      <c r="H3142">
        <v>1499915343</v>
      </c>
      <c r="I3142">
        <v>1584363693</v>
      </c>
      <c r="J3142">
        <v>1296889502</v>
      </c>
      <c r="K3142">
        <v>884564085</v>
      </c>
      <c r="L3142">
        <v>800474693</v>
      </c>
      <c r="M3142">
        <v>1307710502</v>
      </c>
      <c r="N3142">
        <v>1289813778</v>
      </c>
      <c r="O3142">
        <v>920497619</v>
      </c>
      <c r="P3142">
        <v>251</v>
      </c>
      <c r="Q3142" t="s">
        <v>6625</v>
      </c>
    </row>
    <row r="3143" spans="1:17" x14ac:dyDescent="0.3">
      <c r="A3143" t="s">
        <v>4729</v>
      </c>
      <c r="B3143" t="str">
        <f>"002417"</f>
        <v>002417</v>
      </c>
      <c r="C3143" t="s">
        <v>6626</v>
      </c>
      <c r="D3143" t="s">
        <v>316</v>
      </c>
      <c r="F3143">
        <v>43417355</v>
      </c>
      <c r="G3143">
        <v>85143364</v>
      </c>
      <c r="H3143">
        <v>43090734</v>
      </c>
      <c r="I3143">
        <v>52210452</v>
      </c>
      <c r="J3143">
        <v>196916773</v>
      </c>
      <c r="K3143">
        <v>296014166</v>
      </c>
      <c r="L3143">
        <v>459560107</v>
      </c>
      <c r="M3143">
        <v>541043103</v>
      </c>
      <c r="N3143">
        <v>669647625</v>
      </c>
      <c r="O3143">
        <v>536429055</v>
      </c>
      <c r="P3143">
        <v>140</v>
      </c>
      <c r="Q3143" t="s">
        <v>6627</v>
      </c>
    </row>
    <row r="3144" spans="1:17" x14ac:dyDescent="0.3">
      <c r="A3144" t="s">
        <v>4729</v>
      </c>
      <c r="B3144" t="str">
        <f>"002418"</f>
        <v>002418</v>
      </c>
      <c r="C3144" t="s">
        <v>6628</v>
      </c>
      <c r="D3144" t="s">
        <v>1253</v>
      </c>
      <c r="F3144">
        <v>787365301</v>
      </c>
      <c r="G3144">
        <v>1645760568</v>
      </c>
      <c r="H3144">
        <v>1223306348</v>
      </c>
      <c r="I3144">
        <v>1836403768</v>
      </c>
      <c r="J3144">
        <v>1269986712</v>
      </c>
      <c r="K3144">
        <v>1071078550</v>
      </c>
      <c r="L3144">
        <v>655608751</v>
      </c>
      <c r="M3144">
        <v>398791051</v>
      </c>
      <c r="N3144">
        <v>318308676</v>
      </c>
      <c r="O3144">
        <v>293782425</v>
      </c>
      <c r="P3144">
        <v>94</v>
      </c>
      <c r="Q3144" t="s">
        <v>6629</v>
      </c>
    </row>
    <row r="3145" spans="1:17" x14ac:dyDescent="0.3">
      <c r="A3145" t="s">
        <v>4729</v>
      </c>
      <c r="B3145" t="str">
        <f>"002419"</f>
        <v>002419</v>
      </c>
      <c r="C3145" t="s">
        <v>6630</v>
      </c>
      <c r="D3145" t="s">
        <v>633</v>
      </c>
      <c r="F3145">
        <v>106706244</v>
      </c>
      <c r="G3145">
        <v>99017466</v>
      </c>
      <c r="H3145">
        <v>101068483</v>
      </c>
      <c r="I3145">
        <v>65121889</v>
      </c>
      <c r="J3145">
        <v>48859158</v>
      </c>
      <c r="K3145">
        <v>55376854</v>
      </c>
      <c r="L3145">
        <v>58705956</v>
      </c>
      <c r="M3145">
        <v>30970594</v>
      </c>
      <c r="N3145">
        <v>41137273</v>
      </c>
      <c r="O3145">
        <v>26234225</v>
      </c>
      <c r="P3145">
        <v>421</v>
      </c>
      <c r="Q3145" t="s">
        <v>6631</v>
      </c>
    </row>
    <row r="3146" spans="1:17" x14ac:dyDescent="0.3">
      <c r="A3146" t="s">
        <v>4729</v>
      </c>
      <c r="B3146" t="str">
        <f>"002420"</f>
        <v>002420</v>
      </c>
      <c r="C3146" t="s">
        <v>6632</v>
      </c>
      <c r="D3146" t="s">
        <v>1253</v>
      </c>
      <c r="F3146">
        <v>752291848</v>
      </c>
      <c r="G3146">
        <v>633340356</v>
      </c>
      <c r="H3146">
        <v>627502003</v>
      </c>
      <c r="I3146">
        <v>769629299</v>
      </c>
      <c r="J3146">
        <v>1219997036</v>
      </c>
      <c r="K3146">
        <v>1266623549</v>
      </c>
      <c r="L3146">
        <v>967520626</v>
      </c>
      <c r="M3146">
        <v>1180915743</v>
      </c>
      <c r="N3146">
        <v>995357739</v>
      </c>
      <c r="O3146">
        <v>641865131</v>
      </c>
      <c r="P3146">
        <v>82</v>
      </c>
      <c r="Q3146" t="s">
        <v>6633</v>
      </c>
    </row>
    <row r="3147" spans="1:17" x14ac:dyDescent="0.3">
      <c r="A3147" t="s">
        <v>4729</v>
      </c>
      <c r="B3147" t="str">
        <f>"002421"</f>
        <v>002421</v>
      </c>
      <c r="C3147" t="s">
        <v>6634</v>
      </c>
      <c r="D3147" t="s">
        <v>316</v>
      </c>
      <c r="F3147">
        <v>1018190728</v>
      </c>
      <c r="G3147">
        <v>1308038699</v>
      </c>
      <c r="H3147">
        <v>1974939543</v>
      </c>
      <c r="I3147">
        <v>2138980416</v>
      </c>
      <c r="J3147">
        <v>1758638161</v>
      </c>
      <c r="K3147">
        <v>1536770121</v>
      </c>
      <c r="L3147">
        <v>1229460545</v>
      </c>
      <c r="M3147">
        <v>632771644</v>
      </c>
      <c r="N3147">
        <v>524318644</v>
      </c>
      <c r="O3147">
        <v>382434910</v>
      </c>
      <c r="P3147">
        <v>199</v>
      </c>
      <c r="Q3147" t="s">
        <v>6635</v>
      </c>
    </row>
    <row r="3148" spans="1:17" x14ac:dyDescent="0.3">
      <c r="A3148" t="s">
        <v>4729</v>
      </c>
      <c r="B3148" t="str">
        <f>"002422"</f>
        <v>002422</v>
      </c>
      <c r="C3148" t="s">
        <v>6636</v>
      </c>
      <c r="D3148" t="s">
        <v>143</v>
      </c>
      <c r="F3148">
        <v>5300779868</v>
      </c>
      <c r="G3148">
        <v>5679095644</v>
      </c>
      <c r="H3148">
        <v>6480658727</v>
      </c>
      <c r="I3148">
        <v>5678849648</v>
      </c>
      <c r="J3148">
        <v>4862076913</v>
      </c>
      <c r="K3148">
        <v>3558700031</v>
      </c>
      <c r="L3148">
        <v>2671497736</v>
      </c>
      <c r="M3148">
        <v>2623137339</v>
      </c>
      <c r="N3148">
        <v>2170850809</v>
      </c>
      <c r="O3148">
        <v>1621275186</v>
      </c>
      <c r="P3148">
        <v>927</v>
      </c>
      <c r="Q3148" t="s">
        <v>6637</v>
      </c>
    </row>
    <row r="3149" spans="1:17" x14ac:dyDescent="0.3">
      <c r="A3149" t="s">
        <v>4729</v>
      </c>
      <c r="B3149" t="str">
        <f>"002423"</f>
        <v>002423</v>
      </c>
      <c r="C3149" t="s">
        <v>6638</v>
      </c>
      <c r="D3149" t="s">
        <v>140</v>
      </c>
      <c r="F3149">
        <v>210414567</v>
      </c>
      <c r="G3149">
        <v>69775539</v>
      </c>
      <c r="H3149">
        <v>64266034</v>
      </c>
      <c r="I3149">
        <v>267454265</v>
      </c>
      <c r="J3149">
        <v>292436191</v>
      </c>
      <c r="K3149">
        <v>455224103</v>
      </c>
      <c r="L3149">
        <v>420061375</v>
      </c>
      <c r="M3149">
        <v>403032320</v>
      </c>
      <c r="N3149">
        <v>294567781</v>
      </c>
      <c r="O3149">
        <v>283663924</v>
      </c>
      <c r="P3149">
        <v>145</v>
      </c>
      <c r="Q3149" t="s">
        <v>6639</v>
      </c>
    </row>
    <row r="3150" spans="1:17" x14ac:dyDescent="0.3">
      <c r="A3150" t="s">
        <v>4729</v>
      </c>
      <c r="B3150" t="str">
        <f>"002424"</f>
        <v>002424</v>
      </c>
      <c r="C3150" t="s">
        <v>6640</v>
      </c>
      <c r="D3150" t="s">
        <v>188</v>
      </c>
      <c r="F3150">
        <v>1573975166</v>
      </c>
      <c r="G3150">
        <v>1504485991</v>
      </c>
      <c r="H3150">
        <v>1553654699</v>
      </c>
      <c r="I3150">
        <v>1589928760</v>
      </c>
      <c r="J3150">
        <v>958626428</v>
      </c>
      <c r="K3150">
        <v>654936935</v>
      </c>
      <c r="L3150">
        <v>439895073</v>
      </c>
      <c r="M3150">
        <v>408138924</v>
      </c>
      <c r="N3150">
        <v>333458604</v>
      </c>
      <c r="O3150">
        <v>286515595</v>
      </c>
      <c r="P3150">
        <v>472</v>
      </c>
      <c r="Q3150" t="s">
        <v>6641</v>
      </c>
    </row>
    <row r="3151" spans="1:17" x14ac:dyDescent="0.3">
      <c r="A3151" t="s">
        <v>4729</v>
      </c>
      <c r="B3151" t="str">
        <f>"002425"</f>
        <v>002425</v>
      </c>
      <c r="C3151" t="s">
        <v>6642</v>
      </c>
      <c r="D3151" t="s">
        <v>517</v>
      </c>
      <c r="F3151">
        <v>512025089</v>
      </c>
      <c r="G3151">
        <v>372895723</v>
      </c>
      <c r="H3151">
        <v>491345069</v>
      </c>
      <c r="I3151">
        <v>496655232</v>
      </c>
      <c r="J3151">
        <v>400264041</v>
      </c>
      <c r="K3151">
        <v>188620652</v>
      </c>
      <c r="L3151">
        <v>173495746</v>
      </c>
      <c r="M3151">
        <v>88860963</v>
      </c>
      <c r="N3151">
        <v>94522970</v>
      </c>
      <c r="O3151">
        <v>110836340</v>
      </c>
      <c r="P3151">
        <v>257</v>
      </c>
      <c r="Q3151" t="s">
        <v>6643</v>
      </c>
    </row>
    <row r="3152" spans="1:17" x14ac:dyDescent="0.3">
      <c r="A3152" t="s">
        <v>4729</v>
      </c>
      <c r="B3152" t="str">
        <f>"002426"</f>
        <v>002426</v>
      </c>
      <c r="C3152" t="s">
        <v>6644</v>
      </c>
      <c r="D3152" t="s">
        <v>274</v>
      </c>
      <c r="F3152">
        <v>1305409487</v>
      </c>
      <c r="G3152">
        <v>1890079694</v>
      </c>
      <c r="H3152">
        <v>2855932771</v>
      </c>
      <c r="I3152">
        <v>4143703566</v>
      </c>
      <c r="J3152">
        <v>3144062976</v>
      </c>
      <c r="K3152">
        <v>2651545982</v>
      </c>
      <c r="L3152">
        <v>1816869612</v>
      </c>
      <c r="M3152">
        <v>1151618104</v>
      </c>
      <c r="N3152">
        <v>545941928</v>
      </c>
      <c r="O3152">
        <v>458867829</v>
      </c>
      <c r="P3152">
        <v>207</v>
      </c>
      <c r="Q3152" t="s">
        <v>6645</v>
      </c>
    </row>
    <row r="3153" spans="1:17" x14ac:dyDescent="0.3">
      <c r="A3153" t="s">
        <v>4729</v>
      </c>
      <c r="B3153" t="str">
        <f>"002427"</f>
        <v>002427</v>
      </c>
      <c r="C3153" t="s">
        <v>6646</v>
      </c>
      <c r="D3153" t="s">
        <v>2731</v>
      </c>
      <c r="F3153">
        <v>565976768</v>
      </c>
      <c r="G3153">
        <v>662417986</v>
      </c>
      <c r="H3153">
        <v>691669423</v>
      </c>
      <c r="I3153">
        <v>963179963</v>
      </c>
      <c r="J3153">
        <v>1450747299</v>
      </c>
      <c r="K3153">
        <v>660630320</v>
      </c>
      <c r="L3153">
        <v>269519992</v>
      </c>
      <c r="M3153">
        <v>277747991</v>
      </c>
      <c r="N3153">
        <v>269795729</v>
      </c>
      <c r="O3153">
        <v>123280776</v>
      </c>
      <c r="P3153">
        <v>82</v>
      </c>
      <c r="Q3153" t="s">
        <v>6647</v>
      </c>
    </row>
    <row r="3154" spans="1:17" x14ac:dyDescent="0.3">
      <c r="A3154" t="s">
        <v>4729</v>
      </c>
      <c r="B3154" t="str">
        <f>"002428"</f>
        <v>002428</v>
      </c>
      <c r="C3154" t="s">
        <v>6648</v>
      </c>
      <c r="D3154" t="s">
        <v>636</v>
      </c>
      <c r="F3154">
        <v>120995946</v>
      </c>
      <c r="G3154">
        <v>101696924</v>
      </c>
      <c r="H3154">
        <v>79292747</v>
      </c>
      <c r="I3154">
        <v>96968085</v>
      </c>
      <c r="J3154">
        <v>54988049</v>
      </c>
      <c r="K3154">
        <v>80728155</v>
      </c>
      <c r="L3154">
        <v>126155803</v>
      </c>
      <c r="M3154">
        <v>120786926</v>
      </c>
      <c r="N3154">
        <v>87069550</v>
      </c>
      <c r="O3154">
        <v>59832684</v>
      </c>
      <c r="P3154">
        <v>186</v>
      </c>
      <c r="Q3154" t="s">
        <v>6649</v>
      </c>
    </row>
    <row r="3155" spans="1:17" x14ac:dyDescent="0.3">
      <c r="A3155" t="s">
        <v>4729</v>
      </c>
      <c r="B3155" t="str">
        <f>"002429"</f>
        <v>002429</v>
      </c>
      <c r="C3155" t="s">
        <v>6650</v>
      </c>
      <c r="D3155" t="s">
        <v>137</v>
      </c>
      <c r="F3155">
        <v>5425284614</v>
      </c>
      <c r="G3155">
        <v>5357738193</v>
      </c>
      <c r="H3155">
        <v>3612327272</v>
      </c>
      <c r="I3155">
        <v>3087145697</v>
      </c>
      <c r="J3155">
        <v>2742214463</v>
      </c>
      <c r="K3155">
        <v>2634625763</v>
      </c>
      <c r="L3155">
        <v>1715957108</v>
      </c>
      <c r="M3155">
        <v>1381947163</v>
      </c>
      <c r="N3155">
        <v>1090049697</v>
      </c>
      <c r="O3155">
        <v>916178331</v>
      </c>
      <c r="P3155">
        <v>454</v>
      </c>
      <c r="Q3155" t="s">
        <v>6651</v>
      </c>
    </row>
    <row r="3156" spans="1:17" x14ac:dyDescent="0.3">
      <c r="A3156" t="s">
        <v>4729</v>
      </c>
      <c r="B3156" t="str">
        <f>"002430"</f>
        <v>002430</v>
      </c>
      <c r="C3156" t="s">
        <v>6652</v>
      </c>
      <c r="D3156" t="s">
        <v>741</v>
      </c>
      <c r="F3156">
        <v>1534004958</v>
      </c>
      <c r="G3156">
        <v>1195246921</v>
      </c>
      <c r="H3156">
        <v>1673513059</v>
      </c>
      <c r="I3156">
        <v>1654404214</v>
      </c>
      <c r="J3156">
        <v>1678450272</v>
      </c>
      <c r="K3156">
        <v>1825027839</v>
      </c>
      <c r="L3156">
        <v>1951266196</v>
      </c>
      <c r="M3156">
        <v>1615863722</v>
      </c>
      <c r="N3156">
        <v>1605657126</v>
      </c>
      <c r="O3156">
        <v>1416145020</v>
      </c>
      <c r="P3156">
        <v>395</v>
      </c>
      <c r="Q3156" t="s">
        <v>6653</v>
      </c>
    </row>
    <row r="3157" spans="1:17" x14ac:dyDescent="0.3">
      <c r="A3157" t="s">
        <v>4729</v>
      </c>
      <c r="B3157" t="str">
        <f>"002431"</f>
        <v>002431</v>
      </c>
      <c r="C3157" t="s">
        <v>6654</v>
      </c>
      <c r="D3157" t="s">
        <v>2417</v>
      </c>
      <c r="F3157">
        <v>1843254718</v>
      </c>
      <c r="G3157">
        <v>2584667316</v>
      </c>
      <c r="H3157">
        <v>1588085657</v>
      </c>
      <c r="I3157">
        <v>2140810274</v>
      </c>
      <c r="J3157">
        <v>2296610630</v>
      </c>
      <c r="K3157">
        <v>2141174218</v>
      </c>
      <c r="L3157">
        <v>2268134683</v>
      </c>
      <c r="M3157">
        <v>1867136587</v>
      </c>
      <c r="N3157">
        <v>1385415240</v>
      </c>
      <c r="O3157">
        <v>1072196277</v>
      </c>
      <c r="P3157">
        <v>124</v>
      </c>
      <c r="Q3157" t="s">
        <v>6655</v>
      </c>
    </row>
    <row r="3158" spans="1:17" x14ac:dyDescent="0.3">
      <c r="A3158" t="s">
        <v>4729</v>
      </c>
      <c r="B3158" t="str">
        <f>"002432"</f>
        <v>002432</v>
      </c>
      <c r="C3158" t="s">
        <v>6656</v>
      </c>
      <c r="D3158" t="s">
        <v>122</v>
      </c>
      <c r="F3158">
        <v>589456300</v>
      </c>
      <c r="G3158">
        <v>142234623</v>
      </c>
      <c r="H3158">
        <v>99664232</v>
      </c>
      <c r="I3158">
        <v>91402890</v>
      </c>
      <c r="J3158">
        <v>103960559</v>
      </c>
      <c r="K3158">
        <v>101680115</v>
      </c>
      <c r="L3158">
        <v>81408499</v>
      </c>
      <c r="M3158">
        <v>83580679</v>
      </c>
      <c r="N3158">
        <v>107689758</v>
      </c>
      <c r="O3158">
        <v>105066713</v>
      </c>
      <c r="P3158">
        <v>281</v>
      </c>
      <c r="Q3158" t="s">
        <v>6657</v>
      </c>
    </row>
    <row r="3159" spans="1:17" x14ac:dyDescent="0.3">
      <c r="A3159" t="s">
        <v>4729</v>
      </c>
      <c r="B3159" t="str">
        <f>"002433"</f>
        <v>002433</v>
      </c>
      <c r="C3159" t="s">
        <v>6658</v>
      </c>
      <c r="D3159" t="s">
        <v>188</v>
      </c>
      <c r="G3159">
        <v>543868014</v>
      </c>
      <c r="H3159">
        <v>695337063</v>
      </c>
      <c r="I3159">
        <v>508827020</v>
      </c>
      <c r="J3159">
        <v>580540985</v>
      </c>
      <c r="K3159">
        <v>462379508</v>
      </c>
      <c r="L3159">
        <v>249288148</v>
      </c>
      <c r="M3159">
        <v>237144822</v>
      </c>
      <c r="N3159">
        <v>249089508</v>
      </c>
      <c r="O3159">
        <v>154662283</v>
      </c>
      <c r="P3159">
        <v>235</v>
      </c>
      <c r="Q3159" t="s">
        <v>6659</v>
      </c>
    </row>
    <row r="3160" spans="1:17" x14ac:dyDescent="0.3">
      <c r="A3160" t="s">
        <v>4729</v>
      </c>
      <c r="B3160" t="str">
        <f>"002434"</f>
        <v>002434</v>
      </c>
      <c r="C3160" t="s">
        <v>6660</v>
      </c>
      <c r="D3160" t="s">
        <v>348</v>
      </c>
      <c r="F3160">
        <v>1549493824</v>
      </c>
      <c r="G3160">
        <v>1626091292</v>
      </c>
      <c r="H3160">
        <v>1448334547</v>
      </c>
      <c r="I3160">
        <v>982363779</v>
      </c>
      <c r="J3160">
        <v>1155144451</v>
      </c>
      <c r="K3160">
        <v>1549903749</v>
      </c>
      <c r="L3160">
        <v>853564765</v>
      </c>
      <c r="M3160">
        <v>304868590</v>
      </c>
      <c r="N3160">
        <v>226426255</v>
      </c>
      <c r="O3160">
        <v>264558627</v>
      </c>
      <c r="P3160">
        <v>238</v>
      </c>
      <c r="Q3160" t="s">
        <v>6661</v>
      </c>
    </row>
    <row r="3161" spans="1:17" x14ac:dyDescent="0.3">
      <c r="A3161" t="s">
        <v>4729</v>
      </c>
      <c r="B3161" t="str">
        <f>"002435"</f>
        <v>002435</v>
      </c>
      <c r="C3161" t="s">
        <v>6662</v>
      </c>
      <c r="D3161" t="s">
        <v>143</v>
      </c>
      <c r="F3161">
        <v>359178995</v>
      </c>
      <c r="G3161">
        <v>386732406</v>
      </c>
      <c r="H3161">
        <v>684071836</v>
      </c>
      <c r="I3161">
        <v>701353906</v>
      </c>
      <c r="J3161">
        <v>407857612</v>
      </c>
      <c r="K3161">
        <v>188404931</v>
      </c>
      <c r="L3161">
        <v>129326281</v>
      </c>
      <c r="M3161">
        <v>103779424</v>
      </c>
      <c r="N3161">
        <v>58354538</v>
      </c>
      <c r="O3161">
        <v>69752437</v>
      </c>
      <c r="P3161">
        <v>139</v>
      </c>
      <c r="Q3161" t="s">
        <v>6663</v>
      </c>
    </row>
    <row r="3162" spans="1:17" x14ac:dyDescent="0.3">
      <c r="A3162" t="s">
        <v>4729</v>
      </c>
      <c r="B3162" t="str">
        <f>"002436"</f>
        <v>002436</v>
      </c>
      <c r="C3162" t="s">
        <v>6664</v>
      </c>
      <c r="D3162" t="s">
        <v>425</v>
      </c>
      <c r="F3162">
        <v>1566854380</v>
      </c>
      <c r="G3162">
        <v>1163206952</v>
      </c>
      <c r="H3162">
        <v>1070085431</v>
      </c>
      <c r="I3162">
        <v>935857471</v>
      </c>
      <c r="J3162">
        <v>953696446</v>
      </c>
      <c r="K3162">
        <v>885973986</v>
      </c>
      <c r="L3162">
        <v>646150679</v>
      </c>
      <c r="M3162">
        <v>483665857</v>
      </c>
      <c r="N3162">
        <v>419947597</v>
      </c>
      <c r="O3162">
        <v>275382291</v>
      </c>
      <c r="P3162">
        <v>563</v>
      </c>
      <c r="Q3162" t="s">
        <v>6665</v>
      </c>
    </row>
    <row r="3163" spans="1:17" x14ac:dyDescent="0.3">
      <c r="A3163" t="s">
        <v>4729</v>
      </c>
      <c r="B3163" t="str">
        <f>"002437"</f>
        <v>002437</v>
      </c>
      <c r="C3163" t="s">
        <v>6666</v>
      </c>
      <c r="D3163" t="s">
        <v>143</v>
      </c>
      <c r="F3163">
        <v>225054507</v>
      </c>
      <c r="G3163">
        <v>332394463</v>
      </c>
      <c r="H3163">
        <v>506358062</v>
      </c>
      <c r="I3163">
        <v>752164346</v>
      </c>
      <c r="J3163">
        <v>427544692</v>
      </c>
      <c r="K3163">
        <v>174498329</v>
      </c>
      <c r="L3163">
        <v>96194046</v>
      </c>
      <c r="M3163">
        <v>108048800</v>
      </c>
      <c r="N3163">
        <v>111333360</v>
      </c>
      <c r="O3163">
        <v>43574794</v>
      </c>
      <c r="P3163">
        <v>189</v>
      </c>
      <c r="Q3163" t="s">
        <v>6667</v>
      </c>
    </row>
    <row r="3164" spans="1:17" x14ac:dyDescent="0.3">
      <c r="A3164" t="s">
        <v>4729</v>
      </c>
      <c r="B3164" t="str">
        <f>"002438"</f>
        <v>002438</v>
      </c>
      <c r="C3164" t="s">
        <v>6668</v>
      </c>
      <c r="D3164" t="s">
        <v>274</v>
      </c>
      <c r="F3164">
        <v>652107122</v>
      </c>
      <c r="G3164">
        <v>615764435</v>
      </c>
      <c r="H3164">
        <v>586447109</v>
      </c>
      <c r="I3164">
        <v>478215818</v>
      </c>
      <c r="J3164">
        <v>521350490</v>
      </c>
      <c r="K3164">
        <v>519987665</v>
      </c>
      <c r="L3164">
        <v>531460997</v>
      </c>
      <c r="M3164">
        <v>342494205</v>
      </c>
      <c r="N3164">
        <v>334160928</v>
      </c>
      <c r="O3164">
        <v>283251748</v>
      </c>
      <c r="P3164">
        <v>185</v>
      </c>
      <c r="Q3164" t="s">
        <v>6669</v>
      </c>
    </row>
    <row r="3165" spans="1:17" x14ac:dyDescent="0.3">
      <c r="A3165" t="s">
        <v>4729</v>
      </c>
      <c r="B3165" t="str">
        <f>"002439"</f>
        <v>002439</v>
      </c>
      <c r="C3165" t="s">
        <v>6670</v>
      </c>
      <c r="D3165" t="s">
        <v>1189</v>
      </c>
      <c r="F3165">
        <v>2984296328</v>
      </c>
      <c r="G3165">
        <v>2706994562</v>
      </c>
      <c r="H3165">
        <v>2063905251</v>
      </c>
      <c r="I3165">
        <v>1560084032</v>
      </c>
      <c r="J3165">
        <v>1220501476</v>
      </c>
      <c r="K3165">
        <v>925581631</v>
      </c>
      <c r="L3165">
        <v>639833915</v>
      </c>
      <c r="M3165">
        <v>603426797</v>
      </c>
      <c r="N3165">
        <v>405094999</v>
      </c>
      <c r="O3165">
        <v>352627994</v>
      </c>
      <c r="P3165">
        <v>1190</v>
      </c>
      <c r="Q3165" t="s">
        <v>6671</v>
      </c>
    </row>
    <row r="3166" spans="1:17" x14ac:dyDescent="0.3">
      <c r="A3166" t="s">
        <v>4729</v>
      </c>
      <c r="B3166" t="str">
        <f>"002440"</f>
        <v>002440</v>
      </c>
      <c r="C3166" t="s">
        <v>6672</v>
      </c>
      <c r="D3166" t="s">
        <v>779</v>
      </c>
      <c r="F3166">
        <v>735641548</v>
      </c>
      <c r="G3166">
        <v>932504179</v>
      </c>
      <c r="H3166">
        <v>1103742183</v>
      </c>
      <c r="I3166">
        <v>1116908408</v>
      </c>
      <c r="J3166">
        <v>1164965061</v>
      </c>
      <c r="K3166">
        <v>971190321</v>
      </c>
      <c r="L3166">
        <v>1040314355</v>
      </c>
      <c r="M3166">
        <v>1209029562</v>
      </c>
      <c r="N3166">
        <v>990377378</v>
      </c>
      <c r="O3166">
        <v>798101163</v>
      </c>
      <c r="P3166">
        <v>537</v>
      </c>
      <c r="Q3166" t="s">
        <v>6673</v>
      </c>
    </row>
    <row r="3167" spans="1:17" x14ac:dyDescent="0.3">
      <c r="A3167" t="s">
        <v>4729</v>
      </c>
      <c r="B3167" t="str">
        <f>"002441"</f>
        <v>002441</v>
      </c>
      <c r="C3167" t="s">
        <v>6674</v>
      </c>
      <c r="D3167" t="s">
        <v>657</v>
      </c>
      <c r="F3167">
        <v>1155617434</v>
      </c>
      <c r="G3167">
        <v>1043782950</v>
      </c>
      <c r="H3167">
        <v>1050956666</v>
      </c>
      <c r="I3167">
        <v>987118059</v>
      </c>
      <c r="J3167">
        <v>951190549</v>
      </c>
      <c r="K3167">
        <v>967021861</v>
      </c>
      <c r="L3167">
        <v>934746916</v>
      </c>
      <c r="M3167">
        <v>937516423</v>
      </c>
      <c r="N3167">
        <v>803532888</v>
      </c>
      <c r="O3167">
        <v>675191940</v>
      </c>
      <c r="P3167">
        <v>134</v>
      </c>
      <c r="Q3167" t="s">
        <v>6675</v>
      </c>
    </row>
    <row r="3168" spans="1:17" x14ac:dyDescent="0.3">
      <c r="A3168" t="s">
        <v>4729</v>
      </c>
      <c r="B3168" t="str">
        <f>"002442"</f>
        <v>002442</v>
      </c>
      <c r="C3168" t="s">
        <v>6676</v>
      </c>
      <c r="D3168" t="s">
        <v>3646</v>
      </c>
      <c r="F3168">
        <v>795556740</v>
      </c>
      <c r="G3168">
        <v>519432015</v>
      </c>
      <c r="H3168">
        <v>441324657</v>
      </c>
      <c r="I3168">
        <v>621260282</v>
      </c>
      <c r="J3168">
        <v>595696208</v>
      </c>
      <c r="K3168">
        <v>385020121</v>
      </c>
      <c r="L3168">
        <v>416673939</v>
      </c>
      <c r="M3168">
        <v>472569872</v>
      </c>
      <c r="N3168">
        <v>429445892</v>
      </c>
      <c r="O3168">
        <v>419603298</v>
      </c>
      <c r="P3168">
        <v>105</v>
      </c>
      <c r="Q3168" t="s">
        <v>6677</v>
      </c>
    </row>
    <row r="3169" spans="1:17" x14ac:dyDescent="0.3">
      <c r="A3169" t="s">
        <v>4729</v>
      </c>
      <c r="B3169" t="str">
        <f>"002443"</f>
        <v>002443</v>
      </c>
      <c r="C3169" t="s">
        <v>6678</v>
      </c>
      <c r="D3169" t="s">
        <v>281</v>
      </c>
      <c r="F3169">
        <v>814755127</v>
      </c>
      <c r="G3169">
        <v>738714023</v>
      </c>
      <c r="H3169">
        <v>609157888</v>
      </c>
      <c r="I3169">
        <v>506477948</v>
      </c>
      <c r="J3169">
        <v>442860110</v>
      </c>
      <c r="K3169">
        <v>415197414</v>
      </c>
      <c r="L3169">
        <v>346344445</v>
      </c>
      <c r="M3169">
        <v>372874095</v>
      </c>
      <c r="N3169">
        <v>432398000</v>
      </c>
      <c r="O3169">
        <v>334137461</v>
      </c>
      <c r="P3169">
        <v>257</v>
      </c>
      <c r="Q3169" t="s">
        <v>6679</v>
      </c>
    </row>
    <row r="3170" spans="1:17" x14ac:dyDescent="0.3">
      <c r="A3170" t="s">
        <v>4729</v>
      </c>
      <c r="B3170" t="str">
        <f>"002444"</f>
        <v>002444</v>
      </c>
      <c r="C3170" t="s">
        <v>6680</v>
      </c>
      <c r="D3170" t="s">
        <v>560</v>
      </c>
      <c r="F3170">
        <v>1798265506</v>
      </c>
      <c r="G3170">
        <v>1260096724</v>
      </c>
      <c r="H3170">
        <v>1107232500</v>
      </c>
      <c r="I3170">
        <v>1146166866</v>
      </c>
      <c r="J3170">
        <v>1016256163</v>
      </c>
      <c r="K3170">
        <v>782306221</v>
      </c>
      <c r="L3170">
        <v>598834691</v>
      </c>
      <c r="M3170">
        <v>608108341</v>
      </c>
      <c r="N3170">
        <v>791989623</v>
      </c>
      <c r="O3170">
        <v>648390071</v>
      </c>
      <c r="P3170">
        <v>656</v>
      </c>
      <c r="Q3170" t="s">
        <v>6681</v>
      </c>
    </row>
    <row r="3171" spans="1:17" x14ac:dyDescent="0.3">
      <c r="A3171" t="s">
        <v>4729</v>
      </c>
      <c r="B3171" t="str">
        <f>"002445"</f>
        <v>002445</v>
      </c>
      <c r="C3171" t="s">
        <v>6682</v>
      </c>
      <c r="D3171" t="s">
        <v>517</v>
      </c>
      <c r="F3171">
        <v>195736181</v>
      </c>
      <c r="G3171">
        <v>213608128</v>
      </c>
      <c r="H3171">
        <v>428215598</v>
      </c>
      <c r="I3171">
        <v>749780215</v>
      </c>
      <c r="J3171">
        <v>1021183472</v>
      </c>
      <c r="K3171">
        <v>1010181477</v>
      </c>
      <c r="L3171">
        <v>929726327</v>
      </c>
      <c r="M3171">
        <v>478207532</v>
      </c>
      <c r="N3171">
        <v>391538081</v>
      </c>
      <c r="O3171">
        <v>331892730</v>
      </c>
      <c r="P3171">
        <v>110</v>
      </c>
      <c r="Q3171" t="s">
        <v>6683</v>
      </c>
    </row>
    <row r="3172" spans="1:17" x14ac:dyDescent="0.3">
      <c r="A3172" t="s">
        <v>4729</v>
      </c>
      <c r="B3172" t="str">
        <f>"002446"</f>
        <v>002446</v>
      </c>
      <c r="C3172" t="s">
        <v>6684</v>
      </c>
      <c r="D3172" t="s">
        <v>1136</v>
      </c>
      <c r="F3172">
        <v>443484089</v>
      </c>
      <c r="G3172">
        <v>403646490</v>
      </c>
      <c r="H3172">
        <v>748959685</v>
      </c>
      <c r="I3172">
        <v>776703539</v>
      </c>
      <c r="J3172">
        <v>499243210</v>
      </c>
      <c r="K3172">
        <v>522919643</v>
      </c>
      <c r="L3172">
        <v>508081787</v>
      </c>
      <c r="M3172">
        <v>336126915</v>
      </c>
      <c r="N3172">
        <v>228383374</v>
      </c>
      <c r="O3172">
        <v>225284495</v>
      </c>
      <c r="P3172">
        <v>371</v>
      </c>
      <c r="Q3172" t="s">
        <v>6685</v>
      </c>
    </row>
    <row r="3173" spans="1:17" x14ac:dyDescent="0.3">
      <c r="A3173" t="s">
        <v>4729</v>
      </c>
      <c r="B3173" t="str">
        <f>"002447"</f>
        <v>002447</v>
      </c>
      <c r="C3173" t="s">
        <v>6686</v>
      </c>
      <c r="D3173" t="s">
        <v>517</v>
      </c>
      <c r="F3173">
        <v>82796853</v>
      </c>
      <c r="G3173">
        <v>102856478</v>
      </c>
      <c r="H3173">
        <v>109229487</v>
      </c>
      <c r="I3173">
        <v>120649731</v>
      </c>
      <c r="J3173">
        <v>114881772</v>
      </c>
      <c r="K3173">
        <v>68481248</v>
      </c>
      <c r="L3173">
        <v>34320935</v>
      </c>
      <c r="M3173">
        <v>43757613</v>
      </c>
      <c r="N3173">
        <v>50765256</v>
      </c>
      <c r="O3173">
        <v>12941979</v>
      </c>
      <c r="P3173">
        <v>92</v>
      </c>
      <c r="Q3173" t="s">
        <v>6687</v>
      </c>
    </row>
    <row r="3174" spans="1:17" x14ac:dyDescent="0.3">
      <c r="A3174" t="s">
        <v>4729</v>
      </c>
      <c r="B3174" t="str">
        <f>"002448"</f>
        <v>002448</v>
      </c>
      <c r="C3174" t="s">
        <v>6688</v>
      </c>
      <c r="D3174" t="s">
        <v>348</v>
      </c>
      <c r="F3174">
        <v>506204035</v>
      </c>
      <c r="G3174">
        <v>456463323</v>
      </c>
      <c r="H3174">
        <v>315208710</v>
      </c>
      <c r="I3174">
        <v>423702061</v>
      </c>
      <c r="J3174">
        <v>306737140</v>
      </c>
      <c r="K3174">
        <v>202665466</v>
      </c>
      <c r="L3174">
        <v>154298933</v>
      </c>
      <c r="M3174">
        <v>124172843</v>
      </c>
      <c r="N3174">
        <v>85884843</v>
      </c>
      <c r="O3174">
        <v>94691988</v>
      </c>
      <c r="P3174">
        <v>194</v>
      </c>
      <c r="Q3174" t="s">
        <v>6689</v>
      </c>
    </row>
    <row r="3175" spans="1:17" x14ac:dyDescent="0.3">
      <c r="A3175" t="s">
        <v>4729</v>
      </c>
      <c r="B3175" t="str">
        <f>"002449"</f>
        <v>002449</v>
      </c>
      <c r="C3175" t="s">
        <v>6690</v>
      </c>
      <c r="D3175" t="s">
        <v>803</v>
      </c>
      <c r="F3175">
        <v>554384717</v>
      </c>
      <c r="G3175">
        <v>570212067</v>
      </c>
      <c r="H3175">
        <v>722567526</v>
      </c>
      <c r="I3175">
        <v>617834324</v>
      </c>
      <c r="J3175">
        <v>608242475</v>
      </c>
      <c r="K3175">
        <v>608776170</v>
      </c>
      <c r="L3175">
        <v>383403041</v>
      </c>
      <c r="M3175">
        <v>313211414</v>
      </c>
      <c r="N3175">
        <v>262272601</v>
      </c>
      <c r="O3175">
        <v>213129200</v>
      </c>
      <c r="P3175">
        <v>392</v>
      </c>
      <c r="Q3175" t="s">
        <v>6691</v>
      </c>
    </row>
    <row r="3176" spans="1:17" x14ac:dyDescent="0.3">
      <c r="A3176" t="s">
        <v>4729</v>
      </c>
      <c r="B3176" t="str">
        <f>"002450"</f>
        <v>002450</v>
      </c>
      <c r="C3176" t="s">
        <v>6692</v>
      </c>
      <c r="G3176">
        <v>537683218</v>
      </c>
      <c r="H3176">
        <v>2755041050</v>
      </c>
      <c r="I3176">
        <v>4865359600</v>
      </c>
      <c r="J3176">
        <v>4408748774</v>
      </c>
      <c r="K3176">
        <v>4799989215</v>
      </c>
      <c r="L3176">
        <v>2793848739</v>
      </c>
      <c r="M3176">
        <v>1770341668</v>
      </c>
      <c r="N3176">
        <v>431104966</v>
      </c>
      <c r="O3176">
        <v>320919035</v>
      </c>
      <c r="P3176">
        <v>1520</v>
      </c>
      <c r="Q3176" t="s">
        <v>6693</v>
      </c>
    </row>
    <row r="3177" spans="1:17" x14ac:dyDescent="0.3">
      <c r="A3177" t="s">
        <v>4729</v>
      </c>
      <c r="B3177" t="str">
        <f>"002451"</f>
        <v>002451</v>
      </c>
      <c r="C3177" t="s">
        <v>6694</v>
      </c>
      <c r="D3177" t="s">
        <v>1164</v>
      </c>
      <c r="F3177">
        <v>400073104</v>
      </c>
      <c r="G3177">
        <v>198465690</v>
      </c>
      <c r="H3177">
        <v>108317560</v>
      </c>
      <c r="I3177">
        <v>179043860</v>
      </c>
      <c r="J3177">
        <v>302147411</v>
      </c>
      <c r="K3177">
        <v>318333478</v>
      </c>
      <c r="L3177">
        <v>368425009</v>
      </c>
      <c r="M3177">
        <v>360509041</v>
      </c>
      <c r="N3177">
        <v>301362661</v>
      </c>
      <c r="O3177">
        <v>250597740</v>
      </c>
      <c r="P3177">
        <v>105</v>
      </c>
      <c r="Q3177" t="s">
        <v>6695</v>
      </c>
    </row>
    <row r="3178" spans="1:17" x14ac:dyDescent="0.3">
      <c r="A3178" t="s">
        <v>4729</v>
      </c>
      <c r="B3178" t="str">
        <f>"002452"</f>
        <v>002452</v>
      </c>
      <c r="C3178" t="s">
        <v>6696</v>
      </c>
      <c r="D3178" t="s">
        <v>210</v>
      </c>
      <c r="F3178">
        <v>899744197</v>
      </c>
      <c r="G3178">
        <v>892703961</v>
      </c>
      <c r="H3178">
        <v>766903480</v>
      </c>
      <c r="I3178">
        <v>602405726</v>
      </c>
      <c r="J3178">
        <v>587264138</v>
      </c>
      <c r="K3178">
        <v>547437553</v>
      </c>
      <c r="L3178">
        <v>322728059</v>
      </c>
      <c r="M3178">
        <v>288189720</v>
      </c>
      <c r="N3178">
        <v>284067963</v>
      </c>
      <c r="O3178">
        <v>241360011</v>
      </c>
      <c r="P3178">
        <v>173</v>
      </c>
      <c r="Q3178" t="s">
        <v>6697</v>
      </c>
    </row>
    <row r="3179" spans="1:17" x14ac:dyDescent="0.3">
      <c r="A3179" t="s">
        <v>4729</v>
      </c>
      <c r="B3179" t="str">
        <f>"002453"</f>
        <v>002453</v>
      </c>
      <c r="C3179" t="s">
        <v>6698</v>
      </c>
      <c r="D3179" t="s">
        <v>386</v>
      </c>
      <c r="F3179">
        <v>520194712</v>
      </c>
      <c r="G3179">
        <v>358631984</v>
      </c>
      <c r="H3179">
        <v>402474346</v>
      </c>
      <c r="I3179">
        <v>419081998</v>
      </c>
      <c r="J3179">
        <v>336424215</v>
      </c>
      <c r="K3179">
        <v>377247454</v>
      </c>
      <c r="L3179">
        <v>305668380</v>
      </c>
      <c r="M3179">
        <v>234760771</v>
      </c>
      <c r="N3179">
        <v>236799872</v>
      </c>
      <c r="O3179">
        <v>226221421</v>
      </c>
      <c r="P3179">
        <v>125</v>
      </c>
      <c r="Q3179" t="s">
        <v>6699</v>
      </c>
    </row>
    <row r="3180" spans="1:17" x14ac:dyDescent="0.3">
      <c r="A3180" t="s">
        <v>4729</v>
      </c>
      <c r="B3180" t="str">
        <f>"002454"</f>
        <v>002454</v>
      </c>
      <c r="C3180" t="s">
        <v>6700</v>
      </c>
      <c r="D3180" t="s">
        <v>1415</v>
      </c>
      <c r="F3180">
        <v>1033815978</v>
      </c>
      <c r="G3180">
        <v>1230500062</v>
      </c>
      <c r="H3180">
        <v>1118474030</v>
      </c>
      <c r="I3180">
        <v>1163157420</v>
      </c>
      <c r="J3180">
        <v>1337259964</v>
      </c>
      <c r="K3180">
        <v>1063488506</v>
      </c>
      <c r="L3180">
        <v>1005915498</v>
      </c>
      <c r="M3180">
        <v>768599797</v>
      </c>
      <c r="N3180">
        <v>723336298</v>
      </c>
      <c r="O3180">
        <v>567399979</v>
      </c>
      <c r="P3180">
        <v>191</v>
      </c>
      <c r="Q3180" t="s">
        <v>6701</v>
      </c>
    </row>
    <row r="3181" spans="1:17" x14ac:dyDescent="0.3">
      <c r="A3181" t="s">
        <v>4729</v>
      </c>
      <c r="B3181" t="str">
        <f>"002455"</f>
        <v>002455</v>
      </c>
      <c r="C3181" t="s">
        <v>6702</v>
      </c>
      <c r="D3181" t="s">
        <v>386</v>
      </c>
      <c r="F3181">
        <v>490257768</v>
      </c>
      <c r="G3181">
        <v>389529329</v>
      </c>
      <c r="H3181">
        <v>185288572</v>
      </c>
      <c r="I3181">
        <v>212918673</v>
      </c>
      <c r="J3181">
        <v>197402285</v>
      </c>
      <c r="K3181">
        <v>178730556</v>
      </c>
      <c r="L3181">
        <v>154650937</v>
      </c>
      <c r="M3181">
        <v>245780874</v>
      </c>
      <c r="N3181">
        <v>204441590</v>
      </c>
      <c r="O3181">
        <v>173352629</v>
      </c>
      <c r="P3181">
        <v>209</v>
      </c>
      <c r="Q3181" t="s">
        <v>6703</v>
      </c>
    </row>
    <row r="3182" spans="1:17" x14ac:dyDescent="0.3">
      <c r="A3182" t="s">
        <v>4729</v>
      </c>
      <c r="B3182" t="str">
        <f>"002456"</f>
        <v>002456</v>
      </c>
      <c r="C3182" t="s">
        <v>6704</v>
      </c>
      <c r="D3182" t="s">
        <v>164</v>
      </c>
      <c r="F3182">
        <v>6414076914</v>
      </c>
      <c r="G3182">
        <v>11302305055</v>
      </c>
      <c r="H3182">
        <v>9967459595</v>
      </c>
      <c r="I3182">
        <v>7923143656</v>
      </c>
      <c r="J3182">
        <v>7506283781</v>
      </c>
      <c r="K3182">
        <v>7757932038</v>
      </c>
      <c r="L3182">
        <v>4904575312</v>
      </c>
      <c r="M3182">
        <v>3374019932</v>
      </c>
      <c r="N3182">
        <v>1911579803</v>
      </c>
      <c r="O3182">
        <v>1160970029</v>
      </c>
      <c r="P3182">
        <v>1607</v>
      </c>
      <c r="Q3182" t="s">
        <v>6705</v>
      </c>
    </row>
    <row r="3183" spans="1:17" x14ac:dyDescent="0.3">
      <c r="A3183" t="s">
        <v>4729</v>
      </c>
      <c r="B3183" t="str">
        <f>"002457"</f>
        <v>002457</v>
      </c>
      <c r="C3183" t="s">
        <v>6706</v>
      </c>
      <c r="D3183" t="s">
        <v>3347</v>
      </c>
      <c r="F3183">
        <v>1324190392</v>
      </c>
      <c r="G3183">
        <v>967214036</v>
      </c>
      <c r="H3183">
        <v>934157951</v>
      </c>
      <c r="I3183">
        <v>602290029</v>
      </c>
      <c r="J3183">
        <v>424939528</v>
      </c>
      <c r="K3183">
        <v>397698772</v>
      </c>
      <c r="L3183">
        <v>510928454</v>
      </c>
      <c r="M3183">
        <v>545779788</v>
      </c>
      <c r="N3183">
        <v>583617195</v>
      </c>
      <c r="O3183">
        <v>527716237</v>
      </c>
      <c r="P3183">
        <v>132</v>
      </c>
      <c r="Q3183" t="s">
        <v>6707</v>
      </c>
    </row>
    <row r="3184" spans="1:17" x14ac:dyDescent="0.3">
      <c r="A3184" t="s">
        <v>4729</v>
      </c>
      <c r="B3184" t="str">
        <f>"002458"</f>
        <v>002458</v>
      </c>
      <c r="C3184" t="s">
        <v>6708</v>
      </c>
      <c r="D3184" t="s">
        <v>6260</v>
      </c>
      <c r="F3184">
        <v>48671338</v>
      </c>
      <c r="G3184">
        <v>43328956</v>
      </c>
      <c r="H3184">
        <v>69955752</v>
      </c>
      <c r="I3184">
        <v>45415605</v>
      </c>
      <c r="J3184">
        <v>41930541</v>
      </c>
      <c r="K3184">
        <v>31854565</v>
      </c>
      <c r="L3184">
        <v>24682051</v>
      </c>
      <c r="M3184">
        <v>22513752</v>
      </c>
      <c r="N3184">
        <v>12064304</v>
      </c>
      <c r="O3184">
        <v>11455635</v>
      </c>
      <c r="P3184">
        <v>815</v>
      </c>
      <c r="Q3184" t="s">
        <v>6709</v>
      </c>
    </row>
    <row r="3185" spans="1:17" x14ac:dyDescent="0.3">
      <c r="A3185" t="s">
        <v>4729</v>
      </c>
      <c r="B3185" t="str">
        <f>"002459"</f>
        <v>002459</v>
      </c>
      <c r="C3185" t="s">
        <v>6710</v>
      </c>
      <c r="D3185" t="s">
        <v>356</v>
      </c>
      <c r="F3185">
        <v>5635006507</v>
      </c>
      <c r="G3185">
        <v>3511811345</v>
      </c>
      <c r="H3185">
        <v>3888704283</v>
      </c>
      <c r="I3185">
        <v>347413556</v>
      </c>
      <c r="J3185">
        <v>310381444</v>
      </c>
      <c r="K3185">
        <v>248672666</v>
      </c>
      <c r="L3185">
        <v>247609894</v>
      </c>
      <c r="M3185">
        <v>296474955</v>
      </c>
      <c r="N3185">
        <v>306948898</v>
      </c>
      <c r="O3185">
        <v>472502367</v>
      </c>
      <c r="P3185">
        <v>1227</v>
      </c>
      <c r="Q3185" t="s">
        <v>6711</v>
      </c>
    </row>
    <row r="3186" spans="1:17" x14ac:dyDescent="0.3">
      <c r="A3186" t="s">
        <v>4729</v>
      </c>
      <c r="B3186" t="str">
        <f>"002460"</f>
        <v>002460</v>
      </c>
      <c r="C3186" t="s">
        <v>6712</v>
      </c>
      <c r="D3186" t="s">
        <v>5371</v>
      </c>
      <c r="F3186">
        <v>2498631462</v>
      </c>
      <c r="G3186">
        <v>1358805454</v>
      </c>
      <c r="H3186">
        <v>915411443</v>
      </c>
      <c r="I3186">
        <v>1002137170</v>
      </c>
      <c r="J3186">
        <v>507581214</v>
      </c>
      <c r="K3186">
        <v>443726949</v>
      </c>
      <c r="L3186">
        <v>361370411</v>
      </c>
      <c r="M3186">
        <v>205556364</v>
      </c>
      <c r="N3186">
        <v>170046344</v>
      </c>
      <c r="O3186">
        <v>138908485</v>
      </c>
      <c r="P3186">
        <v>2486</v>
      </c>
      <c r="Q3186" t="s">
        <v>6713</v>
      </c>
    </row>
    <row r="3187" spans="1:17" x14ac:dyDescent="0.3">
      <c r="A3187" t="s">
        <v>4729</v>
      </c>
      <c r="B3187" t="str">
        <f>"002461"</f>
        <v>002461</v>
      </c>
      <c r="C3187" t="s">
        <v>6714</v>
      </c>
      <c r="D3187" t="s">
        <v>319</v>
      </c>
      <c r="F3187">
        <v>18247652</v>
      </c>
      <c r="G3187">
        <v>25529799</v>
      </c>
      <c r="H3187">
        <v>24150554</v>
      </c>
      <c r="I3187">
        <v>13771709</v>
      </c>
      <c r="J3187">
        <v>79578814</v>
      </c>
      <c r="K3187">
        <v>162148119</v>
      </c>
      <c r="L3187">
        <v>258890248</v>
      </c>
      <c r="M3187">
        <v>406594422</v>
      </c>
      <c r="N3187">
        <v>476818357</v>
      </c>
      <c r="O3187">
        <v>548883475</v>
      </c>
      <c r="P3187">
        <v>461</v>
      </c>
      <c r="Q3187" t="s">
        <v>6715</v>
      </c>
    </row>
    <row r="3188" spans="1:17" x14ac:dyDescent="0.3">
      <c r="A3188" t="s">
        <v>4729</v>
      </c>
      <c r="B3188" t="str">
        <f>"002462"</f>
        <v>002462</v>
      </c>
      <c r="C3188" t="s">
        <v>6716</v>
      </c>
      <c r="D3188" t="s">
        <v>125</v>
      </c>
      <c r="F3188">
        <v>7787339611</v>
      </c>
      <c r="G3188">
        <v>7648002240</v>
      </c>
      <c r="H3188">
        <v>6938116219</v>
      </c>
      <c r="I3188">
        <v>6226519766</v>
      </c>
      <c r="J3188">
        <v>5104577852</v>
      </c>
      <c r="K3188">
        <v>4079691980</v>
      </c>
      <c r="L3188">
        <v>3145312234</v>
      </c>
      <c r="M3188">
        <v>2324100058</v>
      </c>
      <c r="N3188">
        <v>1320974346</v>
      </c>
      <c r="O3188">
        <v>744432089</v>
      </c>
      <c r="P3188">
        <v>258</v>
      </c>
      <c r="Q3188" t="s">
        <v>6717</v>
      </c>
    </row>
    <row r="3189" spans="1:17" x14ac:dyDescent="0.3">
      <c r="A3189" t="s">
        <v>4729</v>
      </c>
      <c r="B3189" t="str">
        <f>"002463"</f>
        <v>002463</v>
      </c>
      <c r="C3189" t="s">
        <v>6718</v>
      </c>
      <c r="D3189" t="s">
        <v>425</v>
      </c>
      <c r="F3189">
        <v>1972863947</v>
      </c>
      <c r="G3189">
        <v>1687979811</v>
      </c>
      <c r="H3189">
        <v>1911914977</v>
      </c>
      <c r="I3189">
        <v>1562336638</v>
      </c>
      <c r="J3189">
        <v>1231679618</v>
      </c>
      <c r="K3189">
        <v>833590665</v>
      </c>
      <c r="L3189">
        <v>800671081</v>
      </c>
      <c r="M3189">
        <v>726698679</v>
      </c>
      <c r="N3189">
        <v>656535431</v>
      </c>
      <c r="O3189">
        <v>752111351</v>
      </c>
      <c r="P3189">
        <v>3004</v>
      </c>
      <c r="Q3189" t="s">
        <v>6719</v>
      </c>
    </row>
    <row r="3190" spans="1:17" x14ac:dyDescent="0.3">
      <c r="A3190" t="s">
        <v>4729</v>
      </c>
      <c r="B3190" t="str">
        <f>"002464"</f>
        <v>002464</v>
      </c>
      <c r="C3190" t="s">
        <v>6720</v>
      </c>
      <c r="D3190" t="s">
        <v>517</v>
      </c>
      <c r="F3190">
        <v>24014910</v>
      </c>
      <c r="G3190">
        <v>74708170</v>
      </c>
      <c r="H3190">
        <v>145776096</v>
      </c>
      <c r="I3190">
        <v>148027896</v>
      </c>
      <c r="J3190">
        <v>135436384</v>
      </c>
      <c r="K3190">
        <v>79685059</v>
      </c>
      <c r="L3190">
        <v>123147170</v>
      </c>
      <c r="M3190">
        <v>115569235</v>
      </c>
      <c r="N3190">
        <v>95358156</v>
      </c>
      <c r="O3190">
        <v>73648885</v>
      </c>
      <c r="P3190">
        <v>110</v>
      </c>
      <c r="Q3190" t="s">
        <v>6721</v>
      </c>
    </row>
    <row r="3191" spans="1:17" x14ac:dyDescent="0.3">
      <c r="A3191" t="s">
        <v>4729</v>
      </c>
      <c r="B3191" t="str">
        <f>"002465"</f>
        <v>002465</v>
      </c>
      <c r="C3191" t="s">
        <v>6722</v>
      </c>
      <c r="D3191" t="s">
        <v>1136</v>
      </c>
      <c r="F3191">
        <v>2708530605</v>
      </c>
      <c r="G3191">
        <v>2558804842</v>
      </c>
      <c r="H3191">
        <v>2511223379</v>
      </c>
      <c r="I3191">
        <v>2415718272</v>
      </c>
      <c r="J3191">
        <v>2392934804</v>
      </c>
      <c r="K3191">
        <v>2447800213</v>
      </c>
      <c r="L3191">
        <v>1755788731</v>
      </c>
      <c r="M3191">
        <v>1566215554</v>
      </c>
      <c r="N3191">
        <v>951780609</v>
      </c>
      <c r="O3191">
        <v>572650548</v>
      </c>
      <c r="P3191">
        <v>544</v>
      </c>
      <c r="Q3191" t="s">
        <v>6723</v>
      </c>
    </row>
    <row r="3192" spans="1:17" x14ac:dyDescent="0.3">
      <c r="A3192" t="s">
        <v>4729</v>
      </c>
      <c r="B3192" t="str">
        <f>"002466"</f>
        <v>002466</v>
      </c>
      <c r="C3192" t="s">
        <v>6724</v>
      </c>
      <c r="D3192" t="s">
        <v>5371</v>
      </c>
      <c r="F3192">
        <v>648018899</v>
      </c>
      <c r="G3192">
        <v>232744057</v>
      </c>
      <c r="H3192">
        <v>351707107</v>
      </c>
      <c r="I3192">
        <v>578417674</v>
      </c>
      <c r="J3192">
        <v>324255697</v>
      </c>
      <c r="K3192">
        <v>208906621</v>
      </c>
      <c r="L3192">
        <v>32433951</v>
      </c>
      <c r="M3192">
        <v>163394766</v>
      </c>
      <c r="N3192">
        <v>35603518</v>
      </c>
      <c r="O3192">
        <v>26030998</v>
      </c>
      <c r="P3192">
        <v>2365</v>
      </c>
      <c r="Q3192" t="s">
        <v>6725</v>
      </c>
    </row>
    <row r="3193" spans="1:17" x14ac:dyDescent="0.3">
      <c r="A3193" t="s">
        <v>4729</v>
      </c>
      <c r="B3193" t="str">
        <f>"002467"</f>
        <v>002467</v>
      </c>
      <c r="C3193" t="s">
        <v>6726</v>
      </c>
      <c r="D3193" t="s">
        <v>5670</v>
      </c>
      <c r="F3193">
        <v>63127714</v>
      </c>
      <c r="G3193">
        <v>74084693</v>
      </c>
      <c r="H3193">
        <v>140033209</v>
      </c>
      <c r="I3193">
        <v>130236000</v>
      </c>
      <c r="J3193">
        <v>63520153</v>
      </c>
      <c r="K3193">
        <v>96627207</v>
      </c>
      <c r="L3193">
        <v>65360942</v>
      </c>
      <c r="M3193">
        <v>48448631</v>
      </c>
      <c r="N3193">
        <v>43887237</v>
      </c>
      <c r="O3193">
        <v>47211828</v>
      </c>
      <c r="P3193">
        <v>200</v>
      </c>
      <c r="Q3193" t="s">
        <v>6727</v>
      </c>
    </row>
    <row r="3194" spans="1:17" x14ac:dyDescent="0.3">
      <c r="A3194" t="s">
        <v>4729</v>
      </c>
      <c r="B3194" t="str">
        <f>"002468"</f>
        <v>002468</v>
      </c>
      <c r="C3194" t="s">
        <v>6728</v>
      </c>
      <c r="D3194" t="s">
        <v>537</v>
      </c>
      <c r="F3194">
        <v>850718390</v>
      </c>
      <c r="G3194">
        <v>957754031</v>
      </c>
      <c r="H3194">
        <v>862822512</v>
      </c>
      <c r="I3194">
        <v>1031136587</v>
      </c>
      <c r="J3194">
        <v>710106963</v>
      </c>
      <c r="K3194">
        <v>655671437</v>
      </c>
      <c r="L3194">
        <v>267154458</v>
      </c>
      <c r="M3194">
        <v>339449567</v>
      </c>
      <c r="N3194">
        <v>291414885</v>
      </c>
      <c r="O3194">
        <v>292200428</v>
      </c>
      <c r="P3194">
        <v>638</v>
      </c>
      <c r="Q3194" t="s">
        <v>6729</v>
      </c>
    </row>
    <row r="3195" spans="1:17" x14ac:dyDescent="0.3">
      <c r="A3195" t="s">
        <v>4729</v>
      </c>
      <c r="B3195" t="str">
        <f>"002469"</f>
        <v>002469</v>
      </c>
      <c r="C3195" t="s">
        <v>6730</v>
      </c>
      <c r="D3195" t="s">
        <v>2025</v>
      </c>
      <c r="F3195">
        <v>393399833</v>
      </c>
      <c r="G3195">
        <v>353364738</v>
      </c>
      <c r="H3195">
        <v>416533559</v>
      </c>
      <c r="I3195">
        <v>410962469</v>
      </c>
      <c r="J3195">
        <v>514481945</v>
      </c>
      <c r="K3195">
        <v>399196373</v>
      </c>
      <c r="L3195">
        <v>435186499</v>
      </c>
      <c r="M3195">
        <v>706383643</v>
      </c>
      <c r="N3195">
        <v>275199558</v>
      </c>
      <c r="O3195">
        <v>247875323</v>
      </c>
      <c r="P3195">
        <v>126</v>
      </c>
      <c r="Q3195" t="s">
        <v>6731</v>
      </c>
    </row>
    <row r="3196" spans="1:17" x14ac:dyDescent="0.3">
      <c r="A3196" t="s">
        <v>4729</v>
      </c>
      <c r="B3196" t="str">
        <f>"002470"</f>
        <v>002470</v>
      </c>
      <c r="C3196" t="s">
        <v>6732</v>
      </c>
      <c r="D3196" t="s">
        <v>5562</v>
      </c>
      <c r="F3196">
        <v>526238205</v>
      </c>
      <c r="G3196">
        <v>687817989</v>
      </c>
      <c r="H3196">
        <v>894158576</v>
      </c>
      <c r="I3196">
        <v>566675129</v>
      </c>
      <c r="J3196">
        <v>262673307</v>
      </c>
      <c r="K3196">
        <v>240281128</v>
      </c>
      <c r="L3196">
        <v>345434414</v>
      </c>
      <c r="M3196">
        <v>17246043</v>
      </c>
      <c r="N3196">
        <v>4077530</v>
      </c>
      <c r="O3196">
        <v>0</v>
      </c>
      <c r="P3196">
        <v>4918</v>
      </c>
      <c r="Q3196" t="s">
        <v>6733</v>
      </c>
    </row>
    <row r="3197" spans="1:17" x14ac:dyDescent="0.3">
      <c r="A3197" t="s">
        <v>4729</v>
      </c>
      <c r="B3197" t="str">
        <f>"002471"</f>
        <v>002471</v>
      </c>
      <c r="C3197" t="s">
        <v>6734</v>
      </c>
      <c r="D3197" t="s">
        <v>1164</v>
      </c>
      <c r="F3197">
        <v>2933807655</v>
      </c>
      <c r="G3197">
        <v>2311259316</v>
      </c>
      <c r="H3197">
        <v>2505930902</v>
      </c>
      <c r="I3197">
        <v>3210873166</v>
      </c>
      <c r="J3197">
        <v>3523007072</v>
      </c>
      <c r="K3197">
        <v>3019470502</v>
      </c>
      <c r="L3197">
        <v>2934801982</v>
      </c>
      <c r="M3197">
        <v>2245533044</v>
      </c>
      <c r="N3197">
        <v>2067598908</v>
      </c>
      <c r="O3197">
        <v>1516204533</v>
      </c>
      <c r="P3197">
        <v>92</v>
      </c>
      <c r="Q3197" t="s">
        <v>6735</v>
      </c>
    </row>
    <row r="3198" spans="1:17" x14ac:dyDescent="0.3">
      <c r="A3198" t="s">
        <v>4729</v>
      </c>
      <c r="B3198" t="str">
        <f>"002472"</f>
        <v>002472</v>
      </c>
      <c r="C3198" t="s">
        <v>6736</v>
      </c>
      <c r="D3198" t="s">
        <v>348</v>
      </c>
      <c r="F3198">
        <v>1288838391</v>
      </c>
      <c r="G3198">
        <v>1027197492</v>
      </c>
      <c r="H3198">
        <v>826552103</v>
      </c>
      <c r="I3198">
        <v>685079881</v>
      </c>
      <c r="J3198">
        <v>595966042</v>
      </c>
      <c r="K3198">
        <v>413771475</v>
      </c>
      <c r="L3198">
        <v>351664299</v>
      </c>
      <c r="M3198">
        <v>308425864</v>
      </c>
      <c r="N3198">
        <v>214001664</v>
      </c>
      <c r="O3198">
        <v>178393169</v>
      </c>
      <c r="P3198">
        <v>258</v>
      </c>
      <c r="Q3198" t="s">
        <v>6737</v>
      </c>
    </row>
    <row r="3199" spans="1:17" x14ac:dyDescent="0.3">
      <c r="A3199" t="s">
        <v>4729</v>
      </c>
      <c r="B3199" t="str">
        <f>"002473"</f>
        <v>002473</v>
      </c>
      <c r="C3199" t="s">
        <v>6738</v>
      </c>
      <c r="D3199" t="s">
        <v>5799</v>
      </c>
      <c r="F3199">
        <v>88728588</v>
      </c>
      <c r="G3199">
        <v>2019777</v>
      </c>
      <c r="H3199">
        <v>46293048</v>
      </c>
      <c r="I3199">
        <v>44248676</v>
      </c>
      <c r="J3199">
        <v>25154371</v>
      </c>
      <c r="K3199">
        <v>29010785</v>
      </c>
      <c r="L3199">
        <v>26675534</v>
      </c>
      <c r="M3199">
        <v>32249393</v>
      </c>
      <c r="N3199">
        <v>35236186</v>
      </c>
      <c r="O3199">
        <v>44034713</v>
      </c>
      <c r="P3199">
        <v>61</v>
      </c>
      <c r="Q3199" t="s">
        <v>6739</v>
      </c>
    </row>
    <row r="3200" spans="1:17" x14ac:dyDescent="0.3">
      <c r="A3200" t="s">
        <v>4729</v>
      </c>
      <c r="B3200" t="str">
        <f>"002474"</f>
        <v>002474</v>
      </c>
      <c r="C3200" t="s">
        <v>6740</v>
      </c>
      <c r="D3200" t="s">
        <v>316</v>
      </c>
      <c r="F3200">
        <v>152847521</v>
      </c>
      <c r="G3200">
        <v>158692075</v>
      </c>
      <c r="H3200">
        <v>176705676</v>
      </c>
      <c r="I3200">
        <v>176359423</v>
      </c>
      <c r="J3200">
        <v>119355007</v>
      </c>
      <c r="K3200">
        <v>116052904</v>
      </c>
      <c r="L3200">
        <v>82626851</v>
      </c>
      <c r="M3200">
        <v>74951370</v>
      </c>
      <c r="N3200">
        <v>58639309</v>
      </c>
      <c r="O3200">
        <v>46093816</v>
      </c>
      <c r="P3200">
        <v>180</v>
      </c>
      <c r="Q3200" t="s">
        <v>6741</v>
      </c>
    </row>
    <row r="3201" spans="1:17" x14ac:dyDescent="0.3">
      <c r="A3201" t="s">
        <v>4729</v>
      </c>
      <c r="B3201" t="str">
        <f>"002475"</f>
        <v>002475</v>
      </c>
      <c r="C3201" t="s">
        <v>6742</v>
      </c>
      <c r="D3201" t="s">
        <v>313</v>
      </c>
      <c r="F3201">
        <v>31623185946</v>
      </c>
      <c r="G3201">
        <v>13839155340</v>
      </c>
      <c r="H3201">
        <v>13243625572</v>
      </c>
      <c r="I3201">
        <v>11131003920</v>
      </c>
      <c r="J3201">
        <v>7080023665</v>
      </c>
      <c r="K3201">
        <v>4720842808</v>
      </c>
      <c r="L3201">
        <v>2901097341</v>
      </c>
      <c r="M3201">
        <v>2240943340</v>
      </c>
      <c r="N3201">
        <v>1705744952</v>
      </c>
      <c r="O3201">
        <v>1157121026</v>
      </c>
      <c r="P3201">
        <v>5894</v>
      </c>
      <c r="Q3201" t="s">
        <v>6743</v>
      </c>
    </row>
    <row r="3202" spans="1:17" x14ac:dyDescent="0.3">
      <c r="A3202" t="s">
        <v>4729</v>
      </c>
      <c r="B3202" t="str">
        <f>"002476"</f>
        <v>002476</v>
      </c>
      <c r="C3202" t="s">
        <v>6744</v>
      </c>
      <c r="D3202" t="s">
        <v>1617</v>
      </c>
      <c r="F3202">
        <v>63108706</v>
      </c>
      <c r="G3202">
        <v>57282808</v>
      </c>
      <c r="H3202">
        <v>31758459</v>
      </c>
      <c r="I3202">
        <v>59429839</v>
      </c>
      <c r="J3202">
        <v>130271621</v>
      </c>
      <c r="K3202">
        <v>309687673</v>
      </c>
      <c r="L3202">
        <v>468206999</v>
      </c>
      <c r="M3202">
        <v>389571316</v>
      </c>
      <c r="N3202">
        <v>219819124</v>
      </c>
      <c r="O3202">
        <v>141178275</v>
      </c>
      <c r="P3202">
        <v>85</v>
      </c>
      <c r="Q3202" t="s">
        <v>6745</v>
      </c>
    </row>
    <row r="3203" spans="1:17" x14ac:dyDescent="0.3">
      <c r="A3203" t="s">
        <v>4729</v>
      </c>
      <c r="B3203" t="str">
        <f>"002477"</f>
        <v>002477</v>
      </c>
      <c r="C3203" t="s">
        <v>6746</v>
      </c>
      <c r="I3203">
        <v>678067573</v>
      </c>
      <c r="J3203">
        <v>405530896</v>
      </c>
      <c r="K3203">
        <v>468899367</v>
      </c>
      <c r="L3203">
        <v>222981211</v>
      </c>
      <c r="M3203">
        <v>154229282</v>
      </c>
      <c r="N3203">
        <v>60400725</v>
      </c>
      <c r="O3203">
        <v>64126601</v>
      </c>
      <c r="P3203">
        <v>126</v>
      </c>
      <c r="Q3203" t="s">
        <v>6747</v>
      </c>
    </row>
    <row r="3204" spans="1:17" x14ac:dyDescent="0.3">
      <c r="A3204" t="s">
        <v>4729</v>
      </c>
      <c r="B3204" t="str">
        <f>"002478"</f>
        <v>002478</v>
      </c>
      <c r="C3204" t="s">
        <v>6748</v>
      </c>
      <c r="D3204" t="s">
        <v>281</v>
      </c>
      <c r="F3204">
        <v>605392813</v>
      </c>
      <c r="G3204">
        <v>446979875</v>
      </c>
      <c r="H3204">
        <v>613359039</v>
      </c>
      <c r="I3204">
        <v>691737381</v>
      </c>
      <c r="J3204">
        <v>505133807</v>
      </c>
      <c r="K3204">
        <v>443859980</v>
      </c>
      <c r="L3204">
        <v>568528349</v>
      </c>
      <c r="M3204">
        <v>452721786</v>
      </c>
      <c r="N3204">
        <v>616628628</v>
      </c>
      <c r="O3204">
        <v>365659600</v>
      </c>
      <c r="P3204">
        <v>208</v>
      </c>
      <c r="Q3204" t="s">
        <v>6749</v>
      </c>
    </row>
    <row r="3205" spans="1:17" x14ac:dyDescent="0.3">
      <c r="A3205" t="s">
        <v>4729</v>
      </c>
      <c r="B3205" t="str">
        <f>"002479"</f>
        <v>002479</v>
      </c>
      <c r="C3205" t="s">
        <v>6750</v>
      </c>
      <c r="D3205" t="s">
        <v>351</v>
      </c>
      <c r="F3205">
        <v>244159564</v>
      </c>
      <c r="G3205">
        <v>344072448</v>
      </c>
      <c r="H3205">
        <v>519427352</v>
      </c>
      <c r="I3205">
        <v>240650767</v>
      </c>
      <c r="J3205">
        <v>265145326</v>
      </c>
      <c r="K3205">
        <v>323072085</v>
      </c>
      <c r="L3205">
        <v>325375044</v>
      </c>
      <c r="M3205">
        <v>353630238</v>
      </c>
      <c r="N3205">
        <v>275789517</v>
      </c>
      <c r="O3205">
        <v>225879981</v>
      </c>
      <c r="P3205">
        <v>158</v>
      </c>
      <c r="Q3205" t="s">
        <v>6751</v>
      </c>
    </row>
    <row r="3206" spans="1:17" x14ac:dyDescent="0.3">
      <c r="A3206" t="s">
        <v>4729</v>
      </c>
      <c r="B3206" t="str">
        <f>"002480"</f>
        <v>002480</v>
      </c>
      <c r="C3206" t="s">
        <v>6752</v>
      </c>
      <c r="D3206" t="s">
        <v>274</v>
      </c>
      <c r="F3206">
        <v>656703697</v>
      </c>
      <c r="G3206">
        <v>365167417</v>
      </c>
      <c r="H3206">
        <v>1409042099</v>
      </c>
      <c r="I3206">
        <v>1628901842</v>
      </c>
      <c r="J3206">
        <v>1163221438</v>
      </c>
      <c r="K3206">
        <v>919639254</v>
      </c>
      <c r="L3206">
        <v>1083263678</v>
      </c>
      <c r="M3206">
        <v>1013807610</v>
      </c>
      <c r="N3206">
        <v>884152763</v>
      </c>
      <c r="O3206">
        <v>604011030</v>
      </c>
      <c r="P3206">
        <v>107</v>
      </c>
      <c r="Q3206" t="s">
        <v>6753</v>
      </c>
    </row>
    <row r="3207" spans="1:17" x14ac:dyDescent="0.3">
      <c r="A3207" t="s">
        <v>4729</v>
      </c>
      <c r="B3207" t="str">
        <f>"002481"</f>
        <v>002481</v>
      </c>
      <c r="C3207" t="s">
        <v>6754</v>
      </c>
      <c r="D3207" t="s">
        <v>445</v>
      </c>
      <c r="F3207">
        <v>261911476</v>
      </c>
      <c r="G3207">
        <v>169376664</v>
      </c>
      <c r="H3207">
        <v>167448344</v>
      </c>
      <c r="I3207">
        <v>183069671</v>
      </c>
      <c r="J3207">
        <v>198199482</v>
      </c>
      <c r="K3207">
        <v>225667045</v>
      </c>
      <c r="L3207">
        <v>203183573</v>
      </c>
      <c r="M3207">
        <v>95171395</v>
      </c>
      <c r="N3207">
        <v>71050997</v>
      </c>
      <c r="O3207">
        <v>68195661</v>
      </c>
      <c r="P3207">
        <v>331</v>
      </c>
      <c r="Q3207" t="s">
        <v>6755</v>
      </c>
    </row>
    <row r="3208" spans="1:17" x14ac:dyDescent="0.3">
      <c r="A3208" t="s">
        <v>4729</v>
      </c>
      <c r="B3208" t="str">
        <f>"002482"</f>
        <v>002482</v>
      </c>
      <c r="C3208" t="s">
        <v>6756</v>
      </c>
      <c r="D3208" t="s">
        <v>450</v>
      </c>
      <c r="F3208">
        <v>4910820824</v>
      </c>
      <c r="G3208">
        <v>5331087824</v>
      </c>
      <c r="H3208">
        <v>12272492051</v>
      </c>
      <c r="I3208">
        <v>10009875528</v>
      </c>
      <c r="J3208">
        <v>7999498264</v>
      </c>
      <c r="K3208">
        <v>9679690213</v>
      </c>
      <c r="L3208">
        <v>6906401403</v>
      </c>
      <c r="M3208">
        <v>6685909735</v>
      </c>
      <c r="N3208">
        <v>4470707125</v>
      </c>
      <c r="O3208">
        <v>3118619165</v>
      </c>
      <c r="P3208">
        <v>112</v>
      </c>
      <c r="Q3208" t="s">
        <v>6757</v>
      </c>
    </row>
    <row r="3209" spans="1:17" x14ac:dyDescent="0.3">
      <c r="A3209" t="s">
        <v>4729</v>
      </c>
      <c r="B3209" t="str">
        <f>"002483"</f>
        <v>002483</v>
      </c>
      <c r="C3209" t="s">
        <v>6758</v>
      </c>
      <c r="D3209" t="s">
        <v>395</v>
      </c>
      <c r="F3209">
        <v>813750221</v>
      </c>
      <c r="G3209">
        <v>487650797</v>
      </c>
      <c r="H3209">
        <v>406766446</v>
      </c>
      <c r="I3209">
        <v>250856374</v>
      </c>
      <c r="J3209">
        <v>265588613</v>
      </c>
      <c r="K3209">
        <v>300408096</v>
      </c>
      <c r="L3209">
        <v>191442697</v>
      </c>
      <c r="M3209">
        <v>286115241</v>
      </c>
      <c r="N3209">
        <v>247366988</v>
      </c>
      <c r="O3209">
        <v>117668921</v>
      </c>
      <c r="P3209">
        <v>93</v>
      </c>
      <c r="Q3209" t="s">
        <v>6759</v>
      </c>
    </row>
    <row r="3210" spans="1:17" x14ac:dyDescent="0.3">
      <c r="A3210" t="s">
        <v>4729</v>
      </c>
      <c r="B3210" t="str">
        <f>"002484"</f>
        <v>002484</v>
      </c>
      <c r="C3210" t="s">
        <v>6760</v>
      </c>
      <c r="D3210" t="s">
        <v>546</v>
      </c>
      <c r="F3210">
        <v>1067333547</v>
      </c>
      <c r="G3210">
        <v>941022744</v>
      </c>
      <c r="H3210">
        <v>766166293</v>
      </c>
      <c r="I3210">
        <v>593737739</v>
      </c>
      <c r="J3210">
        <v>498277878</v>
      </c>
      <c r="K3210">
        <v>423494067</v>
      </c>
      <c r="L3210">
        <v>363142072</v>
      </c>
      <c r="M3210">
        <v>314560489</v>
      </c>
      <c r="N3210">
        <v>289561150</v>
      </c>
      <c r="O3210">
        <v>261481432</v>
      </c>
      <c r="P3210">
        <v>311</v>
      </c>
      <c r="Q3210" t="s">
        <v>6761</v>
      </c>
    </row>
    <row r="3211" spans="1:17" x14ac:dyDescent="0.3">
      <c r="A3211" t="s">
        <v>4729</v>
      </c>
      <c r="B3211" t="str">
        <f>"002485"</f>
        <v>002485</v>
      </c>
      <c r="C3211" t="s">
        <v>6762</v>
      </c>
      <c r="D3211" t="s">
        <v>255</v>
      </c>
      <c r="F3211">
        <v>188359576</v>
      </c>
      <c r="G3211">
        <v>288628581</v>
      </c>
      <c r="H3211">
        <v>444405037</v>
      </c>
      <c r="I3211">
        <v>280284860</v>
      </c>
      <c r="J3211">
        <v>328042581</v>
      </c>
      <c r="K3211">
        <v>324884715</v>
      </c>
      <c r="L3211">
        <v>440988070</v>
      </c>
      <c r="M3211">
        <v>498243589</v>
      </c>
      <c r="N3211">
        <v>487869940</v>
      </c>
      <c r="O3211">
        <v>299105940</v>
      </c>
      <c r="P3211">
        <v>80</v>
      </c>
      <c r="Q3211" t="s">
        <v>6763</v>
      </c>
    </row>
    <row r="3212" spans="1:17" x14ac:dyDescent="0.3">
      <c r="A3212" t="s">
        <v>4729</v>
      </c>
      <c r="B3212" t="str">
        <f>"002486"</f>
        <v>002486</v>
      </c>
      <c r="C3212" t="s">
        <v>6764</v>
      </c>
      <c r="D3212" t="s">
        <v>366</v>
      </c>
      <c r="F3212">
        <v>173088989</v>
      </c>
      <c r="G3212">
        <v>188079261</v>
      </c>
      <c r="H3212">
        <v>221696558</v>
      </c>
      <c r="I3212">
        <v>106140513</v>
      </c>
      <c r="J3212">
        <v>102133009</v>
      </c>
      <c r="K3212">
        <v>124993216</v>
      </c>
      <c r="L3212">
        <v>130087622</v>
      </c>
      <c r="M3212">
        <v>131579732</v>
      </c>
      <c r="N3212">
        <v>96308983</v>
      </c>
      <c r="O3212">
        <v>66689273</v>
      </c>
      <c r="P3212">
        <v>88</v>
      </c>
      <c r="Q3212" t="s">
        <v>6765</v>
      </c>
    </row>
    <row r="3213" spans="1:17" x14ac:dyDescent="0.3">
      <c r="A3213" t="s">
        <v>4729</v>
      </c>
      <c r="B3213" t="str">
        <f>"002487"</f>
        <v>002487</v>
      </c>
      <c r="C3213" t="s">
        <v>6766</v>
      </c>
      <c r="D3213" t="s">
        <v>950</v>
      </c>
      <c r="F3213">
        <v>1117328903</v>
      </c>
      <c r="G3213">
        <v>814558480</v>
      </c>
      <c r="H3213">
        <v>470455919</v>
      </c>
      <c r="I3213">
        <v>521207640</v>
      </c>
      <c r="J3213">
        <v>668677229</v>
      </c>
      <c r="K3213">
        <v>538610088</v>
      </c>
      <c r="L3213">
        <v>414499474</v>
      </c>
      <c r="M3213">
        <v>261453184</v>
      </c>
      <c r="N3213">
        <v>283492007</v>
      </c>
      <c r="O3213">
        <v>299682256</v>
      </c>
      <c r="P3213">
        <v>248</v>
      </c>
      <c r="Q3213" t="s">
        <v>6767</v>
      </c>
    </row>
    <row r="3214" spans="1:17" x14ac:dyDescent="0.3">
      <c r="A3214" t="s">
        <v>4729</v>
      </c>
      <c r="B3214" t="str">
        <f>"002488"</f>
        <v>002488</v>
      </c>
      <c r="C3214" t="s">
        <v>6768</v>
      </c>
      <c r="D3214" t="s">
        <v>422</v>
      </c>
      <c r="F3214">
        <v>411867125</v>
      </c>
      <c r="G3214">
        <v>544559317</v>
      </c>
      <c r="H3214">
        <v>416193665</v>
      </c>
      <c r="I3214">
        <v>325055173</v>
      </c>
      <c r="J3214">
        <v>316258720</v>
      </c>
      <c r="K3214">
        <v>225415326</v>
      </c>
      <c r="L3214">
        <v>236368780</v>
      </c>
      <c r="M3214">
        <v>185061322</v>
      </c>
      <c r="N3214">
        <v>185086972</v>
      </c>
      <c r="O3214">
        <v>158490097</v>
      </c>
      <c r="P3214">
        <v>152</v>
      </c>
      <c r="Q3214" t="s">
        <v>6769</v>
      </c>
    </row>
    <row r="3215" spans="1:17" x14ac:dyDescent="0.3">
      <c r="A3215" t="s">
        <v>4729</v>
      </c>
      <c r="B3215" t="str">
        <f>"002489"</f>
        <v>002489</v>
      </c>
      <c r="C3215" t="s">
        <v>6770</v>
      </c>
      <c r="D3215" t="s">
        <v>757</v>
      </c>
      <c r="F3215">
        <v>2225688061</v>
      </c>
      <c r="G3215">
        <v>1285994692</v>
      </c>
      <c r="H3215">
        <v>1188749029</v>
      </c>
      <c r="I3215">
        <v>1218264106</v>
      </c>
      <c r="J3215">
        <v>1006250627</v>
      </c>
      <c r="K3215">
        <v>836584810</v>
      </c>
      <c r="L3215">
        <v>845297206</v>
      </c>
      <c r="M3215">
        <v>786411582</v>
      </c>
      <c r="N3215">
        <v>563451535</v>
      </c>
      <c r="O3215">
        <v>627596744</v>
      </c>
      <c r="P3215">
        <v>206</v>
      </c>
      <c r="Q3215" t="s">
        <v>6771</v>
      </c>
    </row>
    <row r="3216" spans="1:17" x14ac:dyDescent="0.3">
      <c r="A3216" t="s">
        <v>4729</v>
      </c>
      <c r="B3216" t="str">
        <f>"002490"</f>
        <v>002490</v>
      </c>
      <c r="C3216" t="s">
        <v>6772</v>
      </c>
      <c r="D3216" t="s">
        <v>395</v>
      </c>
      <c r="F3216">
        <v>299530976</v>
      </c>
      <c r="G3216">
        <v>287920595</v>
      </c>
      <c r="H3216">
        <v>507559025</v>
      </c>
      <c r="I3216">
        <v>536199940</v>
      </c>
      <c r="J3216">
        <v>378729616</v>
      </c>
      <c r="K3216">
        <v>304148615</v>
      </c>
      <c r="L3216">
        <v>497239999</v>
      </c>
      <c r="M3216">
        <v>608640410</v>
      </c>
      <c r="N3216">
        <v>563772597</v>
      </c>
      <c r="O3216">
        <v>455105433</v>
      </c>
      <c r="P3216">
        <v>82</v>
      </c>
      <c r="Q3216" t="s">
        <v>6773</v>
      </c>
    </row>
    <row r="3217" spans="1:17" x14ac:dyDescent="0.3">
      <c r="A3217" t="s">
        <v>4729</v>
      </c>
      <c r="B3217" t="str">
        <f>"002491"</f>
        <v>002491</v>
      </c>
      <c r="C3217" t="s">
        <v>6774</v>
      </c>
      <c r="D3217" t="s">
        <v>250</v>
      </c>
      <c r="F3217">
        <v>960366843</v>
      </c>
      <c r="G3217">
        <v>1270368001</v>
      </c>
      <c r="H3217">
        <v>1393109039</v>
      </c>
      <c r="I3217">
        <v>1865127351</v>
      </c>
      <c r="J3217">
        <v>1740345093</v>
      </c>
      <c r="K3217">
        <v>1525055131</v>
      </c>
      <c r="L3217">
        <v>1165042537</v>
      </c>
      <c r="M3217">
        <v>1025070150</v>
      </c>
      <c r="N3217">
        <v>888898583</v>
      </c>
      <c r="O3217">
        <v>622008871</v>
      </c>
      <c r="P3217">
        <v>214</v>
      </c>
      <c r="Q3217" t="s">
        <v>6775</v>
      </c>
    </row>
    <row r="3218" spans="1:17" x14ac:dyDescent="0.3">
      <c r="A3218" t="s">
        <v>4729</v>
      </c>
      <c r="B3218" t="str">
        <f>"002492"</f>
        <v>002492</v>
      </c>
      <c r="C3218" t="s">
        <v>6776</v>
      </c>
      <c r="D3218" t="s">
        <v>1592</v>
      </c>
      <c r="F3218">
        <v>72472240</v>
      </c>
      <c r="G3218">
        <v>37465001</v>
      </c>
      <c r="H3218">
        <v>99035345</v>
      </c>
      <c r="I3218">
        <v>48569318</v>
      </c>
      <c r="J3218">
        <v>72546300</v>
      </c>
      <c r="K3218">
        <v>31989861</v>
      </c>
      <c r="L3218">
        <v>43861054</v>
      </c>
      <c r="M3218">
        <v>47252558</v>
      </c>
      <c r="N3218">
        <v>23454955</v>
      </c>
      <c r="O3218">
        <v>28230314</v>
      </c>
      <c r="P3218">
        <v>94</v>
      </c>
      <c r="Q3218" t="s">
        <v>6777</v>
      </c>
    </row>
    <row r="3219" spans="1:17" x14ac:dyDescent="0.3">
      <c r="A3219" t="s">
        <v>4729</v>
      </c>
      <c r="B3219" t="str">
        <f>"002493"</f>
        <v>002493</v>
      </c>
      <c r="C3219" t="s">
        <v>6778</v>
      </c>
      <c r="D3219" t="s">
        <v>74</v>
      </c>
      <c r="F3219">
        <v>5411114000</v>
      </c>
      <c r="G3219">
        <v>1349670165</v>
      </c>
      <c r="H3219">
        <v>2048931233</v>
      </c>
      <c r="I3219">
        <v>1914649731</v>
      </c>
      <c r="J3219">
        <v>617168278</v>
      </c>
      <c r="K3219">
        <v>440940381</v>
      </c>
      <c r="L3219">
        <v>347917046</v>
      </c>
      <c r="M3219">
        <v>152395728</v>
      </c>
      <c r="N3219">
        <v>610698628</v>
      </c>
      <c r="O3219">
        <v>367369188</v>
      </c>
      <c r="P3219">
        <v>852</v>
      </c>
      <c r="Q3219" t="s">
        <v>6779</v>
      </c>
    </row>
    <row r="3220" spans="1:17" x14ac:dyDescent="0.3">
      <c r="A3220" t="s">
        <v>4729</v>
      </c>
      <c r="B3220" t="str">
        <f>"002494"</f>
        <v>002494</v>
      </c>
      <c r="C3220" t="s">
        <v>6780</v>
      </c>
      <c r="D3220" t="s">
        <v>255</v>
      </c>
      <c r="F3220">
        <v>54326269</v>
      </c>
      <c r="G3220">
        <v>52699458</v>
      </c>
      <c r="H3220">
        <v>92481015</v>
      </c>
      <c r="I3220">
        <v>114925357</v>
      </c>
      <c r="J3220">
        <v>127379112</v>
      </c>
      <c r="K3220">
        <v>97103692</v>
      </c>
      <c r="L3220">
        <v>115311012</v>
      </c>
      <c r="M3220">
        <v>133164265</v>
      </c>
      <c r="N3220">
        <v>57547088</v>
      </c>
      <c r="O3220">
        <v>31259563</v>
      </c>
      <c r="P3220">
        <v>81</v>
      </c>
      <c r="Q3220" t="s">
        <v>6781</v>
      </c>
    </row>
    <row r="3221" spans="1:17" x14ac:dyDescent="0.3">
      <c r="A3221" t="s">
        <v>4729</v>
      </c>
      <c r="B3221" t="str">
        <f>"002495"</f>
        <v>002495</v>
      </c>
      <c r="C3221" t="s">
        <v>6782</v>
      </c>
      <c r="D3221" t="s">
        <v>433</v>
      </c>
      <c r="F3221">
        <v>2951237</v>
      </c>
      <c r="G3221">
        <v>18129826</v>
      </c>
      <c r="H3221">
        <v>4986607</v>
      </c>
      <c r="I3221">
        <v>5044541</v>
      </c>
      <c r="J3221">
        <v>8642018</v>
      </c>
      <c r="K3221">
        <v>10234602</v>
      </c>
      <c r="L3221">
        <v>7873163</v>
      </c>
      <c r="M3221">
        <v>37256717</v>
      </c>
      <c r="N3221">
        <v>58931512</v>
      </c>
      <c r="O3221">
        <v>65830438</v>
      </c>
      <c r="P3221">
        <v>113</v>
      </c>
      <c r="Q3221" t="s">
        <v>6783</v>
      </c>
    </row>
    <row r="3222" spans="1:17" x14ac:dyDescent="0.3">
      <c r="A3222" t="s">
        <v>4729</v>
      </c>
      <c r="B3222" t="str">
        <f>"002496"</f>
        <v>002496</v>
      </c>
      <c r="C3222" t="s">
        <v>6784</v>
      </c>
      <c r="D3222" t="s">
        <v>853</v>
      </c>
      <c r="F3222">
        <v>142604952</v>
      </c>
      <c r="G3222">
        <v>359991577</v>
      </c>
      <c r="H3222">
        <v>384500032</v>
      </c>
      <c r="I3222">
        <v>418799066</v>
      </c>
      <c r="J3222">
        <v>844233375</v>
      </c>
      <c r="K3222">
        <v>735814927</v>
      </c>
      <c r="L3222">
        <v>584581488</v>
      </c>
      <c r="M3222">
        <v>463576983</v>
      </c>
      <c r="N3222">
        <v>394102023</v>
      </c>
      <c r="O3222">
        <v>324775894</v>
      </c>
      <c r="P3222">
        <v>158</v>
      </c>
      <c r="Q3222" t="s">
        <v>6785</v>
      </c>
    </row>
    <row r="3223" spans="1:17" x14ac:dyDescent="0.3">
      <c r="A3223" t="s">
        <v>4729</v>
      </c>
      <c r="B3223" t="str">
        <f>"002497"</f>
        <v>002497</v>
      </c>
      <c r="C3223" t="s">
        <v>6786</v>
      </c>
      <c r="D3223" t="s">
        <v>2736</v>
      </c>
      <c r="F3223">
        <v>552174001</v>
      </c>
      <c r="G3223">
        <v>606983544</v>
      </c>
      <c r="H3223">
        <v>539979071</v>
      </c>
      <c r="I3223">
        <v>524770326</v>
      </c>
      <c r="J3223">
        <v>487857429</v>
      </c>
      <c r="K3223">
        <v>282790263</v>
      </c>
      <c r="L3223">
        <v>261374559</v>
      </c>
      <c r="M3223">
        <v>207854533</v>
      </c>
      <c r="N3223">
        <v>147975753</v>
      </c>
      <c r="O3223">
        <v>96133495</v>
      </c>
      <c r="P3223">
        <v>481</v>
      </c>
      <c r="Q3223" t="s">
        <v>6787</v>
      </c>
    </row>
    <row r="3224" spans="1:17" x14ac:dyDescent="0.3">
      <c r="A3224" t="s">
        <v>4729</v>
      </c>
      <c r="B3224" t="str">
        <f>"002498"</f>
        <v>002498</v>
      </c>
      <c r="C3224" t="s">
        <v>6788</v>
      </c>
      <c r="D3224" t="s">
        <v>1164</v>
      </c>
      <c r="F3224">
        <v>3193049805</v>
      </c>
      <c r="G3224">
        <v>2288024447</v>
      </c>
      <c r="H3224">
        <v>2211102580</v>
      </c>
      <c r="I3224">
        <v>2054964695</v>
      </c>
      <c r="J3224">
        <v>2147192155</v>
      </c>
      <c r="K3224">
        <v>1921247762</v>
      </c>
      <c r="L3224">
        <v>1747675631</v>
      </c>
      <c r="M3224">
        <v>1464858203</v>
      </c>
      <c r="N3224">
        <v>1299535725</v>
      </c>
      <c r="O3224">
        <v>965503182</v>
      </c>
      <c r="P3224">
        <v>282</v>
      </c>
      <c r="Q3224" t="s">
        <v>6789</v>
      </c>
    </row>
    <row r="3225" spans="1:17" x14ac:dyDescent="0.3">
      <c r="A3225" t="s">
        <v>4729</v>
      </c>
      <c r="B3225" t="str">
        <f>"002499"</f>
        <v>002499</v>
      </c>
      <c r="C3225" t="s">
        <v>6790</v>
      </c>
      <c r="D3225" t="s">
        <v>86</v>
      </c>
      <c r="F3225">
        <v>401169044</v>
      </c>
      <c r="G3225">
        <v>433435467</v>
      </c>
      <c r="H3225">
        <v>473454981</v>
      </c>
      <c r="I3225">
        <v>645762107</v>
      </c>
      <c r="J3225">
        <v>639410121</v>
      </c>
      <c r="K3225">
        <v>179129426</v>
      </c>
      <c r="L3225">
        <v>184339350</v>
      </c>
      <c r="M3225">
        <v>182245635</v>
      </c>
      <c r="N3225">
        <v>219149980</v>
      </c>
      <c r="O3225">
        <v>236390809</v>
      </c>
      <c r="P3225">
        <v>51</v>
      </c>
      <c r="Q3225" t="s">
        <v>6791</v>
      </c>
    </row>
    <row r="3226" spans="1:17" x14ac:dyDescent="0.3">
      <c r="A3226" t="s">
        <v>4729</v>
      </c>
      <c r="B3226" t="str">
        <f>"002500"</f>
        <v>002500</v>
      </c>
      <c r="C3226" t="s">
        <v>6792</v>
      </c>
      <c r="D3226" t="s">
        <v>80</v>
      </c>
      <c r="F3226">
        <v>62963064</v>
      </c>
      <c r="G3226">
        <v>110334334</v>
      </c>
      <c r="H3226">
        <v>0</v>
      </c>
      <c r="I3226">
        <v>213912303</v>
      </c>
      <c r="J3226">
        <v>316793292</v>
      </c>
      <c r="K3226">
        <v>329026734</v>
      </c>
      <c r="L3226">
        <v>0</v>
      </c>
      <c r="M3226">
        <v>0</v>
      </c>
      <c r="N3226">
        <v>0</v>
      </c>
      <c r="O3226">
        <v>0</v>
      </c>
      <c r="P3226">
        <v>1129</v>
      </c>
      <c r="Q3226" t="s">
        <v>6793</v>
      </c>
    </row>
    <row r="3227" spans="1:17" x14ac:dyDescent="0.3">
      <c r="A3227" t="s">
        <v>4729</v>
      </c>
      <c r="B3227" t="str">
        <f>"002501"</f>
        <v>002501</v>
      </c>
      <c r="C3227" t="s">
        <v>6794</v>
      </c>
      <c r="D3227" t="s">
        <v>504</v>
      </c>
      <c r="F3227">
        <v>123956615</v>
      </c>
      <c r="G3227">
        <v>148414430</v>
      </c>
      <c r="H3227">
        <v>74671710</v>
      </c>
      <c r="I3227">
        <v>86804915</v>
      </c>
      <c r="J3227">
        <v>151324723</v>
      </c>
      <c r="K3227">
        <v>106843248</v>
      </c>
      <c r="L3227">
        <v>80560191</v>
      </c>
      <c r="M3227">
        <v>70507402</v>
      </c>
      <c r="N3227">
        <v>63425974</v>
      </c>
      <c r="O3227">
        <v>59656250</v>
      </c>
      <c r="P3227">
        <v>107</v>
      </c>
      <c r="Q3227" t="s">
        <v>6795</v>
      </c>
    </row>
    <row r="3228" spans="1:17" x14ac:dyDescent="0.3">
      <c r="A3228" t="s">
        <v>4729</v>
      </c>
      <c r="B3228" t="str">
        <f>"002502"</f>
        <v>002502</v>
      </c>
      <c r="C3228" t="s">
        <v>6796</v>
      </c>
      <c r="D3228" t="s">
        <v>113</v>
      </c>
      <c r="F3228">
        <v>142436752</v>
      </c>
      <c r="G3228">
        <v>89383937</v>
      </c>
      <c r="H3228">
        <v>306971053</v>
      </c>
      <c r="I3228">
        <v>450562964</v>
      </c>
      <c r="J3228">
        <v>227700408</v>
      </c>
      <c r="K3228">
        <v>114159240</v>
      </c>
      <c r="L3228">
        <v>308655755</v>
      </c>
      <c r="M3228">
        <v>175455615</v>
      </c>
      <c r="N3228">
        <v>178647212</v>
      </c>
      <c r="O3228">
        <v>139759706</v>
      </c>
      <c r="P3228">
        <v>117</v>
      </c>
      <c r="Q3228" t="s">
        <v>6797</v>
      </c>
    </row>
    <row r="3229" spans="1:17" x14ac:dyDescent="0.3">
      <c r="A3229" t="s">
        <v>4729</v>
      </c>
      <c r="B3229" t="str">
        <f>"002503"</f>
        <v>002503</v>
      </c>
      <c r="C3229" t="s">
        <v>6798</v>
      </c>
      <c r="D3229" t="s">
        <v>255</v>
      </c>
      <c r="F3229">
        <v>1760940244</v>
      </c>
      <c r="G3229">
        <v>2540454321</v>
      </c>
      <c r="H3229">
        <v>2575001008</v>
      </c>
      <c r="I3229">
        <v>1956065808</v>
      </c>
      <c r="J3229">
        <v>1634509571</v>
      </c>
      <c r="K3229">
        <v>1263180499</v>
      </c>
      <c r="L3229">
        <v>533902172</v>
      </c>
      <c r="M3229">
        <v>446435199</v>
      </c>
      <c r="N3229">
        <v>423613365</v>
      </c>
      <c r="O3229">
        <v>252543003</v>
      </c>
      <c r="P3229">
        <v>244</v>
      </c>
      <c r="Q3229" t="s">
        <v>6799</v>
      </c>
    </row>
    <row r="3230" spans="1:17" x14ac:dyDescent="0.3">
      <c r="A3230" t="s">
        <v>4729</v>
      </c>
      <c r="B3230" t="str">
        <f>"002504"</f>
        <v>002504</v>
      </c>
      <c r="C3230" t="s">
        <v>6800</v>
      </c>
      <c r="D3230" t="s">
        <v>450</v>
      </c>
      <c r="F3230">
        <v>2207366712</v>
      </c>
      <c r="G3230">
        <v>2732374963</v>
      </c>
      <c r="H3230">
        <v>3146297041</v>
      </c>
      <c r="I3230">
        <v>3718282254</v>
      </c>
      <c r="J3230">
        <v>3984781929</v>
      </c>
      <c r="K3230">
        <v>4571085037</v>
      </c>
      <c r="L3230">
        <v>3145918687</v>
      </c>
      <c r="M3230">
        <v>1939039127</v>
      </c>
      <c r="N3230">
        <v>157007066</v>
      </c>
      <c r="O3230">
        <v>139297774</v>
      </c>
      <c r="P3230">
        <v>66</v>
      </c>
      <c r="Q3230" t="s">
        <v>6801</v>
      </c>
    </row>
    <row r="3231" spans="1:17" x14ac:dyDescent="0.3">
      <c r="A3231" t="s">
        <v>4729</v>
      </c>
      <c r="B3231" t="str">
        <f>"002505"</f>
        <v>002505</v>
      </c>
      <c r="C3231" t="s">
        <v>6802</v>
      </c>
      <c r="D3231" t="s">
        <v>1882</v>
      </c>
      <c r="F3231">
        <v>2439795014</v>
      </c>
      <c r="G3231">
        <v>1736433339</v>
      </c>
      <c r="H3231">
        <v>2424772792</v>
      </c>
      <c r="I3231">
        <v>1986987584</v>
      </c>
      <c r="J3231">
        <v>2038421126</v>
      </c>
      <c r="K3231">
        <v>1454565053</v>
      </c>
      <c r="L3231">
        <v>59107206</v>
      </c>
      <c r="M3231">
        <v>31789214</v>
      </c>
      <c r="N3231">
        <v>2735447</v>
      </c>
      <c r="O3231">
        <v>358117</v>
      </c>
      <c r="P3231">
        <v>209</v>
      </c>
      <c r="Q3231" t="s">
        <v>6803</v>
      </c>
    </row>
    <row r="3232" spans="1:17" x14ac:dyDescent="0.3">
      <c r="A3232" t="s">
        <v>4729</v>
      </c>
      <c r="B3232" t="str">
        <f>"002506"</f>
        <v>002506</v>
      </c>
      <c r="C3232" t="s">
        <v>6804</v>
      </c>
      <c r="D3232" t="s">
        <v>356</v>
      </c>
      <c r="F3232">
        <v>729073070</v>
      </c>
      <c r="G3232">
        <v>1842559375</v>
      </c>
      <c r="H3232">
        <v>1999819362</v>
      </c>
      <c r="I3232">
        <v>3443383328</v>
      </c>
      <c r="J3232">
        <v>7597163335</v>
      </c>
      <c r="K3232">
        <v>6453360248</v>
      </c>
      <c r="L3232">
        <v>5495408801</v>
      </c>
      <c r="M3232">
        <v>1863310682</v>
      </c>
      <c r="N3232">
        <v>92783575</v>
      </c>
      <c r="O3232">
        <v>2140208175</v>
      </c>
      <c r="P3232">
        <v>315</v>
      </c>
      <c r="Q3232" t="s">
        <v>6805</v>
      </c>
    </row>
    <row r="3233" spans="1:17" x14ac:dyDescent="0.3">
      <c r="A3233" t="s">
        <v>4729</v>
      </c>
      <c r="B3233" t="str">
        <f>"002507"</f>
        <v>002507</v>
      </c>
      <c r="C3233" t="s">
        <v>6806</v>
      </c>
      <c r="D3233" t="s">
        <v>433</v>
      </c>
      <c r="F3233">
        <v>2865482</v>
      </c>
      <c r="G3233">
        <v>2735629</v>
      </c>
      <c r="H3233">
        <v>386077</v>
      </c>
      <c r="I3233">
        <v>7859447</v>
      </c>
      <c r="J3233">
        <v>1682126</v>
      </c>
      <c r="K3233">
        <v>1392984</v>
      </c>
      <c r="L3233">
        <v>2659083</v>
      </c>
      <c r="M3233">
        <v>3595936</v>
      </c>
      <c r="N3233">
        <v>6818182</v>
      </c>
      <c r="O3233">
        <v>1577610</v>
      </c>
      <c r="P3233">
        <v>4502</v>
      </c>
      <c r="Q3233" t="s">
        <v>6807</v>
      </c>
    </row>
    <row r="3234" spans="1:17" x14ac:dyDescent="0.3">
      <c r="A3234" t="s">
        <v>4729</v>
      </c>
      <c r="B3234" t="str">
        <f>"002508"</f>
        <v>002508</v>
      </c>
      <c r="C3234" t="s">
        <v>6808</v>
      </c>
      <c r="D3234" t="s">
        <v>3707</v>
      </c>
      <c r="F3234">
        <v>1597692861</v>
      </c>
      <c r="G3234">
        <v>1008235946</v>
      </c>
      <c r="H3234">
        <v>725630901</v>
      </c>
      <c r="I3234">
        <v>446773135</v>
      </c>
      <c r="J3234">
        <v>371167698</v>
      </c>
      <c r="K3234">
        <v>331595203</v>
      </c>
      <c r="L3234">
        <v>320387662</v>
      </c>
      <c r="M3234">
        <v>304050823</v>
      </c>
      <c r="N3234">
        <v>210099670</v>
      </c>
      <c r="O3234">
        <v>141346249</v>
      </c>
      <c r="P3234">
        <v>40627</v>
      </c>
      <c r="Q3234" t="s">
        <v>6809</v>
      </c>
    </row>
    <row r="3235" spans="1:17" x14ac:dyDescent="0.3">
      <c r="A3235" t="s">
        <v>4729</v>
      </c>
      <c r="B3235" t="str">
        <f>"002509"</f>
        <v>002509</v>
      </c>
      <c r="C3235" t="s">
        <v>6810</v>
      </c>
      <c r="H3235">
        <v>1242491050</v>
      </c>
      <c r="I3235">
        <v>1712912217</v>
      </c>
      <c r="J3235">
        <v>1556135184</v>
      </c>
      <c r="K3235">
        <v>1126592145</v>
      </c>
      <c r="L3235">
        <v>659045303</v>
      </c>
      <c r="M3235">
        <v>278886089</v>
      </c>
      <c r="N3235">
        <v>150163870</v>
      </c>
      <c r="O3235">
        <v>106680707</v>
      </c>
      <c r="P3235">
        <v>60</v>
      </c>
      <c r="Q3235" t="s">
        <v>6811</v>
      </c>
    </row>
    <row r="3236" spans="1:17" x14ac:dyDescent="0.3">
      <c r="A3236" t="s">
        <v>4729</v>
      </c>
      <c r="B3236" t="str">
        <f>"002510"</f>
        <v>002510</v>
      </c>
      <c r="C3236" t="s">
        <v>6812</v>
      </c>
      <c r="D3236" t="s">
        <v>985</v>
      </c>
      <c r="F3236">
        <v>579700648</v>
      </c>
      <c r="G3236">
        <v>720918100</v>
      </c>
      <c r="H3236">
        <v>1147628653</v>
      </c>
      <c r="I3236">
        <v>892020003</v>
      </c>
      <c r="J3236">
        <v>581410469</v>
      </c>
      <c r="K3236">
        <v>588230720</v>
      </c>
      <c r="L3236">
        <v>591981668</v>
      </c>
      <c r="M3236">
        <v>402331547</v>
      </c>
      <c r="N3236">
        <v>296055495</v>
      </c>
      <c r="O3236">
        <v>312839662</v>
      </c>
      <c r="P3236">
        <v>208</v>
      </c>
      <c r="Q3236" t="s">
        <v>6813</v>
      </c>
    </row>
    <row r="3237" spans="1:17" x14ac:dyDescent="0.3">
      <c r="A3237" t="s">
        <v>4729</v>
      </c>
      <c r="B3237" t="str">
        <f>"002511"</f>
        <v>002511</v>
      </c>
      <c r="C3237" t="s">
        <v>6814</v>
      </c>
      <c r="D3237" t="s">
        <v>2751</v>
      </c>
      <c r="F3237">
        <v>1177831399</v>
      </c>
      <c r="G3237">
        <v>1051423940</v>
      </c>
      <c r="H3237">
        <v>807772898</v>
      </c>
      <c r="I3237">
        <v>738235434</v>
      </c>
      <c r="J3237">
        <v>598721783</v>
      </c>
      <c r="K3237">
        <v>540322003</v>
      </c>
      <c r="L3237">
        <v>436055491</v>
      </c>
      <c r="M3237">
        <v>338906975</v>
      </c>
      <c r="N3237">
        <v>335292027</v>
      </c>
      <c r="O3237">
        <v>271896897</v>
      </c>
      <c r="P3237">
        <v>2513</v>
      </c>
      <c r="Q3237" t="s">
        <v>6815</v>
      </c>
    </row>
    <row r="3238" spans="1:17" x14ac:dyDescent="0.3">
      <c r="A3238" t="s">
        <v>4729</v>
      </c>
      <c r="B3238" t="str">
        <f>"002512"</f>
        <v>002512</v>
      </c>
      <c r="C3238" t="s">
        <v>6816</v>
      </c>
      <c r="D3238" t="s">
        <v>236</v>
      </c>
      <c r="F3238">
        <v>376570385</v>
      </c>
      <c r="G3238">
        <v>459049014</v>
      </c>
      <c r="H3238">
        <v>605307131</v>
      </c>
      <c r="I3238">
        <v>716581037</v>
      </c>
      <c r="J3238">
        <v>994737201</v>
      </c>
      <c r="K3238">
        <v>969176604</v>
      </c>
      <c r="L3238">
        <v>686500780</v>
      </c>
      <c r="M3238">
        <v>334508579</v>
      </c>
      <c r="N3238">
        <v>223222791</v>
      </c>
      <c r="O3238">
        <v>89848192</v>
      </c>
      <c r="P3238">
        <v>162</v>
      </c>
      <c r="Q3238" t="s">
        <v>6817</v>
      </c>
    </row>
    <row r="3239" spans="1:17" x14ac:dyDescent="0.3">
      <c r="A3239" t="s">
        <v>4729</v>
      </c>
      <c r="B3239" t="str">
        <f>"002513"</f>
        <v>002513</v>
      </c>
      <c r="C3239" t="s">
        <v>6818</v>
      </c>
      <c r="D3239" t="s">
        <v>853</v>
      </c>
      <c r="F3239">
        <v>77718926</v>
      </c>
      <c r="G3239">
        <v>48819116</v>
      </c>
      <c r="H3239">
        <v>126015499</v>
      </c>
      <c r="I3239">
        <v>165151095</v>
      </c>
      <c r="J3239">
        <v>212976956</v>
      </c>
      <c r="K3239">
        <v>238082277</v>
      </c>
      <c r="L3239">
        <v>226832116</v>
      </c>
      <c r="M3239">
        <v>202422027</v>
      </c>
      <c r="N3239">
        <v>329132108</v>
      </c>
      <c r="O3239">
        <v>244123193</v>
      </c>
      <c r="P3239">
        <v>46</v>
      </c>
      <c r="Q3239" t="s">
        <v>6819</v>
      </c>
    </row>
    <row r="3240" spans="1:17" x14ac:dyDescent="0.3">
      <c r="A3240" t="s">
        <v>4729</v>
      </c>
      <c r="B3240" t="str">
        <f>"002514"</f>
        <v>002514</v>
      </c>
      <c r="C3240" t="s">
        <v>6820</v>
      </c>
      <c r="D3240" t="s">
        <v>274</v>
      </c>
      <c r="F3240">
        <v>299904882</v>
      </c>
      <c r="G3240">
        <v>294125846</v>
      </c>
      <c r="H3240">
        <v>365696311</v>
      </c>
      <c r="I3240">
        <v>440338128</v>
      </c>
      <c r="J3240">
        <v>299912432</v>
      </c>
      <c r="K3240">
        <v>288706528</v>
      </c>
      <c r="L3240">
        <v>256051043</v>
      </c>
      <c r="M3240">
        <v>179673605</v>
      </c>
      <c r="N3240">
        <v>110279029</v>
      </c>
      <c r="O3240">
        <v>92309676</v>
      </c>
      <c r="P3240">
        <v>61</v>
      </c>
      <c r="Q3240" t="s">
        <v>6821</v>
      </c>
    </row>
    <row r="3241" spans="1:17" x14ac:dyDescent="0.3">
      <c r="A3241" t="s">
        <v>4729</v>
      </c>
      <c r="B3241" t="str">
        <f>"002515"</f>
        <v>002515</v>
      </c>
      <c r="C3241" t="s">
        <v>6822</v>
      </c>
      <c r="D3241" t="s">
        <v>170</v>
      </c>
      <c r="F3241">
        <v>33892235</v>
      </c>
      <c r="G3241">
        <v>21562863</v>
      </c>
      <c r="H3241">
        <v>17548588</v>
      </c>
      <c r="I3241">
        <v>16275258</v>
      </c>
      <c r="J3241">
        <v>60819698</v>
      </c>
      <c r="K3241">
        <v>13671599</v>
      </c>
      <c r="L3241">
        <v>10766094</v>
      </c>
      <c r="M3241">
        <v>16256917</v>
      </c>
      <c r="N3241">
        <v>22456346</v>
      </c>
      <c r="O3241">
        <v>17594913</v>
      </c>
      <c r="P3241">
        <v>296</v>
      </c>
      <c r="Q3241" t="s">
        <v>6823</v>
      </c>
    </row>
    <row r="3242" spans="1:17" x14ac:dyDescent="0.3">
      <c r="A3242" t="s">
        <v>4729</v>
      </c>
      <c r="B3242" t="str">
        <f>"002516"</f>
        <v>002516</v>
      </c>
      <c r="C3242" t="s">
        <v>6824</v>
      </c>
      <c r="D3242" t="s">
        <v>191</v>
      </c>
      <c r="F3242">
        <v>934919415</v>
      </c>
      <c r="G3242">
        <v>784653539</v>
      </c>
      <c r="H3242">
        <v>656848534</v>
      </c>
      <c r="I3242">
        <v>610473197</v>
      </c>
      <c r="J3242">
        <v>628118221</v>
      </c>
      <c r="K3242">
        <v>1053862442</v>
      </c>
      <c r="L3242">
        <v>673437853</v>
      </c>
      <c r="M3242">
        <v>450342133</v>
      </c>
      <c r="N3242">
        <v>437482376</v>
      </c>
      <c r="O3242">
        <v>314232960</v>
      </c>
      <c r="P3242">
        <v>160</v>
      </c>
      <c r="Q3242" t="s">
        <v>6825</v>
      </c>
    </row>
    <row r="3243" spans="1:17" x14ac:dyDescent="0.3">
      <c r="A3243" t="s">
        <v>4729</v>
      </c>
      <c r="B3243" t="str">
        <f>"002517"</f>
        <v>002517</v>
      </c>
      <c r="C3243" t="s">
        <v>6826</v>
      </c>
      <c r="D3243" t="s">
        <v>517</v>
      </c>
      <c r="F3243">
        <v>761150912</v>
      </c>
      <c r="G3243">
        <v>398734910</v>
      </c>
      <c r="H3243">
        <v>671839858</v>
      </c>
      <c r="I3243">
        <v>1024517812</v>
      </c>
      <c r="J3243">
        <v>1005282669</v>
      </c>
      <c r="K3243">
        <v>527295281</v>
      </c>
      <c r="L3243">
        <v>373271898</v>
      </c>
      <c r="M3243">
        <v>131110653</v>
      </c>
      <c r="N3243">
        <v>129069184</v>
      </c>
      <c r="O3243">
        <v>109366180</v>
      </c>
      <c r="P3243">
        <v>289</v>
      </c>
      <c r="Q3243" t="s">
        <v>6827</v>
      </c>
    </row>
    <row r="3244" spans="1:17" x14ac:dyDescent="0.3">
      <c r="A3244" t="s">
        <v>4729</v>
      </c>
      <c r="B3244" t="str">
        <f>"002518"</f>
        <v>002518</v>
      </c>
      <c r="C3244" t="s">
        <v>6828</v>
      </c>
      <c r="D3244" t="s">
        <v>880</v>
      </c>
      <c r="F3244">
        <v>961709882</v>
      </c>
      <c r="G3244">
        <v>899047883</v>
      </c>
      <c r="H3244">
        <v>1025808836</v>
      </c>
      <c r="I3244">
        <v>1252662439</v>
      </c>
      <c r="J3244">
        <v>1183360262</v>
      </c>
      <c r="K3244">
        <v>778337152</v>
      </c>
      <c r="L3244">
        <v>678422083</v>
      </c>
      <c r="M3244">
        <v>522828019</v>
      </c>
      <c r="N3244">
        <v>475008798</v>
      </c>
      <c r="O3244">
        <v>327785743</v>
      </c>
      <c r="P3244">
        <v>401</v>
      </c>
      <c r="Q3244" t="s">
        <v>6829</v>
      </c>
    </row>
    <row r="3245" spans="1:17" x14ac:dyDescent="0.3">
      <c r="A3245" t="s">
        <v>4729</v>
      </c>
      <c r="B3245" t="str">
        <f>"002519"</f>
        <v>002519</v>
      </c>
      <c r="C3245" t="s">
        <v>6830</v>
      </c>
      <c r="D3245" t="s">
        <v>4467</v>
      </c>
      <c r="F3245">
        <v>305653545</v>
      </c>
      <c r="G3245">
        <v>541946863</v>
      </c>
      <c r="H3245">
        <v>541906064</v>
      </c>
      <c r="I3245">
        <v>721773870</v>
      </c>
      <c r="J3245">
        <v>907106839</v>
      </c>
      <c r="K3245">
        <v>889841650</v>
      </c>
      <c r="L3245">
        <v>699542609</v>
      </c>
      <c r="M3245">
        <v>553090791</v>
      </c>
      <c r="N3245">
        <v>497499948</v>
      </c>
      <c r="O3245">
        <v>456383430</v>
      </c>
      <c r="P3245">
        <v>160</v>
      </c>
      <c r="Q3245" t="s">
        <v>6831</v>
      </c>
    </row>
    <row r="3246" spans="1:17" x14ac:dyDescent="0.3">
      <c r="A3246" t="s">
        <v>4729</v>
      </c>
      <c r="B3246" t="str">
        <f>"002520"</f>
        <v>002520</v>
      </c>
      <c r="C3246" t="s">
        <v>6832</v>
      </c>
      <c r="D3246" t="s">
        <v>2321</v>
      </c>
      <c r="F3246">
        <v>360728606</v>
      </c>
      <c r="G3246">
        <v>427229389</v>
      </c>
      <c r="H3246">
        <v>446830012</v>
      </c>
      <c r="I3246">
        <v>399782284</v>
      </c>
      <c r="J3246">
        <v>315822714</v>
      </c>
      <c r="K3246">
        <v>312751026</v>
      </c>
      <c r="L3246">
        <v>316563490</v>
      </c>
      <c r="M3246">
        <v>201853975</v>
      </c>
      <c r="N3246">
        <v>113141033</v>
      </c>
      <c r="O3246">
        <v>109049738</v>
      </c>
      <c r="P3246">
        <v>99</v>
      </c>
      <c r="Q3246" t="s">
        <v>6833</v>
      </c>
    </row>
    <row r="3247" spans="1:17" x14ac:dyDescent="0.3">
      <c r="A3247" t="s">
        <v>4729</v>
      </c>
      <c r="B3247" t="str">
        <f>"002521"</f>
        <v>002521</v>
      </c>
      <c r="C3247" t="s">
        <v>6834</v>
      </c>
      <c r="D3247" t="s">
        <v>244</v>
      </c>
      <c r="F3247">
        <v>666724860</v>
      </c>
      <c r="G3247">
        <v>724180183</v>
      </c>
      <c r="H3247">
        <v>776882801</v>
      </c>
      <c r="I3247">
        <v>819515763</v>
      </c>
      <c r="J3247">
        <v>519343084</v>
      </c>
      <c r="K3247">
        <v>595711861</v>
      </c>
      <c r="L3247">
        <v>537184149</v>
      </c>
      <c r="M3247">
        <v>381987907</v>
      </c>
      <c r="N3247">
        <v>159674524</v>
      </c>
      <c r="O3247">
        <v>220282027</v>
      </c>
      <c r="P3247">
        <v>132</v>
      </c>
      <c r="Q3247" t="s">
        <v>6835</v>
      </c>
    </row>
    <row r="3248" spans="1:17" x14ac:dyDescent="0.3">
      <c r="A3248" t="s">
        <v>4729</v>
      </c>
      <c r="B3248" t="str">
        <f>"002522"</f>
        <v>002522</v>
      </c>
      <c r="C3248" t="s">
        <v>6836</v>
      </c>
      <c r="D3248" t="s">
        <v>324</v>
      </c>
      <c r="F3248">
        <v>121920207</v>
      </c>
      <c r="G3248">
        <v>111973288</v>
      </c>
      <c r="H3248">
        <v>118173475</v>
      </c>
      <c r="I3248">
        <v>93527313</v>
      </c>
      <c r="J3248">
        <v>62908250</v>
      </c>
      <c r="K3248">
        <v>56366350</v>
      </c>
      <c r="L3248">
        <v>51829474</v>
      </c>
      <c r="M3248">
        <v>58399516</v>
      </c>
      <c r="N3248">
        <v>55427791</v>
      </c>
      <c r="O3248">
        <v>57436418</v>
      </c>
      <c r="P3248">
        <v>367</v>
      </c>
      <c r="Q3248" t="s">
        <v>6837</v>
      </c>
    </row>
    <row r="3249" spans="1:17" x14ac:dyDescent="0.3">
      <c r="A3249" t="s">
        <v>4729</v>
      </c>
      <c r="B3249" t="str">
        <f>"002523"</f>
        <v>002523</v>
      </c>
      <c r="C3249" t="s">
        <v>6838</v>
      </c>
      <c r="D3249" t="s">
        <v>395</v>
      </c>
      <c r="F3249">
        <v>1244066565</v>
      </c>
      <c r="G3249">
        <v>1092030296</v>
      </c>
      <c r="H3249">
        <v>1284242599</v>
      </c>
      <c r="I3249">
        <v>1409273471</v>
      </c>
      <c r="J3249">
        <v>1190402958</v>
      </c>
      <c r="K3249">
        <v>1252430208</v>
      </c>
      <c r="L3249">
        <v>1026997767</v>
      </c>
      <c r="M3249">
        <v>573079184</v>
      </c>
      <c r="N3249">
        <v>486316858</v>
      </c>
      <c r="O3249">
        <v>502451293</v>
      </c>
      <c r="P3249">
        <v>53</v>
      </c>
      <c r="Q3249" t="s">
        <v>6839</v>
      </c>
    </row>
    <row r="3250" spans="1:17" x14ac:dyDescent="0.3">
      <c r="A3250" t="s">
        <v>4729</v>
      </c>
      <c r="B3250" t="str">
        <f>"002524"</f>
        <v>002524</v>
      </c>
      <c r="C3250" t="s">
        <v>6840</v>
      </c>
      <c r="D3250" t="s">
        <v>1147</v>
      </c>
      <c r="F3250">
        <v>100358869</v>
      </c>
      <c r="G3250">
        <v>110416958</v>
      </c>
      <c r="H3250">
        <v>165965157</v>
      </c>
      <c r="I3250">
        <v>209773327</v>
      </c>
      <c r="J3250">
        <v>153879057</v>
      </c>
      <c r="K3250">
        <v>162568227</v>
      </c>
      <c r="L3250">
        <v>223518406</v>
      </c>
      <c r="M3250">
        <v>265596610</v>
      </c>
      <c r="N3250">
        <v>230795546</v>
      </c>
      <c r="O3250">
        <v>191532555</v>
      </c>
      <c r="P3250">
        <v>180</v>
      </c>
      <c r="Q3250" t="s">
        <v>6841</v>
      </c>
    </row>
    <row r="3251" spans="1:17" x14ac:dyDescent="0.3">
      <c r="A3251" t="s">
        <v>4729</v>
      </c>
      <c r="B3251" t="str">
        <f>"002526"</f>
        <v>002526</v>
      </c>
      <c r="C3251" t="s">
        <v>6842</v>
      </c>
      <c r="D3251" t="s">
        <v>395</v>
      </c>
      <c r="F3251">
        <v>749453253</v>
      </c>
      <c r="G3251">
        <v>614197971</v>
      </c>
      <c r="H3251">
        <v>633170316</v>
      </c>
      <c r="I3251">
        <v>635717406</v>
      </c>
      <c r="J3251">
        <v>687413950</v>
      </c>
      <c r="K3251">
        <v>699651195</v>
      </c>
      <c r="L3251">
        <v>905356977</v>
      </c>
      <c r="M3251">
        <v>1007220671</v>
      </c>
      <c r="N3251">
        <v>905273906</v>
      </c>
      <c r="O3251">
        <v>808536252</v>
      </c>
      <c r="P3251">
        <v>103</v>
      </c>
      <c r="Q3251" t="s">
        <v>6843</v>
      </c>
    </row>
    <row r="3252" spans="1:17" x14ac:dyDescent="0.3">
      <c r="A3252" t="s">
        <v>4729</v>
      </c>
      <c r="B3252" t="str">
        <f>"002527"</f>
        <v>002527</v>
      </c>
      <c r="C3252" t="s">
        <v>6844</v>
      </c>
      <c r="D3252" t="s">
        <v>2938</v>
      </c>
      <c r="F3252">
        <v>999893865</v>
      </c>
      <c r="G3252">
        <v>847922823</v>
      </c>
      <c r="H3252">
        <v>901065354</v>
      </c>
      <c r="I3252">
        <v>843855805</v>
      </c>
      <c r="J3252">
        <v>816442910</v>
      </c>
      <c r="K3252">
        <v>830597679</v>
      </c>
      <c r="L3252">
        <v>631814954</v>
      </c>
      <c r="M3252">
        <v>531814699</v>
      </c>
      <c r="N3252">
        <v>368420873</v>
      </c>
      <c r="O3252">
        <v>325861643</v>
      </c>
      <c r="P3252">
        <v>161</v>
      </c>
      <c r="Q3252" t="s">
        <v>6845</v>
      </c>
    </row>
    <row r="3253" spans="1:17" x14ac:dyDescent="0.3">
      <c r="A3253" t="s">
        <v>4729</v>
      </c>
      <c r="B3253" t="str">
        <f>"002528"</f>
        <v>002528</v>
      </c>
      <c r="C3253" t="s">
        <v>6846</v>
      </c>
      <c r="D3253" t="s">
        <v>2980</v>
      </c>
      <c r="F3253">
        <v>1467482266</v>
      </c>
      <c r="G3253">
        <v>2229873493</v>
      </c>
      <c r="H3253">
        <v>1779483372</v>
      </c>
      <c r="I3253">
        <v>1344231022</v>
      </c>
      <c r="J3253">
        <v>938582458</v>
      </c>
      <c r="K3253">
        <v>702472972</v>
      </c>
      <c r="L3253">
        <v>597923773</v>
      </c>
      <c r="M3253">
        <v>483525669</v>
      </c>
      <c r="N3253">
        <v>279326192</v>
      </c>
      <c r="O3253">
        <v>278211129</v>
      </c>
      <c r="P3253">
        <v>169</v>
      </c>
      <c r="Q3253" t="s">
        <v>6847</v>
      </c>
    </row>
    <row r="3254" spans="1:17" x14ac:dyDescent="0.3">
      <c r="A3254" t="s">
        <v>4729</v>
      </c>
      <c r="B3254" t="str">
        <f>"002529"</f>
        <v>002529</v>
      </c>
      <c r="C3254" t="s">
        <v>6848</v>
      </c>
      <c r="D3254" t="s">
        <v>741</v>
      </c>
      <c r="F3254">
        <v>103317575</v>
      </c>
      <c r="G3254">
        <v>102168455</v>
      </c>
      <c r="H3254">
        <v>110254660</v>
      </c>
      <c r="I3254">
        <v>180832937</v>
      </c>
      <c r="J3254">
        <v>183296250</v>
      </c>
      <c r="K3254">
        <v>132897954</v>
      </c>
      <c r="L3254">
        <v>105767695</v>
      </c>
      <c r="M3254">
        <v>103459533</v>
      </c>
      <c r="N3254">
        <v>97310665</v>
      </c>
      <c r="O3254">
        <v>85237618</v>
      </c>
      <c r="P3254">
        <v>68</v>
      </c>
      <c r="Q3254" t="s">
        <v>6849</v>
      </c>
    </row>
    <row r="3255" spans="1:17" x14ac:dyDescent="0.3">
      <c r="A3255" t="s">
        <v>4729</v>
      </c>
      <c r="B3255" t="str">
        <f>"002530"</f>
        <v>002530</v>
      </c>
      <c r="C3255" t="s">
        <v>6850</v>
      </c>
      <c r="D3255" t="s">
        <v>316</v>
      </c>
      <c r="F3255">
        <v>243222290</v>
      </c>
      <c r="G3255">
        <v>406923039</v>
      </c>
      <c r="H3255">
        <v>612082201</v>
      </c>
      <c r="I3255">
        <v>508910455</v>
      </c>
      <c r="J3255">
        <v>370991271</v>
      </c>
      <c r="K3255">
        <v>217567470</v>
      </c>
      <c r="L3255">
        <v>136157539</v>
      </c>
      <c r="M3255">
        <v>141110484</v>
      </c>
      <c r="N3255">
        <v>112354794</v>
      </c>
      <c r="O3255">
        <v>85370885</v>
      </c>
      <c r="P3255">
        <v>135</v>
      </c>
      <c r="Q3255" t="s">
        <v>6851</v>
      </c>
    </row>
    <row r="3256" spans="1:17" x14ac:dyDescent="0.3">
      <c r="A3256" t="s">
        <v>4729</v>
      </c>
      <c r="B3256" t="str">
        <f>"002531"</f>
        <v>002531</v>
      </c>
      <c r="C3256" t="s">
        <v>6852</v>
      </c>
      <c r="D3256" t="s">
        <v>950</v>
      </c>
      <c r="F3256">
        <v>3966698209</v>
      </c>
      <c r="G3256">
        <v>3269099324</v>
      </c>
      <c r="H3256">
        <v>2361393208</v>
      </c>
      <c r="I3256">
        <v>1771393084</v>
      </c>
      <c r="J3256">
        <v>1621280307</v>
      </c>
      <c r="K3256">
        <v>940308200</v>
      </c>
      <c r="L3256">
        <v>833389938</v>
      </c>
      <c r="M3256">
        <v>472403818</v>
      </c>
      <c r="N3256">
        <v>476784861</v>
      </c>
      <c r="O3256">
        <v>238895412</v>
      </c>
      <c r="P3256">
        <v>599</v>
      </c>
      <c r="Q3256" t="s">
        <v>6853</v>
      </c>
    </row>
    <row r="3257" spans="1:17" x14ac:dyDescent="0.3">
      <c r="A3257" t="s">
        <v>4729</v>
      </c>
      <c r="B3257" t="str">
        <f>"002532"</f>
        <v>002532</v>
      </c>
      <c r="C3257" t="s">
        <v>6854</v>
      </c>
      <c r="D3257" t="s">
        <v>504</v>
      </c>
      <c r="F3257">
        <v>440694456</v>
      </c>
      <c r="G3257">
        <v>153647162</v>
      </c>
      <c r="H3257">
        <v>189264687</v>
      </c>
      <c r="I3257">
        <v>129432892</v>
      </c>
      <c r="J3257">
        <v>136521732</v>
      </c>
      <c r="K3257">
        <v>167185433</v>
      </c>
      <c r="L3257">
        <v>130276264</v>
      </c>
      <c r="M3257">
        <v>89455170</v>
      </c>
      <c r="N3257">
        <v>75266394</v>
      </c>
      <c r="O3257">
        <v>107401393</v>
      </c>
      <c r="P3257">
        <v>424</v>
      </c>
      <c r="Q3257" t="s">
        <v>6855</v>
      </c>
    </row>
    <row r="3258" spans="1:17" x14ac:dyDescent="0.3">
      <c r="A3258" t="s">
        <v>4729</v>
      </c>
      <c r="B3258" t="str">
        <f>"002533"</f>
        <v>002533</v>
      </c>
      <c r="C3258" t="s">
        <v>6856</v>
      </c>
      <c r="D3258" t="s">
        <v>1164</v>
      </c>
      <c r="F3258">
        <v>1571907850</v>
      </c>
      <c r="G3258">
        <v>1276944418</v>
      </c>
      <c r="H3258">
        <v>823307943</v>
      </c>
      <c r="I3258">
        <v>825641171</v>
      </c>
      <c r="J3258">
        <v>766780364</v>
      </c>
      <c r="K3258">
        <v>550489245</v>
      </c>
      <c r="L3258">
        <v>620442215</v>
      </c>
      <c r="M3258">
        <v>669634468</v>
      </c>
      <c r="N3258">
        <v>617351436</v>
      </c>
      <c r="O3258">
        <v>462390434</v>
      </c>
      <c r="P3258">
        <v>192</v>
      </c>
      <c r="Q3258" t="s">
        <v>6857</v>
      </c>
    </row>
    <row r="3259" spans="1:17" x14ac:dyDescent="0.3">
      <c r="A3259" t="s">
        <v>4729</v>
      </c>
      <c r="B3259" t="str">
        <f>"002534"</f>
        <v>002534</v>
      </c>
      <c r="C3259" t="s">
        <v>6858</v>
      </c>
      <c r="D3259" t="s">
        <v>470</v>
      </c>
      <c r="F3259">
        <v>1073191723</v>
      </c>
      <c r="G3259">
        <v>754751217</v>
      </c>
      <c r="H3259">
        <v>1653903900</v>
      </c>
      <c r="I3259">
        <v>1576135858</v>
      </c>
      <c r="J3259">
        <v>1406836650</v>
      </c>
      <c r="K3259">
        <v>1306643333</v>
      </c>
      <c r="L3259">
        <v>1430001731</v>
      </c>
      <c r="M3259">
        <v>1677708701</v>
      </c>
      <c r="N3259">
        <v>2052515899</v>
      </c>
      <c r="O3259">
        <v>1876185699</v>
      </c>
      <c r="P3259">
        <v>191</v>
      </c>
      <c r="Q3259" t="s">
        <v>6859</v>
      </c>
    </row>
    <row r="3260" spans="1:17" x14ac:dyDescent="0.3">
      <c r="A3260" t="s">
        <v>4729</v>
      </c>
      <c r="B3260" t="str">
        <f>"002535"</f>
        <v>002535</v>
      </c>
      <c r="C3260" t="s">
        <v>6860</v>
      </c>
      <c r="D3260" t="s">
        <v>395</v>
      </c>
      <c r="F3260">
        <v>319349885</v>
      </c>
      <c r="G3260">
        <v>427431571</v>
      </c>
      <c r="H3260">
        <v>403683139</v>
      </c>
      <c r="I3260">
        <v>701926584</v>
      </c>
      <c r="J3260">
        <v>985023276</v>
      </c>
      <c r="K3260">
        <v>801326835</v>
      </c>
      <c r="L3260">
        <v>1032161381</v>
      </c>
      <c r="M3260">
        <v>1111137531</v>
      </c>
      <c r="N3260">
        <v>887169107</v>
      </c>
      <c r="O3260">
        <v>657430436</v>
      </c>
      <c r="P3260">
        <v>89</v>
      </c>
      <c r="Q3260" t="s">
        <v>6861</v>
      </c>
    </row>
    <row r="3261" spans="1:17" x14ac:dyDescent="0.3">
      <c r="A3261" t="s">
        <v>4729</v>
      </c>
      <c r="B3261" t="str">
        <f>"002536"</f>
        <v>002536</v>
      </c>
      <c r="C3261" t="s">
        <v>6862</v>
      </c>
      <c r="D3261" t="s">
        <v>348</v>
      </c>
      <c r="F3261">
        <v>713979153</v>
      </c>
      <c r="G3261">
        <v>678979398</v>
      </c>
      <c r="H3261">
        <v>603032753</v>
      </c>
      <c r="I3261">
        <v>591798853</v>
      </c>
      <c r="J3261">
        <v>620072104</v>
      </c>
      <c r="K3261">
        <v>524037158</v>
      </c>
      <c r="L3261">
        <v>420197748</v>
      </c>
      <c r="M3261">
        <v>325775877</v>
      </c>
      <c r="N3261">
        <v>284782409</v>
      </c>
      <c r="O3261">
        <v>207828333</v>
      </c>
      <c r="P3261">
        <v>254</v>
      </c>
      <c r="Q3261" t="s">
        <v>6863</v>
      </c>
    </row>
    <row r="3262" spans="1:17" x14ac:dyDescent="0.3">
      <c r="A3262" t="s">
        <v>4729</v>
      </c>
      <c r="B3262" t="str">
        <f>"002537"</f>
        <v>002537</v>
      </c>
      <c r="C3262" t="s">
        <v>6864</v>
      </c>
      <c r="D3262" t="s">
        <v>191</v>
      </c>
      <c r="F3262">
        <v>1129951992</v>
      </c>
      <c r="G3262">
        <v>1102540842</v>
      </c>
      <c r="H3262">
        <v>1038449611</v>
      </c>
      <c r="I3262">
        <v>926524194</v>
      </c>
      <c r="J3262">
        <v>969155701</v>
      </c>
      <c r="K3262">
        <v>724486894</v>
      </c>
      <c r="L3262">
        <v>443763294</v>
      </c>
      <c r="M3262">
        <v>450740328</v>
      </c>
      <c r="N3262">
        <v>549396178</v>
      </c>
      <c r="O3262">
        <v>401360878</v>
      </c>
      <c r="P3262">
        <v>182</v>
      </c>
      <c r="Q3262" t="s">
        <v>6865</v>
      </c>
    </row>
    <row r="3263" spans="1:17" x14ac:dyDescent="0.3">
      <c r="A3263" t="s">
        <v>4729</v>
      </c>
      <c r="B3263" t="str">
        <f>"002538"</f>
        <v>002538</v>
      </c>
      <c r="C3263" t="s">
        <v>6866</v>
      </c>
      <c r="D3263" t="s">
        <v>5562</v>
      </c>
      <c r="F3263">
        <v>52841673</v>
      </c>
      <c r="G3263">
        <v>84952775</v>
      </c>
      <c r="H3263">
        <v>82511100</v>
      </c>
      <c r="I3263">
        <v>97891039</v>
      </c>
      <c r="J3263">
        <v>50116707</v>
      </c>
      <c r="K3263">
        <v>65607028</v>
      </c>
      <c r="L3263">
        <v>27513368</v>
      </c>
      <c r="M3263">
        <v>15051239</v>
      </c>
      <c r="N3263">
        <v>49961158</v>
      </c>
      <c r="O3263">
        <v>16576002</v>
      </c>
      <c r="P3263">
        <v>174</v>
      </c>
      <c r="Q3263" t="s">
        <v>6867</v>
      </c>
    </row>
    <row r="3264" spans="1:17" x14ac:dyDescent="0.3">
      <c r="A3264" t="s">
        <v>4729</v>
      </c>
      <c r="B3264" t="str">
        <f>"002539"</f>
        <v>002539</v>
      </c>
      <c r="C3264" t="s">
        <v>6868</v>
      </c>
      <c r="D3264" t="s">
        <v>5562</v>
      </c>
      <c r="F3264">
        <v>405459535</v>
      </c>
      <c r="G3264">
        <v>440770132</v>
      </c>
      <c r="H3264">
        <v>383763073</v>
      </c>
      <c r="I3264">
        <v>356604041</v>
      </c>
      <c r="J3264">
        <v>393899281</v>
      </c>
      <c r="K3264">
        <v>485421625</v>
      </c>
      <c r="L3264">
        <v>494498133</v>
      </c>
      <c r="M3264">
        <v>216650383</v>
      </c>
      <c r="N3264">
        <v>111243096</v>
      </c>
      <c r="O3264">
        <v>60974966</v>
      </c>
      <c r="P3264">
        <v>240</v>
      </c>
      <c r="Q3264" t="s">
        <v>6869</v>
      </c>
    </row>
    <row r="3265" spans="1:17" x14ac:dyDescent="0.3">
      <c r="A3265" t="s">
        <v>4729</v>
      </c>
      <c r="B3265" t="str">
        <f>"002540"</f>
        <v>002540</v>
      </c>
      <c r="C3265" t="s">
        <v>6870</v>
      </c>
      <c r="D3265" t="s">
        <v>504</v>
      </c>
      <c r="F3265">
        <v>1461298813</v>
      </c>
      <c r="G3265">
        <v>1081491201</v>
      </c>
      <c r="H3265">
        <v>889100947</v>
      </c>
      <c r="I3265">
        <v>759870137</v>
      </c>
      <c r="J3265">
        <v>789150280</v>
      </c>
      <c r="K3265">
        <v>644387024</v>
      </c>
      <c r="L3265">
        <v>459818331</v>
      </c>
      <c r="M3265">
        <v>420696606</v>
      </c>
      <c r="N3265">
        <v>420384061</v>
      </c>
      <c r="O3265">
        <v>315729202</v>
      </c>
      <c r="P3265">
        <v>161</v>
      </c>
      <c r="Q3265" t="s">
        <v>6871</v>
      </c>
    </row>
    <row r="3266" spans="1:17" x14ac:dyDescent="0.3">
      <c r="A3266" t="s">
        <v>4729</v>
      </c>
      <c r="B3266" t="str">
        <f>"002541"</f>
        <v>002541</v>
      </c>
      <c r="C3266" t="s">
        <v>6872</v>
      </c>
      <c r="D3266" t="s">
        <v>978</v>
      </c>
      <c r="F3266">
        <v>2140247741</v>
      </c>
      <c r="G3266">
        <v>1548497515</v>
      </c>
      <c r="H3266">
        <v>1677450352</v>
      </c>
      <c r="I3266">
        <v>1611773146</v>
      </c>
      <c r="J3266">
        <v>1585677763</v>
      </c>
      <c r="K3266">
        <v>1588079699</v>
      </c>
      <c r="L3266">
        <v>1678542014</v>
      </c>
      <c r="M3266">
        <v>1646521747</v>
      </c>
      <c r="N3266">
        <v>1373750766</v>
      </c>
      <c r="O3266">
        <v>897988170</v>
      </c>
      <c r="P3266">
        <v>443</v>
      </c>
      <c r="Q3266" t="s">
        <v>6873</v>
      </c>
    </row>
    <row r="3267" spans="1:17" x14ac:dyDescent="0.3">
      <c r="A3267" t="s">
        <v>4729</v>
      </c>
      <c r="B3267" t="str">
        <f>"002542"</f>
        <v>002542</v>
      </c>
      <c r="C3267" t="s">
        <v>6874</v>
      </c>
      <c r="D3267" t="s">
        <v>1992</v>
      </c>
      <c r="F3267">
        <v>4289317280</v>
      </c>
      <c r="G3267">
        <v>4363609778</v>
      </c>
      <c r="H3267">
        <v>2833107671</v>
      </c>
      <c r="I3267">
        <v>2342103787</v>
      </c>
      <c r="J3267">
        <v>1819801751</v>
      </c>
      <c r="K3267">
        <v>1291142435</v>
      </c>
      <c r="L3267">
        <v>949982743</v>
      </c>
      <c r="M3267">
        <v>952338238</v>
      </c>
      <c r="N3267">
        <v>259697128</v>
      </c>
      <c r="O3267">
        <v>248653788</v>
      </c>
      <c r="P3267">
        <v>161</v>
      </c>
      <c r="Q3267" t="s">
        <v>6875</v>
      </c>
    </row>
    <row r="3268" spans="1:17" x14ac:dyDescent="0.3">
      <c r="A3268" t="s">
        <v>4729</v>
      </c>
      <c r="B3268" t="str">
        <f>"002543"</f>
        <v>002543</v>
      </c>
      <c r="C3268" t="s">
        <v>6876</v>
      </c>
      <c r="D3268" t="s">
        <v>2892</v>
      </c>
      <c r="F3268">
        <v>871010620</v>
      </c>
      <c r="G3268">
        <v>876808113</v>
      </c>
      <c r="H3268">
        <v>792595596</v>
      </c>
      <c r="I3268">
        <v>603252894</v>
      </c>
      <c r="J3268">
        <v>625423257</v>
      </c>
      <c r="K3268">
        <v>606623493</v>
      </c>
      <c r="L3268">
        <v>487237092</v>
      </c>
      <c r="M3268">
        <v>414325166</v>
      </c>
      <c r="N3268">
        <v>336002700</v>
      </c>
      <c r="O3268">
        <v>265581220</v>
      </c>
      <c r="P3268">
        <v>434</v>
      </c>
      <c r="Q3268" t="s">
        <v>6877</v>
      </c>
    </row>
    <row r="3269" spans="1:17" x14ac:dyDescent="0.3">
      <c r="A3269" t="s">
        <v>4729</v>
      </c>
      <c r="B3269" t="str">
        <f>"002544"</f>
        <v>002544</v>
      </c>
      <c r="C3269" t="s">
        <v>6878</v>
      </c>
      <c r="D3269" t="s">
        <v>654</v>
      </c>
      <c r="F3269">
        <v>3025201964</v>
      </c>
      <c r="G3269">
        <v>3036002238</v>
      </c>
      <c r="H3269">
        <v>3410505271</v>
      </c>
      <c r="I3269">
        <v>2887643557</v>
      </c>
      <c r="J3269">
        <v>2176549713</v>
      </c>
      <c r="K3269">
        <v>1070207612</v>
      </c>
      <c r="L3269">
        <v>1011155187</v>
      </c>
      <c r="M3269">
        <v>895910980</v>
      </c>
      <c r="N3269">
        <v>692865745</v>
      </c>
      <c r="O3269">
        <v>544291069</v>
      </c>
      <c r="P3269">
        <v>324</v>
      </c>
      <c r="Q3269" t="s">
        <v>6879</v>
      </c>
    </row>
    <row r="3270" spans="1:17" x14ac:dyDescent="0.3">
      <c r="A3270" t="s">
        <v>4729</v>
      </c>
      <c r="B3270" t="str">
        <f>"002545"</f>
        <v>002545</v>
      </c>
      <c r="C3270" t="s">
        <v>6880</v>
      </c>
      <c r="D3270" t="s">
        <v>978</v>
      </c>
      <c r="F3270">
        <v>492270984</v>
      </c>
      <c r="G3270">
        <v>511025324</v>
      </c>
      <c r="H3270">
        <v>608217945</v>
      </c>
      <c r="I3270">
        <v>602504265</v>
      </c>
      <c r="J3270">
        <v>681239206</v>
      </c>
      <c r="K3270">
        <v>699213451</v>
      </c>
      <c r="L3270">
        <v>628812866</v>
      </c>
      <c r="M3270">
        <v>766250776</v>
      </c>
      <c r="N3270">
        <v>1024140260</v>
      </c>
      <c r="O3270">
        <v>1104199279</v>
      </c>
      <c r="P3270">
        <v>138</v>
      </c>
      <c r="Q3270" t="s">
        <v>6881</v>
      </c>
    </row>
    <row r="3271" spans="1:17" x14ac:dyDescent="0.3">
      <c r="A3271" t="s">
        <v>4729</v>
      </c>
      <c r="B3271" t="str">
        <f>"002546"</f>
        <v>002546</v>
      </c>
      <c r="C3271" t="s">
        <v>6882</v>
      </c>
      <c r="D3271" t="s">
        <v>2180</v>
      </c>
      <c r="F3271">
        <v>184134564</v>
      </c>
      <c r="G3271">
        <v>185970687</v>
      </c>
      <c r="H3271">
        <v>295536841</v>
      </c>
      <c r="I3271">
        <v>320552332</v>
      </c>
      <c r="J3271">
        <v>324672535</v>
      </c>
      <c r="K3271">
        <v>379816427</v>
      </c>
      <c r="L3271">
        <v>443592156</v>
      </c>
      <c r="M3271">
        <v>327292837</v>
      </c>
      <c r="N3271">
        <v>165582636</v>
      </c>
      <c r="O3271">
        <v>183499010</v>
      </c>
      <c r="P3271">
        <v>76</v>
      </c>
      <c r="Q3271" t="s">
        <v>6883</v>
      </c>
    </row>
    <row r="3272" spans="1:17" x14ac:dyDescent="0.3">
      <c r="A3272" t="s">
        <v>4729</v>
      </c>
      <c r="B3272" t="str">
        <f>"002547"</f>
        <v>002547</v>
      </c>
      <c r="C3272" t="s">
        <v>6884</v>
      </c>
      <c r="D3272" t="s">
        <v>313</v>
      </c>
      <c r="F3272">
        <v>909910563</v>
      </c>
      <c r="G3272">
        <v>923174646</v>
      </c>
      <c r="H3272">
        <v>1753976040</v>
      </c>
      <c r="I3272">
        <v>1564914791</v>
      </c>
      <c r="J3272">
        <v>1299751731</v>
      </c>
      <c r="K3272">
        <v>857160205</v>
      </c>
      <c r="L3272">
        <v>660702043</v>
      </c>
      <c r="M3272">
        <v>661924255</v>
      </c>
      <c r="N3272">
        <v>397658389</v>
      </c>
      <c r="O3272">
        <v>378157059</v>
      </c>
      <c r="P3272">
        <v>306</v>
      </c>
      <c r="Q3272" t="s">
        <v>6885</v>
      </c>
    </row>
    <row r="3273" spans="1:17" x14ac:dyDescent="0.3">
      <c r="A3273" t="s">
        <v>4729</v>
      </c>
      <c r="B3273" t="str">
        <f>"002548"</f>
        <v>002548</v>
      </c>
      <c r="C3273" t="s">
        <v>6886</v>
      </c>
      <c r="D3273" t="s">
        <v>2886</v>
      </c>
      <c r="F3273">
        <v>78820854</v>
      </c>
      <c r="G3273">
        <v>146757146</v>
      </c>
      <c r="H3273">
        <v>200300010</v>
      </c>
      <c r="I3273">
        <v>316605939</v>
      </c>
      <c r="J3273">
        <v>266804025</v>
      </c>
      <c r="K3273">
        <v>214995763</v>
      </c>
      <c r="L3273">
        <v>174039648</v>
      </c>
      <c r="M3273">
        <v>134215078</v>
      </c>
      <c r="N3273">
        <v>54257130</v>
      </c>
      <c r="O3273">
        <v>18544234</v>
      </c>
      <c r="P3273">
        <v>260</v>
      </c>
      <c r="Q3273" t="s">
        <v>6887</v>
      </c>
    </row>
    <row r="3274" spans="1:17" x14ac:dyDescent="0.3">
      <c r="A3274" t="s">
        <v>4729</v>
      </c>
      <c r="B3274" t="str">
        <f>"002549"</f>
        <v>002549</v>
      </c>
      <c r="C3274" t="s">
        <v>6888</v>
      </c>
      <c r="D3274" t="s">
        <v>386</v>
      </c>
      <c r="F3274">
        <v>62263545</v>
      </c>
      <c r="G3274">
        <v>52729070</v>
      </c>
      <c r="H3274">
        <v>50790990</v>
      </c>
      <c r="I3274">
        <v>53449855</v>
      </c>
      <c r="J3274">
        <v>45261007</v>
      </c>
      <c r="K3274">
        <v>41132935</v>
      </c>
      <c r="L3274">
        <v>24055430</v>
      </c>
      <c r="M3274">
        <v>92202945</v>
      </c>
      <c r="N3274">
        <v>100978794</v>
      </c>
      <c r="O3274">
        <v>24429800</v>
      </c>
      <c r="P3274">
        <v>172</v>
      </c>
      <c r="Q3274" t="s">
        <v>6889</v>
      </c>
    </row>
    <row r="3275" spans="1:17" x14ac:dyDescent="0.3">
      <c r="A3275" t="s">
        <v>4729</v>
      </c>
      <c r="B3275" t="str">
        <f>"002550"</f>
        <v>002550</v>
      </c>
      <c r="C3275" t="s">
        <v>6890</v>
      </c>
      <c r="D3275" t="s">
        <v>143</v>
      </c>
      <c r="F3275">
        <v>395723389</v>
      </c>
      <c r="G3275">
        <v>388958504</v>
      </c>
      <c r="H3275">
        <v>424978681</v>
      </c>
      <c r="I3275">
        <v>293762023</v>
      </c>
      <c r="J3275">
        <v>224187817</v>
      </c>
      <c r="K3275">
        <v>210451254</v>
      </c>
      <c r="L3275">
        <v>220870410</v>
      </c>
      <c r="M3275">
        <v>176650347</v>
      </c>
      <c r="N3275">
        <v>145945784</v>
      </c>
      <c r="O3275">
        <v>138084001</v>
      </c>
      <c r="P3275">
        <v>172</v>
      </c>
      <c r="Q3275" t="s">
        <v>6891</v>
      </c>
    </row>
    <row r="3276" spans="1:17" x14ac:dyDescent="0.3">
      <c r="A3276" t="s">
        <v>4729</v>
      </c>
      <c r="B3276" t="str">
        <f>"002551"</f>
        <v>002551</v>
      </c>
      <c r="C3276" t="s">
        <v>6892</v>
      </c>
      <c r="D3276" t="s">
        <v>1077</v>
      </c>
      <c r="F3276">
        <v>705891312</v>
      </c>
      <c r="G3276">
        <v>707319813</v>
      </c>
      <c r="H3276">
        <v>870041707</v>
      </c>
      <c r="I3276">
        <v>1077515314</v>
      </c>
      <c r="J3276">
        <v>1050592504</v>
      </c>
      <c r="K3276">
        <v>1234237202</v>
      </c>
      <c r="L3276">
        <v>932847495</v>
      </c>
      <c r="M3276">
        <v>615459146</v>
      </c>
      <c r="N3276">
        <v>456907954</v>
      </c>
      <c r="O3276">
        <v>276990491</v>
      </c>
      <c r="P3276">
        <v>242</v>
      </c>
      <c r="Q3276" t="s">
        <v>6893</v>
      </c>
    </row>
    <row r="3277" spans="1:17" x14ac:dyDescent="0.3">
      <c r="A3277" t="s">
        <v>4729</v>
      </c>
      <c r="B3277" t="str">
        <f>"002552"</f>
        <v>002552</v>
      </c>
      <c r="C3277" t="s">
        <v>6894</v>
      </c>
      <c r="D3277" t="s">
        <v>274</v>
      </c>
      <c r="F3277">
        <v>80283993</v>
      </c>
      <c r="G3277">
        <v>93293915</v>
      </c>
      <c r="H3277">
        <v>90754439</v>
      </c>
      <c r="I3277">
        <v>92965814</v>
      </c>
      <c r="J3277">
        <v>81229540</v>
      </c>
      <c r="K3277">
        <v>88856823</v>
      </c>
      <c r="L3277">
        <v>125967810</v>
      </c>
      <c r="M3277">
        <v>117572238</v>
      </c>
      <c r="N3277">
        <v>107333749</v>
      </c>
      <c r="O3277">
        <v>104577487</v>
      </c>
      <c r="P3277">
        <v>83</v>
      </c>
      <c r="Q3277" t="s">
        <v>6895</v>
      </c>
    </row>
    <row r="3278" spans="1:17" x14ac:dyDescent="0.3">
      <c r="A3278" t="s">
        <v>4729</v>
      </c>
      <c r="B3278" t="str">
        <f>"002553"</f>
        <v>002553</v>
      </c>
      <c r="C3278" t="s">
        <v>6896</v>
      </c>
      <c r="D3278" t="s">
        <v>348</v>
      </c>
      <c r="F3278">
        <v>145366325</v>
      </c>
      <c r="G3278">
        <v>130400990</v>
      </c>
      <c r="H3278">
        <v>110244659</v>
      </c>
      <c r="I3278">
        <v>88201010</v>
      </c>
      <c r="J3278">
        <v>85630991</v>
      </c>
      <c r="K3278">
        <v>75411117</v>
      </c>
      <c r="L3278">
        <v>64485779</v>
      </c>
      <c r="M3278">
        <v>63306301</v>
      </c>
      <c r="N3278">
        <v>56966788</v>
      </c>
      <c r="O3278">
        <v>52102015</v>
      </c>
      <c r="P3278">
        <v>140</v>
      </c>
      <c r="Q3278" t="s">
        <v>6897</v>
      </c>
    </row>
    <row r="3279" spans="1:17" x14ac:dyDescent="0.3">
      <c r="A3279" t="s">
        <v>4729</v>
      </c>
      <c r="B3279" t="str">
        <f>"002554"</f>
        <v>002554</v>
      </c>
      <c r="C3279" t="s">
        <v>6898</v>
      </c>
      <c r="D3279" t="s">
        <v>762</v>
      </c>
      <c r="F3279">
        <v>683899997</v>
      </c>
      <c r="G3279">
        <v>683982717</v>
      </c>
      <c r="H3279">
        <v>969064652</v>
      </c>
      <c r="I3279">
        <v>1056544032</v>
      </c>
      <c r="J3279">
        <v>947460586</v>
      </c>
      <c r="K3279">
        <v>797358769</v>
      </c>
      <c r="L3279">
        <v>971759600</v>
      </c>
      <c r="M3279">
        <v>639062479</v>
      </c>
      <c r="N3279">
        <v>457412295</v>
      </c>
      <c r="O3279">
        <v>327738234</v>
      </c>
      <c r="P3279">
        <v>112</v>
      </c>
      <c r="Q3279" t="s">
        <v>6899</v>
      </c>
    </row>
    <row r="3280" spans="1:17" x14ac:dyDescent="0.3">
      <c r="A3280" t="s">
        <v>4729</v>
      </c>
      <c r="B3280" t="str">
        <f>"002555"</f>
        <v>002555</v>
      </c>
      <c r="C3280" t="s">
        <v>6900</v>
      </c>
      <c r="D3280" t="s">
        <v>517</v>
      </c>
      <c r="F3280">
        <v>1264319473</v>
      </c>
      <c r="G3280">
        <v>1164657998</v>
      </c>
      <c r="H3280">
        <v>1287915083</v>
      </c>
      <c r="I3280">
        <v>1298554481</v>
      </c>
      <c r="J3280">
        <v>884909013</v>
      </c>
      <c r="K3280">
        <v>815645755</v>
      </c>
      <c r="L3280">
        <v>466714371</v>
      </c>
      <c r="M3280">
        <v>243219193</v>
      </c>
      <c r="N3280">
        <v>52023884</v>
      </c>
      <c r="O3280">
        <v>45046892</v>
      </c>
      <c r="P3280">
        <v>2918</v>
      </c>
      <c r="Q3280" t="s">
        <v>6901</v>
      </c>
    </row>
    <row r="3281" spans="1:17" x14ac:dyDescent="0.3">
      <c r="A3281" t="s">
        <v>4729</v>
      </c>
      <c r="B3281" t="str">
        <f>"002556"</f>
        <v>002556</v>
      </c>
      <c r="C3281" t="s">
        <v>6902</v>
      </c>
      <c r="D3281" t="s">
        <v>6903</v>
      </c>
      <c r="F3281">
        <v>248883834</v>
      </c>
      <c r="G3281">
        <v>272809498</v>
      </c>
      <c r="H3281">
        <v>252800192</v>
      </c>
      <c r="I3281">
        <v>204890965</v>
      </c>
      <c r="J3281">
        <v>252625669</v>
      </c>
      <c r="K3281">
        <v>169394378</v>
      </c>
      <c r="L3281">
        <v>214409374</v>
      </c>
      <c r="M3281">
        <v>250081518</v>
      </c>
      <c r="N3281">
        <v>145632955</v>
      </c>
      <c r="O3281">
        <v>188059363</v>
      </c>
      <c r="P3281">
        <v>110</v>
      </c>
      <c r="Q3281" t="s">
        <v>6904</v>
      </c>
    </row>
    <row r="3282" spans="1:17" x14ac:dyDescent="0.3">
      <c r="A3282" t="s">
        <v>4729</v>
      </c>
      <c r="B3282" t="str">
        <f>"002557"</f>
        <v>002557</v>
      </c>
      <c r="C3282" t="s">
        <v>6905</v>
      </c>
      <c r="D3282" t="s">
        <v>3194</v>
      </c>
      <c r="F3282">
        <v>319728461</v>
      </c>
      <c r="G3282">
        <v>217535243</v>
      </c>
      <c r="H3282">
        <v>224562135</v>
      </c>
      <c r="I3282">
        <v>179725262</v>
      </c>
      <c r="J3282">
        <v>189740348</v>
      </c>
      <c r="K3282">
        <v>149960778</v>
      </c>
      <c r="L3282">
        <v>123329934</v>
      </c>
      <c r="M3282">
        <v>96285859</v>
      </c>
      <c r="N3282">
        <v>88397121</v>
      </c>
      <c r="O3282">
        <v>88000736</v>
      </c>
      <c r="P3282">
        <v>1823</v>
      </c>
      <c r="Q3282" t="s">
        <v>6906</v>
      </c>
    </row>
    <row r="3283" spans="1:17" x14ac:dyDescent="0.3">
      <c r="A3283" t="s">
        <v>4729</v>
      </c>
      <c r="B3283" t="str">
        <f>"002558"</f>
        <v>002558</v>
      </c>
      <c r="C3283" t="s">
        <v>6907</v>
      </c>
      <c r="D3283" t="s">
        <v>517</v>
      </c>
      <c r="F3283">
        <v>127041557</v>
      </c>
      <c r="G3283">
        <v>207561125</v>
      </c>
      <c r="H3283">
        <v>217640788</v>
      </c>
      <c r="I3283">
        <v>786136896</v>
      </c>
      <c r="J3283">
        <v>1165629843</v>
      </c>
      <c r="K3283">
        <v>325021631</v>
      </c>
      <c r="L3283">
        <v>10237017</v>
      </c>
      <c r="M3283">
        <v>10042649</v>
      </c>
      <c r="N3283">
        <v>25771895</v>
      </c>
      <c r="O3283">
        <v>17213143</v>
      </c>
      <c r="P3283">
        <v>458</v>
      </c>
      <c r="Q3283" t="s">
        <v>6908</v>
      </c>
    </row>
    <row r="3284" spans="1:17" x14ac:dyDescent="0.3">
      <c r="A3284" t="s">
        <v>4729</v>
      </c>
      <c r="B3284" t="str">
        <f>"002559"</f>
        <v>002559</v>
      </c>
      <c r="C3284" t="s">
        <v>6909</v>
      </c>
      <c r="D3284" t="s">
        <v>2321</v>
      </c>
      <c r="F3284">
        <v>348560102</v>
      </c>
      <c r="G3284">
        <v>321584843</v>
      </c>
      <c r="H3284">
        <v>312802897</v>
      </c>
      <c r="I3284">
        <v>359793302</v>
      </c>
      <c r="J3284">
        <v>331526690</v>
      </c>
      <c r="K3284">
        <v>249007667</v>
      </c>
      <c r="L3284">
        <v>210393531</v>
      </c>
      <c r="M3284">
        <v>117255295</v>
      </c>
      <c r="N3284">
        <v>94216678</v>
      </c>
      <c r="O3284">
        <v>93319044</v>
      </c>
      <c r="P3284">
        <v>149</v>
      </c>
      <c r="Q3284" t="s">
        <v>6910</v>
      </c>
    </row>
    <row r="3285" spans="1:17" x14ac:dyDescent="0.3">
      <c r="A3285" t="s">
        <v>4729</v>
      </c>
      <c r="B3285" t="str">
        <f>"002560"</f>
        <v>002560</v>
      </c>
      <c r="C3285" t="s">
        <v>6911</v>
      </c>
      <c r="D3285" t="s">
        <v>1164</v>
      </c>
      <c r="F3285">
        <v>1016032905</v>
      </c>
      <c r="G3285">
        <v>706696001</v>
      </c>
      <c r="H3285">
        <v>595828361</v>
      </c>
      <c r="I3285">
        <v>651457153</v>
      </c>
      <c r="J3285">
        <v>662447786</v>
      </c>
      <c r="K3285">
        <v>663975138</v>
      </c>
      <c r="L3285">
        <v>427719251</v>
      </c>
      <c r="M3285">
        <v>332766784</v>
      </c>
      <c r="N3285">
        <v>303854354</v>
      </c>
      <c r="O3285">
        <v>337068841</v>
      </c>
      <c r="P3285">
        <v>138</v>
      </c>
      <c r="Q3285" t="s">
        <v>6912</v>
      </c>
    </row>
    <row r="3286" spans="1:17" x14ac:dyDescent="0.3">
      <c r="A3286" t="s">
        <v>4729</v>
      </c>
      <c r="B3286" t="str">
        <f>"002561"</f>
        <v>002561</v>
      </c>
      <c r="C3286" t="s">
        <v>6913</v>
      </c>
      <c r="D3286" t="s">
        <v>633</v>
      </c>
      <c r="F3286">
        <v>13575869</v>
      </c>
      <c r="G3286">
        <v>21253505</v>
      </c>
      <c r="H3286">
        <v>21500702</v>
      </c>
      <c r="I3286">
        <v>35040098</v>
      </c>
      <c r="J3286">
        <v>24917006</v>
      </c>
      <c r="K3286">
        <v>26606816</v>
      </c>
      <c r="L3286">
        <v>19693283</v>
      </c>
      <c r="M3286">
        <v>22146136</v>
      </c>
      <c r="N3286">
        <v>20487424</v>
      </c>
      <c r="O3286">
        <v>25615362</v>
      </c>
      <c r="P3286">
        <v>183</v>
      </c>
      <c r="Q3286" t="s">
        <v>6914</v>
      </c>
    </row>
    <row r="3287" spans="1:17" x14ac:dyDescent="0.3">
      <c r="A3287" t="s">
        <v>4729</v>
      </c>
      <c r="B3287" t="str">
        <f>"002562"</f>
        <v>002562</v>
      </c>
      <c r="C3287" t="s">
        <v>6915</v>
      </c>
      <c r="D3287" t="s">
        <v>677</v>
      </c>
      <c r="F3287">
        <v>391920039</v>
      </c>
      <c r="G3287">
        <v>249910008</v>
      </c>
      <c r="H3287">
        <v>209683602</v>
      </c>
      <c r="I3287">
        <v>200400906</v>
      </c>
      <c r="J3287">
        <v>290246675</v>
      </c>
      <c r="K3287">
        <v>155072214</v>
      </c>
      <c r="L3287">
        <v>155298266</v>
      </c>
      <c r="M3287">
        <v>126347203</v>
      </c>
      <c r="N3287">
        <v>113510158</v>
      </c>
      <c r="O3287">
        <v>120383957</v>
      </c>
      <c r="P3287">
        <v>260</v>
      </c>
      <c r="Q3287" t="s">
        <v>6916</v>
      </c>
    </row>
    <row r="3288" spans="1:17" x14ac:dyDescent="0.3">
      <c r="A3288" t="s">
        <v>4729</v>
      </c>
      <c r="B3288" t="str">
        <f>"002563"</f>
        <v>002563</v>
      </c>
      <c r="C3288" t="s">
        <v>6917</v>
      </c>
      <c r="D3288" t="s">
        <v>255</v>
      </c>
      <c r="F3288">
        <v>1451634504</v>
      </c>
      <c r="G3288">
        <v>1391807891</v>
      </c>
      <c r="H3288">
        <v>1973215260</v>
      </c>
      <c r="I3288">
        <v>1952678694</v>
      </c>
      <c r="J3288">
        <v>1422148626</v>
      </c>
      <c r="K3288">
        <v>1944271673</v>
      </c>
      <c r="L3288">
        <v>1530587884</v>
      </c>
      <c r="M3288">
        <v>1076522937</v>
      </c>
      <c r="N3288">
        <v>615957361</v>
      </c>
      <c r="O3288">
        <v>656071892</v>
      </c>
      <c r="P3288">
        <v>904</v>
      </c>
      <c r="Q3288" t="s">
        <v>6918</v>
      </c>
    </row>
    <row r="3289" spans="1:17" x14ac:dyDescent="0.3">
      <c r="A3289" t="s">
        <v>4729</v>
      </c>
      <c r="B3289" t="str">
        <f>"002564"</f>
        <v>002564</v>
      </c>
      <c r="C3289" t="s">
        <v>6919</v>
      </c>
      <c r="D3289" t="s">
        <v>395</v>
      </c>
      <c r="F3289">
        <v>4521905352</v>
      </c>
      <c r="G3289">
        <v>6238879961</v>
      </c>
      <c r="H3289">
        <v>6793411115</v>
      </c>
      <c r="I3289">
        <v>7462651841</v>
      </c>
      <c r="J3289">
        <v>4845273542</v>
      </c>
      <c r="K3289">
        <v>3689133425</v>
      </c>
      <c r="L3289">
        <v>1892850924</v>
      </c>
      <c r="M3289">
        <v>2049255297</v>
      </c>
      <c r="N3289">
        <v>1397575912</v>
      </c>
      <c r="O3289">
        <v>1079686178</v>
      </c>
      <c r="P3289">
        <v>130</v>
      </c>
      <c r="Q3289" t="s">
        <v>6920</v>
      </c>
    </row>
    <row r="3290" spans="1:17" x14ac:dyDescent="0.3">
      <c r="A3290" t="s">
        <v>4729</v>
      </c>
      <c r="B3290" t="str">
        <f>"002565"</f>
        <v>002565</v>
      </c>
      <c r="C3290" t="s">
        <v>6921</v>
      </c>
      <c r="D3290" t="s">
        <v>2165</v>
      </c>
      <c r="F3290">
        <v>373834798</v>
      </c>
      <c r="G3290">
        <v>417110690</v>
      </c>
      <c r="H3290">
        <v>498959684</v>
      </c>
      <c r="I3290">
        <v>556581560</v>
      </c>
      <c r="J3290">
        <v>651473633</v>
      </c>
      <c r="K3290">
        <v>675027635</v>
      </c>
      <c r="L3290">
        <v>566936276</v>
      </c>
      <c r="M3290">
        <v>569752940</v>
      </c>
      <c r="N3290">
        <v>562187797</v>
      </c>
      <c r="O3290">
        <v>365707307</v>
      </c>
      <c r="P3290">
        <v>107</v>
      </c>
      <c r="Q3290" t="s">
        <v>6922</v>
      </c>
    </row>
    <row r="3291" spans="1:17" x14ac:dyDescent="0.3">
      <c r="A3291" t="s">
        <v>4729</v>
      </c>
      <c r="B3291" t="str">
        <f>"002566"</f>
        <v>002566</v>
      </c>
      <c r="C3291" t="s">
        <v>6923</v>
      </c>
      <c r="D3291" t="s">
        <v>188</v>
      </c>
      <c r="F3291">
        <v>195846007</v>
      </c>
      <c r="G3291">
        <v>205229958</v>
      </c>
      <c r="H3291">
        <v>185852581</v>
      </c>
      <c r="I3291">
        <v>183496244</v>
      </c>
      <c r="J3291">
        <v>187211497</v>
      </c>
      <c r="K3291">
        <v>201451245</v>
      </c>
      <c r="L3291">
        <v>172562957</v>
      </c>
      <c r="M3291">
        <v>169873542</v>
      </c>
      <c r="N3291">
        <v>163185503</v>
      </c>
      <c r="O3291">
        <v>179662729</v>
      </c>
      <c r="P3291">
        <v>134</v>
      </c>
      <c r="Q3291" t="s">
        <v>6924</v>
      </c>
    </row>
    <row r="3292" spans="1:17" x14ac:dyDescent="0.3">
      <c r="A3292" t="s">
        <v>4729</v>
      </c>
      <c r="B3292" t="str">
        <f>"002567"</f>
        <v>002567</v>
      </c>
      <c r="C3292" t="s">
        <v>6925</v>
      </c>
      <c r="D3292" t="s">
        <v>2886</v>
      </c>
      <c r="F3292">
        <v>278416004</v>
      </c>
      <c r="G3292">
        <v>226240881</v>
      </c>
      <c r="H3292">
        <v>185699088</v>
      </c>
      <c r="I3292">
        <v>178600581</v>
      </c>
      <c r="J3292">
        <v>179638429</v>
      </c>
      <c r="K3292">
        <v>140488896</v>
      </c>
      <c r="L3292">
        <v>64509969</v>
      </c>
      <c r="M3292">
        <v>81260679</v>
      </c>
      <c r="N3292">
        <v>63680953</v>
      </c>
      <c r="O3292">
        <v>66461659</v>
      </c>
      <c r="P3292">
        <v>451</v>
      </c>
      <c r="Q3292" t="s">
        <v>6926</v>
      </c>
    </row>
    <row r="3293" spans="1:17" x14ac:dyDescent="0.3">
      <c r="A3293" t="s">
        <v>4729</v>
      </c>
      <c r="B3293" t="str">
        <f>"002568"</f>
        <v>002568</v>
      </c>
      <c r="C3293" t="s">
        <v>6927</v>
      </c>
      <c r="D3293" t="s">
        <v>134</v>
      </c>
      <c r="F3293">
        <v>164799524</v>
      </c>
      <c r="G3293">
        <v>107144085</v>
      </c>
      <c r="H3293">
        <v>118446903</v>
      </c>
      <c r="I3293">
        <v>106964834</v>
      </c>
      <c r="J3293">
        <v>87133292</v>
      </c>
      <c r="K3293">
        <v>55834957</v>
      </c>
      <c r="L3293">
        <v>74946623</v>
      </c>
      <c r="M3293">
        <v>35096591</v>
      </c>
      <c r="N3293">
        <v>21126799</v>
      </c>
      <c r="O3293">
        <v>31841611</v>
      </c>
      <c r="P3293">
        <v>1074</v>
      </c>
      <c r="Q3293" t="s">
        <v>6928</v>
      </c>
    </row>
    <row r="3294" spans="1:17" x14ac:dyDescent="0.3">
      <c r="A3294" t="s">
        <v>4729</v>
      </c>
      <c r="B3294" t="str">
        <f>"002569"</f>
        <v>002569</v>
      </c>
      <c r="C3294" t="s">
        <v>6929</v>
      </c>
      <c r="D3294" t="s">
        <v>255</v>
      </c>
      <c r="F3294">
        <v>77488179</v>
      </c>
      <c r="G3294">
        <v>35094213</v>
      </c>
      <c r="H3294">
        <v>65656257</v>
      </c>
      <c r="I3294">
        <v>58867898</v>
      </c>
      <c r="J3294">
        <v>64693191</v>
      </c>
      <c r="K3294">
        <v>72721586</v>
      </c>
      <c r="L3294">
        <v>72488895</v>
      </c>
      <c r="M3294">
        <v>85204677</v>
      </c>
      <c r="N3294">
        <v>121196020</v>
      </c>
      <c r="O3294">
        <v>106499809</v>
      </c>
      <c r="P3294">
        <v>59</v>
      </c>
      <c r="Q3294" t="s">
        <v>6930</v>
      </c>
    </row>
    <row r="3295" spans="1:17" x14ac:dyDescent="0.3">
      <c r="A3295" t="s">
        <v>4729</v>
      </c>
      <c r="B3295" t="str">
        <f>"002570"</f>
        <v>002570</v>
      </c>
      <c r="C3295" t="s">
        <v>6931</v>
      </c>
      <c r="D3295" t="s">
        <v>900</v>
      </c>
      <c r="F3295">
        <v>741811793</v>
      </c>
      <c r="G3295">
        <v>642802698</v>
      </c>
      <c r="H3295">
        <v>786270024</v>
      </c>
      <c r="I3295">
        <v>730678899</v>
      </c>
      <c r="J3295">
        <v>807900829</v>
      </c>
      <c r="K3295">
        <v>1166320568</v>
      </c>
      <c r="L3295">
        <v>1362660666</v>
      </c>
      <c r="M3295">
        <v>424949397</v>
      </c>
      <c r="N3295">
        <v>352524942</v>
      </c>
      <c r="O3295">
        <v>227542912</v>
      </c>
      <c r="P3295">
        <v>261</v>
      </c>
      <c r="Q3295" t="s">
        <v>6932</v>
      </c>
    </row>
    <row r="3296" spans="1:17" x14ac:dyDescent="0.3">
      <c r="A3296" t="s">
        <v>4729</v>
      </c>
      <c r="B3296" t="str">
        <f>"002571"</f>
        <v>002571</v>
      </c>
      <c r="C3296" t="s">
        <v>6933</v>
      </c>
      <c r="D3296" t="s">
        <v>2445</v>
      </c>
      <c r="F3296">
        <v>116771499</v>
      </c>
      <c r="G3296">
        <v>110165852</v>
      </c>
      <c r="H3296">
        <v>135054744</v>
      </c>
      <c r="I3296">
        <v>168718518</v>
      </c>
      <c r="J3296">
        <v>201748679</v>
      </c>
      <c r="K3296">
        <v>252961000</v>
      </c>
      <c r="L3296">
        <v>255319854</v>
      </c>
      <c r="M3296">
        <v>268626754</v>
      </c>
      <c r="N3296">
        <v>249085301</v>
      </c>
      <c r="O3296">
        <v>155313649</v>
      </c>
      <c r="P3296">
        <v>92</v>
      </c>
      <c r="Q3296" t="s">
        <v>6934</v>
      </c>
    </row>
    <row r="3297" spans="1:17" x14ac:dyDescent="0.3">
      <c r="A3297" t="s">
        <v>4729</v>
      </c>
      <c r="B3297" t="str">
        <f>"002572"</f>
        <v>002572</v>
      </c>
      <c r="C3297" t="s">
        <v>6935</v>
      </c>
      <c r="D3297" t="s">
        <v>2664</v>
      </c>
      <c r="F3297">
        <v>1028044680</v>
      </c>
      <c r="G3297">
        <v>840459765</v>
      </c>
      <c r="H3297">
        <v>693637089</v>
      </c>
      <c r="I3297">
        <v>406573169</v>
      </c>
      <c r="J3297">
        <v>223738975</v>
      </c>
      <c r="K3297">
        <v>119630682</v>
      </c>
      <c r="L3297">
        <v>70977427</v>
      </c>
      <c r="M3297">
        <v>61896232</v>
      </c>
      <c r="N3297">
        <v>48762897</v>
      </c>
      <c r="O3297">
        <v>45459499</v>
      </c>
      <c r="P3297">
        <v>9141</v>
      </c>
      <c r="Q3297" t="s">
        <v>6936</v>
      </c>
    </row>
    <row r="3298" spans="1:17" x14ac:dyDescent="0.3">
      <c r="A3298" t="s">
        <v>4729</v>
      </c>
      <c r="B3298" t="str">
        <f>"002573"</f>
        <v>002573</v>
      </c>
      <c r="C3298" t="s">
        <v>6937</v>
      </c>
      <c r="D3298" t="s">
        <v>663</v>
      </c>
      <c r="F3298">
        <v>4421062453</v>
      </c>
      <c r="G3298">
        <v>2279576598</v>
      </c>
      <c r="H3298">
        <v>2403614959</v>
      </c>
      <c r="I3298">
        <v>3201919564</v>
      </c>
      <c r="J3298">
        <v>2961391635</v>
      </c>
      <c r="K3298">
        <v>2245798246</v>
      </c>
      <c r="L3298">
        <v>1070198000</v>
      </c>
      <c r="M3298">
        <v>443899236</v>
      </c>
      <c r="N3298">
        <v>265544527</v>
      </c>
      <c r="O3298">
        <v>143756577</v>
      </c>
      <c r="P3298">
        <v>613</v>
      </c>
      <c r="Q3298" t="s">
        <v>6938</v>
      </c>
    </row>
    <row r="3299" spans="1:17" x14ac:dyDescent="0.3">
      <c r="A3299" t="s">
        <v>4729</v>
      </c>
      <c r="B3299" t="str">
        <f>"002574"</f>
        <v>002574</v>
      </c>
      <c r="C3299" t="s">
        <v>6939</v>
      </c>
      <c r="D3299" t="s">
        <v>1238</v>
      </c>
      <c r="F3299">
        <v>321125203</v>
      </c>
      <c r="G3299">
        <v>284020904</v>
      </c>
      <c r="H3299">
        <v>304051826</v>
      </c>
      <c r="I3299">
        <v>232440552</v>
      </c>
      <c r="J3299">
        <v>267417268</v>
      </c>
      <c r="K3299">
        <v>326446236</v>
      </c>
      <c r="L3299">
        <v>589930001</v>
      </c>
      <c r="M3299">
        <v>569455822</v>
      </c>
      <c r="N3299">
        <v>491873545</v>
      </c>
      <c r="O3299">
        <v>627732094</v>
      </c>
      <c r="P3299">
        <v>105</v>
      </c>
      <c r="Q3299" t="s">
        <v>6940</v>
      </c>
    </row>
    <row r="3300" spans="1:17" x14ac:dyDescent="0.3">
      <c r="A3300" t="s">
        <v>4729</v>
      </c>
      <c r="B3300" t="str">
        <f>"002575"</f>
        <v>002575</v>
      </c>
      <c r="C3300" t="s">
        <v>6941</v>
      </c>
      <c r="D3300" t="s">
        <v>2931</v>
      </c>
      <c r="F3300">
        <v>7638086</v>
      </c>
      <c r="G3300">
        <v>14056071</v>
      </c>
      <c r="H3300">
        <v>9852082</v>
      </c>
      <c r="I3300">
        <v>24000</v>
      </c>
      <c r="J3300">
        <v>29115413</v>
      </c>
      <c r="K3300">
        <v>59005709</v>
      </c>
      <c r="L3300">
        <v>104114830</v>
      </c>
      <c r="M3300">
        <v>130546355</v>
      </c>
      <c r="N3300">
        <v>78647044</v>
      </c>
      <c r="O3300">
        <v>67123930</v>
      </c>
      <c r="P3300">
        <v>57</v>
      </c>
      <c r="Q3300" t="s">
        <v>6942</v>
      </c>
    </row>
    <row r="3301" spans="1:17" x14ac:dyDescent="0.3">
      <c r="A3301" t="s">
        <v>4729</v>
      </c>
      <c r="B3301" t="str">
        <f>"002576"</f>
        <v>002576</v>
      </c>
      <c r="C3301" t="s">
        <v>6943</v>
      </c>
      <c r="D3301" t="s">
        <v>1171</v>
      </c>
      <c r="F3301">
        <v>388901230</v>
      </c>
      <c r="G3301">
        <v>306465469</v>
      </c>
      <c r="H3301">
        <v>219784636</v>
      </c>
      <c r="I3301">
        <v>216881025</v>
      </c>
      <c r="J3301">
        <v>180643845</v>
      </c>
      <c r="K3301">
        <v>169289251</v>
      </c>
      <c r="L3301">
        <v>165167813</v>
      </c>
      <c r="M3301">
        <v>181676922</v>
      </c>
      <c r="N3301">
        <v>181225100</v>
      </c>
      <c r="O3301">
        <v>120112723</v>
      </c>
      <c r="P3301">
        <v>123</v>
      </c>
      <c r="Q3301" t="s">
        <v>6944</v>
      </c>
    </row>
    <row r="3302" spans="1:17" x14ac:dyDescent="0.3">
      <c r="A3302" t="s">
        <v>4729</v>
      </c>
      <c r="B3302" t="str">
        <f>"002577"</f>
        <v>002577</v>
      </c>
      <c r="C3302" t="s">
        <v>6945</v>
      </c>
      <c r="D3302" t="s">
        <v>236</v>
      </c>
      <c r="F3302">
        <v>127758800</v>
      </c>
      <c r="G3302">
        <v>102389103</v>
      </c>
      <c r="H3302">
        <v>102905940</v>
      </c>
      <c r="I3302">
        <v>100601594</v>
      </c>
      <c r="J3302">
        <v>82633639</v>
      </c>
      <c r="K3302">
        <v>98218551</v>
      </c>
      <c r="L3302">
        <v>62153298</v>
      </c>
      <c r="M3302">
        <v>75532193</v>
      </c>
      <c r="N3302">
        <v>55810186</v>
      </c>
      <c r="O3302">
        <v>46234730</v>
      </c>
      <c r="P3302">
        <v>83</v>
      </c>
      <c r="Q3302" t="s">
        <v>6946</v>
      </c>
    </row>
    <row r="3303" spans="1:17" x14ac:dyDescent="0.3">
      <c r="A3303" t="s">
        <v>4729</v>
      </c>
      <c r="B3303" t="str">
        <f>"002578"</f>
        <v>002578</v>
      </c>
      <c r="C3303" t="s">
        <v>6947</v>
      </c>
      <c r="D3303" t="s">
        <v>504</v>
      </c>
      <c r="F3303">
        <v>483406364</v>
      </c>
      <c r="G3303">
        <v>253045571</v>
      </c>
      <c r="H3303">
        <v>224474945</v>
      </c>
      <c r="I3303">
        <v>218348333</v>
      </c>
      <c r="J3303">
        <v>146469395</v>
      </c>
      <c r="K3303">
        <v>131036046</v>
      </c>
      <c r="L3303">
        <v>89806495</v>
      </c>
      <c r="M3303">
        <v>142517201</v>
      </c>
      <c r="N3303">
        <v>64276750</v>
      </c>
      <c r="O3303">
        <v>83664143</v>
      </c>
      <c r="P3303">
        <v>91</v>
      </c>
      <c r="Q3303" t="s">
        <v>6948</v>
      </c>
    </row>
    <row r="3304" spans="1:17" x14ac:dyDescent="0.3">
      <c r="A3304" t="s">
        <v>4729</v>
      </c>
      <c r="B3304" t="str">
        <f>"002579"</f>
        <v>002579</v>
      </c>
      <c r="C3304" t="s">
        <v>6949</v>
      </c>
      <c r="D3304" t="s">
        <v>425</v>
      </c>
      <c r="F3304">
        <v>1078595256</v>
      </c>
      <c r="G3304">
        <v>839881710</v>
      </c>
      <c r="H3304">
        <v>659851397</v>
      </c>
      <c r="I3304">
        <v>572636906</v>
      </c>
      <c r="J3304">
        <v>292564331</v>
      </c>
      <c r="K3304">
        <v>242932067</v>
      </c>
      <c r="L3304">
        <v>187467418</v>
      </c>
      <c r="M3304">
        <v>133260412</v>
      </c>
      <c r="N3304">
        <v>107994177</v>
      </c>
      <c r="O3304">
        <v>112912189</v>
      </c>
      <c r="P3304">
        <v>279</v>
      </c>
      <c r="Q3304" t="s">
        <v>6950</v>
      </c>
    </row>
    <row r="3305" spans="1:17" x14ac:dyDescent="0.3">
      <c r="A3305" t="s">
        <v>4729</v>
      </c>
      <c r="B3305" t="str">
        <f>"002580"</f>
        <v>002580</v>
      </c>
      <c r="C3305" t="s">
        <v>6951</v>
      </c>
      <c r="D3305" t="s">
        <v>555</v>
      </c>
      <c r="F3305">
        <v>715782788</v>
      </c>
      <c r="G3305">
        <v>609664658</v>
      </c>
      <c r="H3305">
        <v>688583353</v>
      </c>
      <c r="I3305">
        <v>752168015</v>
      </c>
      <c r="J3305">
        <v>733276048</v>
      </c>
      <c r="K3305">
        <v>691156622</v>
      </c>
      <c r="L3305">
        <v>597464468</v>
      </c>
      <c r="M3305">
        <v>496097950</v>
      </c>
      <c r="N3305">
        <v>403861928</v>
      </c>
      <c r="O3305">
        <v>372394969</v>
      </c>
      <c r="P3305">
        <v>114</v>
      </c>
      <c r="Q3305" t="s">
        <v>6952</v>
      </c>
    </row>
    <row r="3306" spans="1:17" x14ac:dyDescent="0.3">
      <c r="A3306" t="s">
        <v>4729</v>
      </c>
      <c r="B3306" t="str">
        <f>"002581"</f>
        <v>002581</v>
      </c>
      <c r="C3306" t="s">
        <v>6953</v>
      </c>
      <c r="D3306" t="s">
        <v>1379</v>
      </c>
      <c r="F3306">
        <v>251598427</v>
      </c>
      <c r="G3306">
        <v>319736515</v>
      </c>
      <c r="H3306">
        <v>438254191</v>
      </c>
      <c r="I3306">
        <v>442315611</v>
      </c>
      <c r="J3306">
        <v>472340582</v>
      </c>
      <c r="K3306">
        <v>418744289</v>
      </c>
      <c r="L3306">
        <v>303894834</v>
      </c>
      <c r="M3306">
        <v>36918380</v>
      </c>
      <c r="N3306">
        <v>37526043</v>
      </c>
      <c r="O3306">
        <v>18172545</v>
      </c>
      <c r="P3306">
        <v>228</v>
      </c>
      <c r="Q3306" t="s">
        <v>6954</v>
      </c>
    </row>
    <row r="3307" spans="1:17" x14ac:dyDescent="0.3">
      <c r="A3307" t="s">
        <v>4729</v>
      </c>
      <c r="B3307" t="str">
        <f>"002582"</f>
        <v>002582</v>
      </c>
      <c r="C3307" t="s">
        <v>6955</v>
      </c>
      <c r="D3307" t="s">
        <v>3194</v>
      </c>
      <c r="F3307">
        <v>96422265</v>
      </c>
      <c r="G3307">
        <v>104043528</v>
      </c>
      <c r="H3307">
        <v>407745611</v>
      </c>
      <c r="I3307">
        <v>450504480</v>
      </c>
      <c r="J3307">
        <v>370808203</v>
      </c>
      <c r="K3307">
        <v>330658437</v>
      </c>
      <c r="L3307">
        <v>201306614</v>
      </c>
      <c r="M3307">
        <v>143942695</v>
      </c>
      <c r="N3307">
        <v>131085945</v>
      </c>
      <c r="O3307">
        <v>90103261</v>
      </c>
      <c r="P3307">
        <v>439</v>
      </c>
      <c r="Q3307" t="s">
        <v>6956</v>
      </c>
    </row>
    <row r="3308" spans="1:17" x14ac:dyDescent="0.3">
      <c r="A3308" t="s">
        <v>4729</v>
      </c>
      <c r="B3308" t="str">
        <f>"002583"</f>
        <v>002583</v>
      </c>
      <c r="C3308" t="s">
        <v>6957</v>
      </c>
      <c r="D3308" t="s">
        <v>1019</v>
      </c>
      <c r="F3308">
        <v>3038708888</v>
      </c>
      <c r="G3308">
        <v>3971424768</v>
      </c>
      <c r="H3308">
        <v>4803639146</v>
      </c>
      <c r="I3308">
        <v>3883260588</v>
      </c>
      <c r="J3308">
        <v>3218687711</v>
      </c>
      <c r="K3308">
        <v>2265680463</v>
      </c>
      <c r="L3308">
        <v>1396197949</v>
      </c>
      <c r="M3308">
        <v>1040580608</v>
      </c>
      <c r="N3308">
        <v>954239646</v>
      </c>
      <c r="O3308">
        <v>726079249</v>
      </c>
      <c r="P3308">
        <v>397</v>
      </c>
      <c r="Q3308" t="s">
        <v>6958</v>
      </c>
    </row>
    <row r="3309" spans="1:17" x14ac:dyDescent="0.3">
      <c r="A3309" t="s">
        <v>4729</v>
      </c>
      <c r="B3309" t="str">
        <f>"002584"</f>
        <v>002584</v>
      </c>
      <c r="C3309" t="s">
        <v>6959</v>
      </c>
      <c r="D3309" t="s">
        <v>2408</v>
      </c>
      <c r="F3309">
        <v>1212893152</v>
      </c>
      <c r="G3309">
        <v>1178214396</v>
      </c>
      <c r="H3309">
        <v>595842637</v>
      </c>
      <c r="I3309">
        <v>704426213</v>
      </c>
      <c r="J3309">
        <v>375759900</v>
      </c>
      <c r="K3309">
        <v>402105270</v>
      </c>
      <c r="L3309">
        <v>329153644</v>
      </c>
      <c r="M3309">
        <v>297308755</v>
      </c>
      <c r="N3309">
        <v>242458588</v>
      </c>
      <c r="O3309">
        <v>209499904</v>
      </c>
      <c r="P3309">
        <v>119</v>
      </c>
      <c r="Q3309" t="s">
        <v>6960</v>
      </c>
    </row>
    <row r="3310" spans="1:17" x14ac:dyDescent="0.3">
      <c r="A3310" t="s">
        <v>4729</v>
      </c>
      <c r="B3310" t="str">
        <f>"002585"</f>
        <v>002585</v>
      </c>
      <c r="C3310" t="s">
        <v>6961</v>
      </c>
      <c r="D3310" t="s">
        <v>324</v>
      </c>
      <c r="F3310">
        <v>1069508615</v>
      </c>
      <c r="G3310">
        <v>947581682</v>
      </c>
      <c r="H3310">
        <v>950071327</v>
      </c>
      <c r="I3310">
        <v>921560212</v>
      </c>
      <c r="J3310">
        <v>908896334</v>
      </c>
      <c r="K3310">
        <v>641094837</v>
      </c>
      <c r="L3310">
        <v>573599652</v>
      </c>
      <c r="M3310">
        <v>86005459</v>
      </c>
      <c r="N3310">
        <v>72501268</v>
      </c>
      <c r="O3310">
        <v>75598666</v>
      </c>
      <c r="P3310">
        <v>382</v>
      </c>
      <c r="Q3310" t="s">
        <v>6962</v>
      </c>
    </row>
    <row r="3311" spans="1:17" x14ac:dyDescent="0.3">
      <c r="A3311" t="s">
        <v>4729</v>
      </c>
      <c r="B3311" t="str">
        <f>"002586"</f>
        <v>002586</v>
      </c>
      <c r="C3311" t="s">
        <v>6963</v>
      </c>
      <c r="D3311" t="s">
        <v>101</v>
      </c>
      <c r="F3311">
        <v>2702931458</v>
      </c>
      <c r="G3311">
        <v>1600175015</v>
      </c>
      <c r="H3311">
        <v>2398090708</v>
      </c>
      <c r="I3311">
        <v>2003357072</v>
      </c>
      <c r="J3311">
        <v>1211558195</v>
      </c>
      <c r="K3311">
        <v>1040729148</v>
      </c>
      <c r="L3311">
        <v>867141314</v>
      </c>
      <c r="M3311">
        <v>853628014</v>
      </c>
      <c r="N3311">
        <v>766011694</v>
      </c>
      <c r="O3311">
        <v>617209894</v>
      </c>
      <c r="P3311">
        <v>62</v>
      </c>
      <c r="Q3311" t="s">
        <v>6964</v>
      </c>
    </row>
    <row r="3312" spans="1:17" x14ac:dyDescent="0.3">
      <c r="A3312" t="s">
        <v>4729</v>
      </c>
      <c r="B3312" t="str">
        <f>"002587"</f>
        <v>002587</v>
      </c>
      <c r="C3312" t="s">
        <v>6965</v>
      </c>
      <c r="D3312" t="s">
        <v>803</v>
      </c>
      <c r="F3312">
        <v>492946205</v>
      </c>
      <c r="G3312">
        <v>461843568</v>
      </c>
      <c r="H3312">
        <v>884495654</v>
      </c>
      <c r="I3312">
        <v>869801744</v>
      </c>
      <c r="J3312">
        <v>506285252</v>
      </c>
      <c r="K3312">
        <v>231370765</v>
      </c>
      <c r="L3312">
        <v>99799153</v>
      </c>
      <c r="M3312">
        <v>76938703</v>
      </c>
      <c r="N3312">
        <v>55599424</v>
      </c>
      <c r="O3312">
        <v>70173540</v>
      </c>
      <c r="P3312">
        <v>142</v>
      </c>
      <c r="Q3312" t="s">
        <v>6966</v>
      </c>
    </row>
    <row r="3313" spans="1:17" x14ac:dyDescent="0.3">
      <c r="A3313" t="s">
        <v>4729</v>
      </c>
      <c r="B3313" t="str">
        <f>"002588"</f>
        <v>002588</v>
      </c>
      <c r="C3313" t="s">
        <v>6967</v>
      </c>
      <c r="D3313" t="s">
        <v>5562</v>
      </c>
      <c r="F3313">
        <v>10726972</v>
      </c>
      <c r="G3313">
        <v>12679601</v>
      </c>
      <c r="H3313">
        <v>16049579</v>
      </c>
      <c r="I3313">
        <v>14871398</v>
      </c>
      <c r="J3313">
        <v>8351864</v>
      </c>
      <c r="K3313">
        <v>155603691</v>
      </c>
      <c r="L3313">
        <v>405916942</v>
      </c>
      <c r="M3313">
        <v>9215464</v>
      </c>
      <c r="N3313">
        <v>47532</v>
      </c>
      <c r="O3313">
        <v>69525</v>
      </c>
      <c r="P3313">
        <v>164</v>
      </c>
      <c r="Q3313" t="s">
        <v>6968</v>
      </c>
    </row>
    <row r="3314" spans="1:17" x14ac:dyDescent="0.3">
      <c r="A3314" t="s">
        <v>4729</v>
      </c>
      <c r="B3314" t="str">
        <f>"002589"</f>
        <v>002589</v>
      </c>
      <c r="C3314" t="s">
        <v>6969</v>
      </c>
      <c r="D3314" t="s">
        <v>125</v>
      </c>
      <c r="F3314">
        <v>10285101398</v>
      </c>
      <c r="G3314">
        <v>13714477296</v>
      </c>
      <c r="H3314">
        <v>15638581326</v>
      </c>
      <c r="I3314">
        <v>17162624298</v>
      </c>
      <c r="J3314">
        <v>12341186357</v>
      </c>
      <c r="K3314">
        <v>7818611582</v>
      </c>
      <c r="L3314">
        <v>4443612989</v>
      </c>
      <c r="M3314">
        <v>3243058702</v>
      </c>
      <c r="N3314">
        <v>2375667213</v>
      </c>
      <c r="O3314">
        <v>1821108328</v>
      </c>
      <c r="P3314">
        <v>460</v>
      </c>
      <c r="Q3314" t="s">
        <v>6970</v>
      </c>
    </row>
    <row r="3315" spans="1:17" x14ac:dyDescent="0.3">
      <c r="A3315" t="s">
        <v>4729</v>
      </c>
      <c r="B3315" t="str">
        <f>"002590"</f>
        <v>002590</v>
      </c>
      <c r="C3315" t="s">
        <v>6971</v>
      </c>
      <c r="D3315" t="s">
        <v>348</v>
      </c>
      <c r="F3315">
        <v>648565211</v>
      </c>
      <c r="G3315">
        <v>432620491</v>
      </c>
      <c r="H3315">
        <v>448036859</v>
      </c>
      <c r="I3315">
        <v>493313644</v>
      </c>
      <c r="J3315">
        <v>506375937</v>
      </c>
      <c r="K3315">
        <v>490104380</v>
      </c>
      <c r="L3315">
        <v>339421826</v>
      </c>
      <c r="M3315">
        <v>238444628</v>
      </c>
      <c r="N3315">
        <v>237579129</v>
      </c>
      <c r="O3315">
        <v>168408856</v>
      </c>
      <c r="P3315">
        <v>119</v>
      </c>
      <c r="Q3315" t="s">
        <v>6972</v>
      </c>
    </row>
    <row r="3316" spans="1:17" x14ac:dyDescent="0.3">
      <c r="A3316" t="s">
        <v>4729</v>
      </c>
      <c r="B3316" t="str">
        <f>"002591"</f>
        <v>002591</v>
      </c>
      <c r="C3316" t="s">
        <v>6973</v>
      </c>
      <c r="D3316" t="s">
        <v>207</v>
      </c>
      <c r="F3316">
        <v>257097126</v>
      </c>
      <c r="G3316">
        <v>166532755</v>
      </c>
      <c r="H3316">
        <v>288201512</v>
      </c>
      <c r="I3316">
        <v>284110572</v>
      </c>
      <c r="J3316">
        <v>190134256</v>
      </c>
      <c r="K3316">
        <v>172382119</v>
      </c>
      <c r="L3316">
        <v>213336891</v>
      </c>
      <c r="M3316">
        <v>299840330</v>
      </c>
      <c r="N3316">
        <v>283150481</v>
      </c>
      <c r="O3316">
        <v>180256610</v>
      </c>
      <c r="P3316">
        <v>113</v>
      </c>
      <c r="Q3316" t="s">
        <v>6974</v>
      </c>
    </row>
    <row r="3317" spans="1:17" x14ac:dyDescent="0.3">
      <c r="A3317" t="s">
        <v>4729</v>
      </c>
      <c r="B3317" t="str">
        <f>"002592"</f>
        <v>002592</v>
      </c>
      <c r="C3317" t="s">
        <v>6975</v>
      </c>
      <c r="D3317" t="s">
        <v>348</v>
      </c>
      <c r="F3317">
        <v>48837426</v>
      </c>
      <c r="G3317">
        <v>127705508</v>
      </c>
      <c r="H3317">
        <v>182789619</v>
      </c>
      <c r="I3317">
        <v>92533505</v>
      </c>
      <c r="J3317">
        <v>81491980</v>
      </c>
      <c r="K3317">
        <v>60235900</v>
      </c>
      <c r="L3317">
        <v>68210786</v>
      </c>
      <c r="M3317">
        <v>89711189</v>
      </c>
      <c r="N3317">
        <v>75083066</v>
      </c>
      <c r="O3317">
        <v>63990039</v>
      </c>
      <c r="P3317">
        <v>76</v>
      </c>
      <c r="Q3317" t="s">
        <v>6976</v>
      </c>
    </row>
    <row r="3318" spans="1:17" x14ac:dyDescent="0.3">
      <c r="A3318" t="s">
        <v>4729</v>
      </c>
      <c r="B3318" t="str">
        <f>"002593"</f>
        <v>002593</v>
      </c>
      <c r="C3318" t="s">
        <v>6977</v>
      </c>
      <c r="D3318" t="s">
        <v>978</v>
      </c>
      <c r="F3318">
        <v>741819481</v>
      </c>
      <c r="G3318">
        <v>636735833</v>
      </c>
      <c r="H3318">
        <v>556620755</v>
      </c>
      <c r="I3318">
        <v>521369054</v>
      </c>
      <c r="J3318">
        <v>480588478</v>
      </c>
      <c r="K3318">
        <v>423255601</v>
      </c>
      <c r="L3318">
        <v>393452053</v>
      </c>
      <c r="M3318">
        <v>331260609</v>
      </c>
      <c r="N3318">
        <v>260570169</v>
      </c>
      <c r="O3318">
        <v>217841853</v>
      </c>
      <c r="P3318">
        <v>88</v>
      </c>
      <c r="Q3318" t="s">
        <v>6978</v>
      </c>
    </row>
    <row r="3319" spans="1:17" x14ac:dyDescent="0.3">
      <c r="A3319" t="s">
        <v>4729</v>
      </c>
      <c r="B3319" t="str">
        <f>"002594"</f>
        <v>002594</v>
      </c>
      <c r="C3319" t="s">
        <v>6979</v>
      </c>
      <c r="D3319" t="s">
        <v>6980</v>
      </c>
      <c r="F3319">
        <v>36251280000</v>
      </c>
      <c r="G3319">
        <v>41216427000</v>
      </c>
      <c r="H3319">
        <v>43933795000</v>
      </c>
      <c r="I3319">
        <v>49283534000</v>
      </c>
      <c r="J3319">
        <v>51880681000</v>
      </c>
      <c r="K3319">
        <v>41768002000</v>
      </c>
      <c r="L3319">
        <v>21519093000</v>
      </c>
      <c r="M3319">
        <v>13751929000</v>
      </c>
      <c r="N3319">
        <v>7687422000</v>
      </c>
      <c r="O3319">
        <v>6260279000</v>
      </c>
      <c r="P3319">
        <v>5218</v>
      </c>
      <c r="Q3319" t="s">
        <v>6981</v>
      </c>
    </row>
    <row r="3320" spans="1:17" x14ac:dyDescent="0.3">
      <c r="A3320" t="s">
        <v>4729</v>
      </c>
      <c r="B3320" t="str">
        <f>"002595"</f>
        <v>002595</v>
      </c>
      <c r="C3320" t="s">
        <v>6982</v>
      </c>
      <c r="D3320" t="s">
        <v>741</v>
      </c>
      <c r="F3320">
        <v>1754434790</v>
      </c>
      <c r="G3320">
        <v>1553811569</v>
      </c>
      <c r="H3320">
        <v>1456409480</v>
      </c>
      <c r="I3320">
        <v>1236217997</v>
      </c>
      <c r="J3320">
        <v>954993845</v>
      </c>
      <c r="K3320">
        <v>772697419</v>
      </c>
      <c r="L3320">
        <v>706885016</v>
      </c>
      <c r="M3320">
        <v>526117036</v>
      </c>
      <c r="N3320">
        <v>315227306</v>
      </c>
      <c r="O3320">
        <v>279494899</v>
      </c>
      <c r="P3320">
        <v>4171</v>
      </c>
      <c r="Q3320" t="s">
        <v>6983</v>
      </c>
    </row>
    <row r="3321" spans="1:17" x14ac:dyDescent="0.3">
      <c r="A3321" t="s">
        <v>4729</v>
      </c>
      <c r="B3321" t="str">
        <f>"002596"</f>
        <v>002596</v>
      </c>
      <c r="C3321" t="s">
        <v>6984</v>
      </c>
      <c r="D3321" t="s">
        <v>3098</v>
      </c>
      <c r="F3321">
        <v>1629794599</v>
      </c>
      <c r="G3321">
        <v>1741234181</v>
      </c>
      <c r="H3321">
        <v>1978128454</v>
      </c>
      <c r="I3321">
        <v>2139965264</v>
      </c>
      <c r="J3321">
        <v>1877957510</v>
      </c>
      <c r="K3321">
        <v>1507675625</v>
      </c>
      <c r="L3321">
        <v>1328649935</v>
      </c>
      <c r="M3321">
        <v>764502317</v>
      </c>
      <c r="N3321">
        <v>668165145</v>
      </c>
      <c r="O3321">
        <v>533089362</v>
      </c>
      <c r="P3321">
        <v>100</v>
      </c>
      <c r="Q3321" t="s">
        <v>6985</v>
      </c>
    </row>
    <row r="3322" spans="1:17" x14ac:dyDescent="0.3">
      <c r="A3322" t="s">
        <v>4729</v>
      </c>
      <c r="B3322" t="str">
        <f>"002597"</f>
        <v>002597</v>
      </c>
      <c r="C3322" t="s">
        <v>6986</v>
      </c>
      <c r="D3322" t="s">
        <v>677</v>
      </c>
      <c r="F3322">
        <v>505172024</v>
      </c>
      <c r="G3322">
        <v>295462888</v>
      </c>
      <c r="H3322">
        <v>220175393</v>
      </c>
      <c r="I3322">
        <v>165605640</v>
      </c>
      <c r="J3322">
        <v>152001368</v>
      </c>
      <c r="K3322">
        <v>144545274</v>
      </c>
      <c r="L3322">
        <v>125498070</v>
      </c>
      <c r="M3322">
        <v>116683217</v>
      </c>
      <c r="N3322">
        <v>104305315</v>
      </c>
      <c r="O3322">
        <v>85774298</v>
      </c>
      <c r="P3322">
        <v>1878</v>
      </c>
      <c r="Q3322" t="s">
        <v>6987</v>
      </c>
    </row>
    <row r="3323" spans="1:17" x14ac:dyDescent="0.3">
      <c r="A3323" t="s">
        <v>4729</v>
      </c>
      <c r="B3323" t="str">
        <f>"002598"</f>
        <v>002598</v>
      </c>
      <c r="C3323" t="s">
        <v>6988</v>
      </c>
      <c r="D3323" t="s">
        <v>560</v>
      </c>
      <c r="F3323">
        <v>572892596</v>
      </c>
      <c r="G3323">
        <v>407419746</v>
      </c>
      <c r="H3323">
        <v>340362608</v>
      </c>
      <c r="I3323">
        <v>308606804</v>
      </c>
      <c r="J3323">
        <v>239440643</v>
      </c>
      <c r="K3323">
        <v>196229288</v>
      </c>
      <c r="L3323">
        <v>195760978</v>
      </c>
      <c r="M3323">
        <v>169426234</v>
      </c>
      <c r="N3323">
        <v>149428446</v>
      </c>
      <c r="O3323">
        <v>121389937</v>
      </c>
      <c r="P3323">
        <v>88</v>
      </c>
      <c r="Q3323" t="s">
        <v>6989</v>
      </c>
    </row>
    <row r="3324" spans="1:17" x14ac:dyDescent="0.3">
      <c r="A3324" t="s">
        <v>4729</v>
      </c>
      <c r="B3324" t="str">
        <f>"002599"</f>
        <v>002599</v>
      </c>
      <c r="C3324" t="s">
        <v>6990</v>
      </c>
      <c r="D3324" t="s">
        <v>1694</v>
      </c>
      <c r="F3324">
        <v>478321031</v>
      </c>
      <c r="G3324">
        <v>494056604</v>
      </c>
      <c r="H3324">
        <v>484458725</v>
      </c>
      <c r="I3324">
        <v>435862818</v>
      </c>
      <c r="J3324">
        <v>375679740</v>
      </c>
      <c r="K3324">
        <v>285719996</v>
      </c>
      <c r="L3324">
        <v>209777130</v>
      </c>
      <c r="M3324">
        <v>176197569</v>
      </c>
      <c r="N3324">
        <v>143930859</v>
      </c>
      <c r="O3324">
        <v>147503466</v>
      </c>
      <c r="P3324">
        <v>87</v>
      </c>
      <c r="Q3324" t="s">
        <v>6991</v>
      </c>
    </row>
    <row r="3325" spans="1:17" x14ac:dyDescent="0.3">
      <c r="A3325" t="s">
        <v>4729</v>
      </c>
      <c r="B3325" t="str">
        <f>"002600"</f>
        <v>002600</v>
      </c>
      <c r="C3325" t="s">
        <v>6992</v>
      </c>
      <c r="D3325" t="s">
        <v>313</v>
      </c>
      <c r="F3325">
        <v>8870749955</v>
      </c>
      <c r="G3325">
        <v>7542426136</v>
      </c>
      <c r="H3325">
        <v>6791453540</v>
      </c>
      <c r="I3325">
        <v>6658660545</v>
      </c>
      <c r="J3325">
        <v>2601240089</v>
      </c>
      <c r="K3325">
        <v>2670218106</v>
      </c>
      <c r="L3325">
        <v>1123384291</v>
      </c>
      <c r="M3325">
        <v>517296503</v>
      </c>
      <c r="N3325">
        <v>360700498</v>
      </c>
      <c r="O3325">
        <v>264904784</v>
      </c>
      <c r="P3325">
        <v>877</v>
      </c>
      <c r="Q3325" t="s">
        <v>6993</v>
      </c>
    </row>
    <row r="3326" spans="1:17" x14ac:dyDescent="0.3">
      <c r="A3326" t="s">
        <v>4729</v>
      </c>
      <c r="B3326" t="str">
        <f>"002601"</f>
        <v>002601</v>
      </c>
      <c r="C3326" t="s">
        <v>6994</v>
      </c>
      <c r="D3326" t="s">
        <v>1474</v>
      </c>
      <c r="F3326">
        <v>1967428387</v>
      </c>
      <c r="G3326">
        <v>2014982343</v>
      </c>
      <c r="H3326">
        <v>1604917925</v>
      </c>
      <c r="I3326">
        <v>1099681912</v>
      </c>
      <c r="J3326">
        <v>1204537334</v>
      </c>
      <c r="K3326">
        <v>817564023</v>
      </c>
      <c r="L3326">
        <v>343784256</v>
      </c>
      <c r="M3326">
        <v>301827153</v>
      </c>
      <c r="N3326">
        <v>252451384</v>
      </c>
      <c r="O3326">
        <v>128140853</v>
      </c>
      <c r="P3326">
        <v>1262</v>
      </c>
      <c r="Q3326" t="s">
        <v>6995</v>
      </c>
    </row>
    <row r="3327" spans="1:17" x14ac:dyDescent="0.3">
      <c r="A3327" t="s">
        <v>4729</v>
      </c>
      <c r="B3327" t="str">
        <f>"002602"</f>
        <v>002602</v>
      </c>
      <c r="C3327" t="s">
        <v>6996</v>
      </c>
      <c r="D3327" t="s">
        <v>517</v>
      </c>
      <c r="F3327">
        <v>3071262857</v>
      </c>
      <c r="G3327">
        <v>3554088779</v>
      </c>
      <c r="H3327">
        <v>3404322414</v>
      </c>
      <c r="I3327">
        <v>1207498293</v>
      </c>
      <c r="J3327">
        <v>784501395</v>
      </c>
      <c r="K3327">
        <v>601784829</v>
      </c>
      <c r="L3327">
        <v>621165704</v>
      </c>
      <c r="M3327">
        <v>453525311</v>
      </c>
      <c r="N3327">
        <v>320598797</v>
      </c>
      <c r="O3327">
        <v>254009576</v>
      </c>
      <c r="P3327">
        <v>718</v>
      </c>
      <c r="Q3327" t="s">
        <v>6997</v>
      </c>
    </row>
    <row r="3328" spans="1:17" x14ac:dyDescent="0.3">
      <c r="A3328" t="s">
        <v>4729</v>
      </c>
      <c r="B3328" t="str">
        <f>"002603"</f>
        <v>002603</v>
      </c>
      <c r="C3328" t="s">
        <v>6998</v>
      </c>
      <c r="D3328" t="s">
        <v>188</v>
      </c>
      <c r="F3328">
        <v>1610672879</v>
      </c>
      <c r="G3328">
        <v>1132780729</v>
      </c>
      <c r="H3328">
        <v>1117116653</v>
      </c>
      <c r="I3328">
        <v>619475427</v>
      </c>
      <c r="J3328">
        <v>688616035</v>
      </c>
      <c r="K3328">
        <v>481515329</v>
      </c>
      <c r="L3328">
        <v>335030139</v>
      </c>
      <c r="M3328">
        <v>239620070</v>
      </c>
      <c r="N3328">
        <v>189901968</v>
      </c>
      <c r="O3328">
        <v>177913540</v>
      </c>
      <c r="P3328">
        <v>833</v>
      </c>
      <c r="Q3328" t="s">
        <v>6999</v>
      </c>
    </row>
    <row r="3329" spans="1:17" x14ac:dyDescent="0.3">
      <c r="A3329" t="s">
        <v>4729</v>
      </c>
      <c r="B3329" t="str">
        <f>"002604"</f>
        <v>002604</v>
      </c>
      <c r="C3329" t="s">
        <v>7000</v>
      </c>
      <c r="H3329">
        <v>138478413</v>
      </c>
      <c r="I3329">
        <v>180343400</v>
      </c>
      <c r="J3329">
        <v>183925404</v>
      </c>
      <c r="K3329">
        <v>133433569</v>
      </c>
      <c r="L3329">
        <v>81041487</v>
      </c>
      <c r="M3329">
        <v>60659277</v>
      </c>
      <c r="N3329">
        <v>43089015</v>
      </c>
      <c r="O3329">
        <v>55587880</v>
      </c>
      <c r="P3329">
        <v>49</v>
      </c>
      <c r="Q3329" t="s">
        <v>7001</v>
      </c>
    </row>
    <row r="3330" spans="1:17" x14ac:dyDescent="0.3">
      <c r="A3330" t="s">
        <v>4729</v>
      </c>
      <c r="B3330" t="str">
        <f>"002605"</f>
        <v>002605</v>
      </c>
      <c r="C3330" t="s">
        <v>7002</v>
      </c>
      <c r="D3330" t="s">
        <v>517</v>
      </c>
      <c r="F3330">
        <v>322728939</v>
      </c>
      <c r="G3330">
        <v>250727025</v>
      </c>
      <c r="H3330">
        <v>152195426</v>
      </c>
      <c r="I3330">
        <v>102292228</v>
      </c>
      <c r="J3330">
        <v>62765879</v>
      </c>
      <c r="K3330">
        <v>77694278</v>
      </c>
      <c r="L3330">
        <v>68253205</v>
      </c>
      <c r="M3330">
        <v>18701333</v>
      </c>
      <c r="N3330">
        <v>6126390</v>
      </c>
      <c r="O3330">
        <v>8488607</v>
      </c>
      <c r="P3330">
        <v>432</v>
      </c>
      <c r="Q3330" t="s">
        <v>7003</v>
      </c>
    </row>
    <row r="3331" spans="1:17" x14ac:dyDescent="0.3">
      <c r="A3331" t="s">
        <v>4729</v>
      </c>
      <c r="B3331" t="str">
        <f>"002606"</f>
        <v>002606</v>
      </c>
      <c r="C3331" t="s">
        <v>7004</v>
      </c>
      <c r="D3331" t="s">
        <v>1164</v>
      </c>
      <c r="F3331">
        <v>314519621</v>
      </c>
      <c r="G3331">
        <v>307487625</v>
      </c>
      <c r="H3331">
        <v>360633431</v>
      </c>
      <c r="I3331">
        <v>363963948</v>
      </c>
      <c r="J3331">
        <v>486421727</v>
      </c>
      <c r="K3331">
        <v>369879951</v>
      </c>
      <c r="L3331">
        <v>330629507</v>
      </c>
      <c r="M3331">
        <v>383092336</v>
      </c>
      <c r="N3331">
        <v>333695375</v>
      </c>
      <c r="O3331">
        <v>349807204</v>
      </c>
      <c r="P3331">
        <v>160</v>
      </c>
      <c r="Q3331" t="s">
        <v>7005</v>
      </c>
    </row>
    <row r="3332" spans="1:17" x14ac:dyDescent="0.3">
      <c r="A3332" t="s">
        <v>4729</v>
      </c>
      <c r="B3332" t="str">
        <f>"002607"</f>
        <v>002607</v>
      </c>
      <c r="C3332" t="s">
        <v>7006</v>
      </c>
      <c r="D3332" t="s">
        <v>1336</v>
      </c>
      <c r="F3332">
        <v>40374842</v>
      </c>
      <c r="G3332">
        <v>21493638</v>
      </c>
      <c r="H3332">
        <v>2721638</v>
      </c>
      <c r="I3332">
        <v>6804331</v>
      </c>
      <c r="J3332">
        <v>76409736</v>
      </c>
      <c r="K3332">
        <v>44282945</v>
      </c>
      <c r="L3332">
        <v>20403218</v>
      </c>
      <c r="M3332">
        <v>27501616</v>
      </c>
      <c r="N3332">
        <v>15510095</v>
      </c>
      <c r="O3332">
        <v>13791518</v>
      </c>
      <c r="P3332">
        <v>1791</v>
      </c>
      <c r="Q3332" t="s">
        <v>7007</v>
      </c>
    </row>
    <row r="3333" spans="1:17" x14ac:dyDescent="0.3">
      <c r="A3333" t="s">
        <v>4729</v>
      </c>
      <c r="B3333" t="str">
        <f>"002608"</f>
        <v>002608</v>
      </c>
      <c r="C3333" t="s">
        <v>7008</v>
      </c>
      <c r="D3333" t="s">
        <v>41</v>
      </c>
      <c r="F3333">
        <v>2919358753</v>
      </c>
      <c r="G3333">
        <v>2428516775</v>
      </c>
      <c r="H3333">
        <v>2099682412</v>
      </c>
      <c r="I3333">
        <v>1690442832</v>
      </c>
      <c r="J3333">
        <v>1650209437</v>
      </c>
      <c r="K3333">
        <v>1731134580</v>
      </c>
      <c r="L3333">
        <v>12049258</v>
      </c>
      <c r="M3333">
        <v>175329599</v>
      </c>
      <c r="N3333">
        <v>250833665</v>
      </c>
      <c r="O3333">
        <v>212513960</v>
      </c>
      <c r="P3333">
        <v>138</v>
      </c>
      <c r="Q3333" t="s">
        <v>7009</v>
      </c>
    </row>
    <row r="3334" spans="1:17" x14ac:dyDescent="0.3">
      <c r="A3334" t="s">
        <v>4729</v>
      </c>
      <c r="B3334" t="str">
        <f>"002609"</f>
        <v>002609</v>
      </c>
      <c r="C3334" t="s">
        <v>7010</v>
      </c>
      <c r="D3334" t="s">
        <v>316</v>
      </c>
      <c r="F3334">
        <v>841387609</v>
      </c>
      <c r="G3334">
        <v>659058879</v>
      </c>
      <c r="H3334">
        <v>588391643</v>
      </c>
      <c r="I3334">
        <v>383284509</v>
      </c>
      <c r="J3334">
        <v>318217229</v>
      </c>
      <c r="K3334">
        <v>160386660</v>
      </c>
      <c r="L3334">
        <v>101904540</v>
      </c>
      <c r="M3334">
        <v>77267486</v>
      </c>
      <c r="N3334">
        <v>79470499</v>
      </c>
      <c r="O3334">
        <v>69004520</v>
      </c>
      <c r="P3334">
        <v>212</v>
      </c>
      <c r="Q3334" t="s">
        <v>7011</v>
      </c>
    </row>
    <row r="3335" spans="1:17" x14ac:dyDescent="0.3">
      <c r="A3335" t="s">
        <v>4729</v>
      </c>
      <c r="B3335" t="str">
        <f>"002610"</f>
        <v>002610</v>
      </c>
      <c r="C3335" t="s">
        <v>7012</v>
      </c>
      <c r="D3335" t="s">
        <v>478</v>
      </c>
      <c r="F3335">
        <v>546173881</v>
      </c>
      <c r="G3335">
        <v>625658208</v>
      </c>
      <c r="H3335">
        <v>1741450809</v>
      </c>
      <c r="I3335">
        <v>1785438272</v>
      </c>
      <c r="J3335">
        <v>1899270363</v>
      </c>
      <c r="K3335">
        <v>1613339538</v>
      </c>
      <c r="L3335">
        <v>1348995575</v>
      </c>
      <c r="M3335">
        <v>1255247061</v>
      </c>
      <c r="N3335">
        <v>722945132</v>
      </c>
      <c r="O3335">
        <v>319878488</v>
      </c>
      <c r="P3335">
        <v>301</v>
      </c>
      <c r="Q3335" t="s">
        <v>7013</v>
      </c>
    </row>
    <row r="3336" spans="1:17" x14ac:dyDescent="0.3">
      <c r="A3336" t="s">
        <v>4729</v>
      </c>
      <c r="B3336" t="str">
        <f>"002611"</f>
        <v>002611</v>
      </c>
      <c r="C3336" t="s">
        <v>7014</v>
      </c>
      <c r="D3336" t="s">
        <v>3415</v>
      </c>
      <c r="F3336">
        <v>741135648</v>
      </c>
      <c r="G3336">
        <v>469635424</v>
      </c>
      <c r="H3336">
        <v>597431210</v>
      </c>
      <c r="I3336">
        <v>1496368416</v>
      </c>
      <c r="J3336">
        <v>1273466146</v>
      </c>
      <c r="K3336">
        <v>286701375</v>
      </c>
      <c r="L3336">
        <v>282001431</v>
      </c>
      <c r="M3336">
        <v>214570587</v>
      </c>
      <c r="N3336">
        <v>56775785</v>
      </c>
      <c r="O3336">
        <v>30296098</v>
      </c>
      <c r="P3336">
        <v>208</v>
      </c>
      <c r="Q3336" t="s">
        <v>7015</v>
      </c>
    </row>
    <row r="3337" spans="1:17" x14ac:dyDescent="0.3">
      <c r="A3337" t="s">
        <v>4729</v>
      </c>
      <c r="B3337" t="str">
        <f>"002612"</f>
        <v>002612</v>
      </c>
      <c r="C3337" t="s">
        <v>7016</v>
      </c>
      <c r="D3337" t="s">
        <v>255</v>
      </c>
      <c r="F3337">
        <v>253867973</v>
      </c>
      <c r="G3337">
        <v>293695836</v>
      </c>
      <c r="H3337">
        <v>387501871</v>
      </c>
      <c r="I3337">
        <v>362006185</v>
      </c>
      <c r="J3337">
        <v>375741879</v>
      </c>
      <c r="K3337">
        <v>369177277</v>
      </c>
      <c r="L3337">
        <v>96460253</v>
      </c>
      <c r="M3337">
        <v>108320721</v>
      </c>
      <c r="N3337">
        <v>115491856</v>
      </c>
      <c r="O3337">
        <v>106313998</v>
      </c>
      <c r="P3337">
        <v>370</v>
      </c>
      <c r="Q3337" t="s">
        <v>7017</v>
      </c>
    </row>
    <row r="3338" spans="1:17" x14ac:dyDescent="0.3">
      <c r="A3338" t="s">
        <v>4729</v>
      </c>
      <c r="B3338" t="str">
        <f>"002613"</f>
        <v>002613</v>
      </c>
      <c r="C3338" t="s">
        <v>7018</v>
      </c>
      <c r="D3338" t="s">
        <v>666</v>
      </c>
      <c r="F3338">
        <v>329373051</v>
      </c>
      <c r="G3338">
        <v>199020727</v>
      </c>
      <c r="H3338">
        <v>175310536</v>
      </c>
      <c r="I3338">
        <v>191072847</v>
      </c>
      <c r="J3338">
        <v>359822083</v>
      </c>
      <c r="K3338">
        <v>299752554</v>
      </c>
      <c r="L3338">
        <v>261824230</v>
      </c>
      <c r="M3338">
        <v>274848009</v>
      </c>
      <c r="N3338">
        <v>230338639</v>
      </c>
      <c r="O3338">
        <v>229316868</v>
      </c>
      <c r="P3338">
        <v>90</v>
      </c>
      <c r="Q3338" t="s">
        <v>7019</v>
      </c>
    </row>
    <row r="3339" spans="1:17" x14ac:dyDescent="0.3">
      <c r="A3339" t="s">
        <v>4729</v>
      </c>
      <c r="B3339" t="str">
        <f>"002614"</f>
        <v>002614</v>
      </c>
      <c r="C3339" t="s">
        <v>7020</v>
      </c>
      <c r="D3339" t="s">
        <v>3042</v>
      </c>
      <c r="F3339">
        <v>1199991887</v>
      </c>
      <c r="G3339">
        <v>1299597674</v>
      </c>
      <c r="H3339">
        <v>936902640</v>
      </c>
      <c r="I3339">
        <v>919777169</v>
      </c>
      <c r="J3339">
        <v>594859711</v>
      </c>
      <c r="K3339">
        <v>633963712</v>
      </c>
      <c r="L3339">
        <v>313329886</v>
      </c>
      <c r="M3339">
        <v>321380844</v>
      </c>
      <c r="N3339">
        <v>282413430</v>
      </c>
      <c r="O3339">
        <v>276877839</v>
      </c>
      <c r="P3339">
        <v>525</v>
      </c>
      <c r="Q3339" t="s">
        <v>7021</v>
      </c>
    </row>
    <row r="3340" spans="1:17" x14ac:dyDescent="0.3">
      <c r="A3340" t="s">
        <v>4729</v>
      </c>
      <c r="B3340" t="str">
        <f>"002615"</f>
        <v>002615</v>
      </c>
      <c r="C3340" t="s">
        <v>7022</v>
      </c>
      <c r="D3340" t="s">
        <v>2445</v>
      </c>
      <c r="F3340">
        <v>152792948</v>
      </c>
      <c r="G3340">
        <v>129305715</v>
      </c>
      <c r="H3340">
        <v>191546033</v>
      </c>
      <c r="I3340">
        <v>235644122</v>
      </c>
      <c r="J3340">
        <v>148242682</v>
      </c>
      <c r="K3340">
        <v>125126213</v>
      </c>
      <c r="L3340">
        <v>103388435</v>
      </c>
      <c r="M3340">
        <v>75912536</v>
      </c>
      <c r="N3340">
        <v>60047635</v>
      </c>
      <c r="O3340">
        <v>57214979</v>
      </c>
      <c r="P3340">
        <v>178</v>
      </c>
      <c r="Q3340" t="s">
        <v>7023</v>
      </c>
    </row>
    <row r="3341" spans="1:17" x14ac:dyDescent="0.3">
      <c r="A3341" t="s">
        <v>4729</v>
      </c>
      <c r="B3341" t="str">
        <f>"002616"</f>
        <v>002616</v>
      </c>
      <c r="C3341" t="s">
        <v>7024</v>
      </c>
      <c r="D3341" t="s">
        <v>7025</v>
      </c>
      <c r="F3341">
        <v>1476955988</v>
      </c>
      <c r="G3341">
        <v>1070043942</v>
      </c>
      <c r="H3341">
        <v>517442878</v>
      </c>
      <c r="I3341">
        <v>205732221</v>
      </c>
      <c r="J3341">
        <v>425173247</v>
      </c>
      <c r="K3341">
        <v>327191712</v>
      </c>
      <c r="L3341">
        <v>317786203</v>
      </c>
      <c r="M3341">
        <v>210199150</v>
      </c>
      <c r="N3341">
        <v>131621199</v>
      </c>
      <c r="O3341">
        <v>173292079</v>
      </c>
      <c r="P3341">
        <v>202</v>
      </c>
      <c r="Q3341" t="s">
        <v>7026</v>
      </c>
    </row>
    <row r="3342" spans="1:17" x14ac:dyDescent="0.3">
      <c r="A3342" t="s">
        <v>4729</v>
      </c>
      <c r="B3342" t="str">
        <f>"002617"</f>
        <v>002617</v>
      </c>
      <c r="C3342" t="s">
        <v>7027</v>
      </c>
      <c r="D3342" t="s">
        <v>86</v>
      </c>
      <c r="F3342">
        <v>1753740000</v>
      </c>
      <c r="G3342">
        <v>1553348490</v>
      </c>
      <c r="H3342">
        <v>1490437018</v>
      </c>
      <c r="I3342">
        <v>1586867303</v>
      </c>
      <c r="J3342">
        <v>1484689248</v>
      </c>
      <c r="K3342">
        <v>433903232</v>
      </c>
      <c r="L3342">
        <v>307278013</v>
      </c>
      <c r="M3342">
        <v>527121351</v>
      </c>
      <c r="N3342">
        <v>516309719</v>
      </c>
      <c r="O3342">
        <v>548334260</v>
      </c>
      <c r="P3342">
        <v>321</v>
      </c>
      <c r="Q3342" t="s">
        <v>7028</v>
      </c>
    </row>
    <row r="3343" spans="1:17" x14ac:dyDescent="0.3">
      <c r="A3343" t="s">
        <v>4729</v>
      </c>
      <c r="B3343" t="str">
        <f>"002618"</f>
        <v>002618</v>
      </c>
      <c r="C3343" t="s">
        <v>7029</v>
      </c>
      <c r="D3343" t="s">
        <v>425</v>
      </c>
      <c r="F3343">
        <v>44622208</v>
      </c>
      <c r="G3343">
        <v>6567641</v>
      </c>
      <c r="H3343">
        <v>278854794</v>
      </c>
      <c r="I3343">
        <v>232085365</v>
      </c>
      <c r="J3343">
        <v>159997262</v>
      </c>
      <c r="K3343">
        <v>265763232</v>
      </c>
      <c r="L3343">
        <v>269355657</v>
      </c>
      <c r="M3343">
        <v>211713477</v>
      </c>
      <c r="N3343">
        <v>95742152</v>
      </c>
      <c r="O3343">
        <v>89866427</v>
      </c>
      <c r="P3343">
        <v>135</v>
      </c>
      <c r="Q3343" t="s">
        <v>7030</v>
      </c>
    </row>
    <row r="3344" spans="1:17" x14ac:dyDescent="0.3">
      <c r="A3344" t="s">
        <v>4729</v>
      </c>
      <c r="B3344" t="str">
        <f>"002619"</f>
        <v>002619</v>
      </c>
      <c r="C3344" t="s">
        <v>7031</v>
      </c>
      <c r="D3344" t="s">
        <v>517</v>
      </c>
      <c r="G3344">
        <v>350843502</v>
      </c>
      <c r="H3344">
        <v>536379142</v>
      </c>
      <c r="I3344">
        <v>606839745</v>
      </c>
      <c r="J3344">
        <v>385051110</v>
      </c>
      <c r="K3344">
        <v>456729122</v>
      </c>
      <c r="L3344">
        <v>406794438</v>
      </c>
      <c r="M3344">
        <v>308802687</v>
      </c>
      <c r="N3344">
        <v>302606553</v>
      </c>
      <c r="O3344">
        <v>243335398</v>
      </c>
      <c r="P3344">
        <v>124</v>
      </c>
      <c r="Q3344" t="s">
        <v>7032</v>
      </c>
    </row>
    <row r="3345" spans="1:17" x14ac:dyDescent="0.3">
      <c r="A3345" t="s">
        <v>4729</v>
      </c>
      <c r="B3345" t="str">
        <f>"002620"</f>
        <v>002620</v>
      </c>
      <c r="C3345" t="s">
        <v>7033</v>
      </c>
      <c r="D3345" t="s">
        <v>450</v>
      </c>
      <c r="F3345">
        <v>647155737</v>
      </c>
      <c r="G3345">
        <v>435313687</v>
      </c>
      <c r="H3345">
        <v>2641435084</v>
      </c>
      <c r="I3345">
        <v>2268704566</v>
      </c>
      <c r="J3345">
        <v>1886794052</v>
      </c>
      <c r="K3345">
        <v>1348882076</v>
      </c>
      <c r="L3345">
        <v>940439699</v>
      </c>
      <c r="M3345">
        <v>1093618375</v>
      </c>
      <c r="N3345">
        <v>1052455846</v>
      </c>
      <c r="O3345">
        <v>825303408</v>
      </c>
      <c r="P3345">
        <v>90</v>
      </c>
      <c r="Q3345" t="s">
        <v>7034</v>
      </c>
    </row>
    <row r="3346" spans="1:17" x14ac:dyDescent="0.3">
      <c r="A3346" t="s">
        <v>4729</v>
      </c>
      <c r="B3346" t="str">
        <f>"002621"</f>
        <v>002621</v>
      </c>
      <c r="C3346" t="s">
        <v>7035</v>
      </c>
      <c r="D3346" t="s">
        <v>1336</v>
      </c>
      <c r="F3346">
        <v>163625421</v>
      </c>
      <c r="G3346">
        <v>114284981</v>
      </c>
      <c r="H3346">
        <v>58535631</v>
      </c>
      <c r="I3346">
        <v>63293137</v>
      </c>
      <c r="J3346">
        <v>16847070</v>
      </c>
      <c r="K3346">
        <v>12712819</v>
      </c>
      <c r="L3346">
        <v>16166418</v>
      </c>
      <c r="M3346">
        <v>14710184</v>
      </c>
      <c r="N3346">
        <v>14976228</v>
      </c>
      <c r="O3346">
        <v>12791447</v>
      </c>
      <c r="P3346">
        <v>143</v>
      </c>
      <c r="Q3346" t="s">
        <v>7036</v>
      </c>
    </row>
    <row r="3347" spans="1:17" x14ac:dyDescent="0.3">
      <c r="A3347" t="s">
        <v>4729</v>
      </c>
      <c r="B3347" t="str">
        <f>"002622"</f>
        <v>002622</v>
      </c>
      <c r="C3347" t="s">
        <v>7037</v>
      </c>
      <c r="D3347" t="s">
        <v>210</v>
      </c>
      <c r="F3347">
        <v>47221817</v>
      </c>
      <c r="G3347">
        <v>51231456</v>
      </c>
      <c r="H3347">
        <v>76601932</v>
      </c>
      <c r="I3347">
        <v>133098157</v>
      </c>
      <c r="J3347">
        <v>88464262</v>
      </c>
      <c r="K3347">
        <v>69598989</v>
      </c>
      <c r="L3347">
        <v>53795171</v>
      </c>
      <c r="M3347">
        <v>34917315</v>
      </c>
      <c r="N3347">
        <v>40709398</v>
      </c>
      <c r="O3347">
        <v>54166087</v>
      </c>
      <c r="P3347">
        <v>120</v>
      </c>
      <c r="Q3347" t="s">
        <v>7038</v>
      </c>
    </row>
    <row r="3348" spans="1:17" x14ac:dyDescent="0.3">
      <c r="A3348" t="s">
        <v>4729</v>
      </c>
      <c r="B3348" t="str">
        <f>"002623"</f>
        <v>002623</v>
      </c>
      <c r="C3348" t="s">
        <v>7039</v>
      </c>
      <c r="D3348" t="s">
        <v>478</v>
      </c>
      <c r="F3348">
        <v>499034394</v>
      </c>
      <c r="G3348">
        <v>471386004</v>
      </c>
      <c r="H3348">
        <v>591525253</v>
      </c>
      <c r="I3348">
        <v>592901471</v>
      </c>
      <c r="J3348">
        <v>395525073</v>
      </c>
      <c r="K3348">
        <v>460567766</v>
      </c>
      <c r="L3348">
        <v>272082440</v>
      </c>
      <c r="M3348">
        <v>294507292</v>
      </c>
      <c r="N3348">
        <v>173097613</v>
      </c>
      <c r="O3348">
        <v>248274300</v>
      </c>
      <c r="P3348">
        <v>172</v>
      </c>
      <c r="Q3348" t="s">
        <v>7040</v>
      </c>
    </row>
    <row r="3349" spans="1:17" x14ac:dyDescent="0.3">
      <c r="A3349" t="s">
        <v>4729</v>
      </c>
      <c r="B3349" t="str">
        <f>"002624"</f>
        <v>002624</v>
      </c>
      <c r="C3349" t="s">
        <v>7041</v>
      </c>
      <c r="D3349" t="s">
        <v>517</v>
      </c>
      <c r="F3349">
        <v>981689017</v>
      </c>
      <c r="G3349">
        <v>1299282930</v>
      </c>
      <c r="H3349">
        <v>2270115856</v>
      </c>
      <c r="I3349">
        <v>1964387314</v>
      </c>
      <c r="J3349">
        <v>1594445406</v>
      </c>
      <c r="K3349">
        <v>1931973642</v>
      </c>
      <c r="L3349">
        <v>677641948</v>
      </c>
      <c r="M3349">
        <v>694389619</v>
      </c>
      <c r="N3349">
        <v>159892513</v>
      </c>
      <c r="O3349">
        <v>149891894</v>
      </c>
      <c r="P3349">
        <v>2399</v>
      </c>
      <c r="Q3349" t="s">
        <v>7042</v>
      </c>
    </row>
    <row r="3350" spans="1:17" x14ac:dyDescent="0.3">
      <c r="A3350" t="s">
        <v>4729</v>
      </c>
      <c r="B3350" t="str">
        <f>"002625"</f>
        <v>002625</v>
      </c>
      <c r="C3350" t="s">
        <v>7043</v>
      </c>
      <c r="D3350" t="s">
        <v>98</v>
      </c>
      <c r="F3350">
        <v>836711680</v>
      </c>
      <c r="G3350">
        <v>512593826</v>
      </c>
      <c r="H3350">
        <v>335149234</v>
      </c>
      <c r="I3350">
        <v>272980721</v>
      </c>
      <c r="J3350">
        <v>275582146</v>
      </c>
      <c r="K3350">
        <v>143791946</v>
      </c>
      <c r="L3350">
        <v>146513715</v>
      </c>
      <c r="M3350">
        <v>153885391</v>
      </c>
      <c r="N3350">
        <v>114391554</v>
      </c>
      <c r="O3350">
        <v>110625200</v>
      </c>
      <c r="P3350">
        <v>259</v>
      </c>
      <c r="Q3350" t="s">
        <v>7044</v>
      </c>
    </row>
    <row r="3351" spans="1:17" x14ac:dyDescent="0.3">
      <c r="A3351" t="s">
        <v>4729</v>
      </c>
      <c r="B3351" t="str">
        <f>"002626"</f>
        <v>002626</v>
      </c>
      <c r="C3351" t="s">
        <v>7045</v>
      </c>
      <c r="D3351" t="s">
        <v>838</v>
      </c>
      <c r="F3351">
        <v>360274228</v>
      </c>
      <c r="G3351">
        <v>398141899</v>
      </c>
      <c r="H3351">
        <v>391610466</v>
      </c>
      <c r="I3351">
        <v>408820500</v>
      </c>
      <c r="J3351">
        <v>409828571</v>
      </c>
      <c r="K3351">
        <v>239380298</v>
      </c>
      <c r="L3351">
        <v>219065546</v>
      </c>
      <c r="M3351">
        <v>135474371</v>
      </c>
      <c r="N3351">
        <v>88582450</v>
      </c>
      <c r="O3351">
        <v>104452981</v>
      </c>
      <c r="P3351">
        <v>1113</v>
      </c>
      <c r="Q3351" t="s">
        <v>7046</v>
      </c>
    </row>
    <row r="3352" spans="1:17" x14ac:dyDescent="0.3">
      <c r="A3352" t="s">
        <v>4729</v>
      </c>
      <c r="B3352" t="str">
        <f>"002627"</f>
        <v>002627</v>
      </c>
      <c r="C3352" t="s">
        <v>7047</v>
      </c>
      <c r="D3352" t="s">
        <v>1133</v>
      </c>
      <c r="F3352">
        <v>15392083</v>
      </c>
      <c r="G3352">
        <v>29383723</v>
      </c>
      <c r="H3352">
        <v>10136395</v>
      </c>
      <c r="I3352">
        <v>17256494</v>
      </c>
      <c r="J3352">
        <v>22152813</v>
      </c>
      <c r="K3352">
        <v>19174035</v>
      </c>
      <c r="L3352">
        <v>15881125</v>
      </c>
      <c r="M3352">
        <v>24959008</v>
      </c>
      <c r="N3352">
        <v>23110917</v>
      </c>
      <c r="O3352">
        <v>16622563</v>
      </c>
      <c r="P3352">
        <v>99</v>
      </c>
      <c r="Q3352" t="s">
        <v>7048</v>
      </c>
    </row>
    <row r="3353" spans="1:17" x14ac:dyDescent="0.3">
      <c r="A3353" t="s">
        <v>4729</v>
      </c>
      <c r="B3353" t="str">
        <f>"002628"</f>
        <v>002628</v>
      </c>
      <c r="C3353" t="s">
        <v>7049</v>
      </c>
      <c r="D3353" t="s">
        <v>101</v>
      </c>
      <c r="F3353">
        <v>980510162</v>
      </c>
      <c r="G3353">
        <v>578080457</v>
      </c>
      <c r="H3353">
        <v>462111371</v>
      </c>
      <c r="I3353">
        <v>608117900</v>
      </c>
      <c r="J3353">
        <v>799146540</v>
      </c>
      <c r="K3353">
        <v>883133531</v>
      </c>
      <c r="L3353">
        <v>921159445</v>
      </c>
      <c r="M3353">
        <v>704110437</v>
      </c>
      <c r="N3353">
        <v>831939662</v>
      </c>
      <c r="O3353">
        <v>495174057</v>
      </c>
      <c r="P3353">
        <v>91</v>
      </c>
      <c r="Q3353" t="s">
        <v>7050</v>
      </c>
    </row>
    <row r="3354" spans="1:17" x14ac:dyDescent="0.3">
      <c r="A3354" t="s">
        <v>4729</v>
      </c>
      <c r="B3354" t="str">
        <f>"002629"</f>
        <v>002629</v>
      </c>
      <c r="C3354" t="s">
        <v>7051</v>
      </c>
      <c r="D3354" t="s">
        <v>1762</v>
      </c>
      <c r="F3354">
        <v>68470399</v>
      </c>
      <c r="G3354">
        <v>67240536</v>
      </c>
      <c r="H3354">
        <v>44981995</v>
      </c>
      <c r="I3354">
        <v>55102179</v>
      </c>
      <c r="J3354">
        <v>110376493</v>
      </c>
      <c r="K3354">
        <v>185263802</v>
      </c>
      <c r="L3354">
        <v>389890349</v>
      </c>
      <c r="M3354">
        <v>507022699</v>
      </c>
      <c r="N3354">
        <v>609832925</v>
      </c>
      <c r="O3354">
        <v>522663808</v>
      </c>
      <c r="P3354">
        <v>60</v>
      </c>
      <c r="Q3354" t="s">
        <v>7052</v>
      </c>
    </row>
    <row r="3355" spans="1:17" x14ac:dyDescent="0.3">
      <c r="A3355" t="s">
        <v>4729</v>
      </c>
      <c r="B3355" t="str">
        <f>"002630"</f>
        <v>002630</v>
      </c>
      <c r="C3355" t="s">
        <v>7053</v>
      </c>
      <c r="D3355" t="s">
        <v>470</v>
      </c>
      <c r="F3355">
        <v>1021399038</v>
      </c>
      <c r="G3355">
        <v>1619358909</v>
      </c>
      <c r="H3355">
        <v>2790178340</v>
      </c>
      <c r="I3355">
        <v>4295270428</v>
      </c>
      <c r="J3355">
        <v>3861649951</v>
      </c>
      <c r="K3355">
        <v>2891560194</v>
      </c>
      <c r="L3355">
        <v>2601177713</v>
      </c>
      <c r="M3355">
        <v>2209606749</v>
      </c>
      <c r="N3355">
        <v>1525949544</v>
      </c>
      <c r="O3355">
        <v>1136085368</v>
      </c>
      <c r="P3355">
        <v>109</v>
      </c>
      <c r="Q3355" t="s">
        <v>7054</v>
      </c>
    </row>
    <row r="3356" spans="1:17" x14ac:dyDescent="0.3">
      <c r="A3356" t="s">
        <v>4729</v>
      </c>
      <c r="B3356" t="str">
        <f>"002631"</f>
        <v>002631</v>
      </c>
      <c r="C3356" t="s">
        <v>7055</v>
      </c>
      <c r="D3356" t="s">
        <v>2664</v>
      </c>
      <c r="F3356">
        <v>172943158</v>
      </c>
      <c r="G3356">
        <v>42936796</v>
      </c>
      <c r="H3356">
        <v>50607732</v>
      </c>
      <c r="I3356">
        <v>49613052</v>
      </c>
      <c r="J3356">
        <v>56710509</v>
      </c>
      <c r="K3356">
        <v>42011872</v>
      </c>
      <c r="L3356">
        <v>31938904</v>
      </c>
      <c r="M3356">
        <v>6915008</v>
      </c>
      <c r="N3356">
        <v>5594568</v>
      </c>
      <c r="O3356">
        <v>4447979</v>
      </c>
      <c r="P3356">
        <v>156</v>
      </c>
      <c r="Q3356" t="s">
        <v>7056</v>
      </c>
    </row>
    <row r="3357" spans="1:17" x14ac:dyDescent="0.3">
      <c r="A3357" t="s">
        <v>4729</v>
      </c>
      <c r="B3357" t="str">
        <f>"002632"</f>
        <v>002632</v>
      </c>
      <c r="C3357" t="s">
        <v>7057</v>
      </c>
      <c r="D3357" t="s">
        <v>324</v>
      </c>
      <c r="F3357">
        <v>282473995</v>
      </c>
      <c r="G3357">
        <v>258880403</v>
      </c>
      <c r="H3357">
        <v>335396177</v>
      </c>
      <c r="I3357">
        <v>259113787</v>
      </c>
      <c r="J3357">
        <v>225081892</v>
      </c>
      <c r="K3357">
        <v>102829929</v>
      </c>
      <c r="L3357">
        <v>84822953</v>
      </c>
      <c r="M3357">
        <v>72965863</v>
      </c>
      <c r="N3357">
        <v>71771504</v>
      </c>
      <c r="O3357">
        <v>62084362</v>
      </c>
      <c r="P3357">
        <v>144</v>
      </c>
      <c r="Q3357" t="s">
        <v>7058</v>
      </c>
    </row>
    <row r="3358" spans="1:17" x14ac:dyDescent="0.3">
      <c r="A3358" t="s">
        <v>4729</v>
      </c>
      <c r="B3358" t="str">
        <f>"002633"</f>
        <v>002633</v>
      </c>
      <c r="C3358" t="s">
        <v>7059</v>
      </c>
      <c r="D3358" t="s">
        <v>274</v>
      </c>
      <c r="F3358">
        <v>119511079</v>
      </c>
      <c r="G3358">
        <v>84677541</v>
      </c>
      <c r="H3358">
        <v>89502517</v>
      </c>
      <c r="I3358">
        <v>122564356</v>
      </c>
      <c r="J3358">
        <v>132382464</v>
      </c>
      <c r="K3358">
        <v>97906404</v>
      </c>
      <c r="L3358">
        <v>97541964</v>
      </c>
      <c r="M3358">
        <v>199770193</v>
      </c>
      <c r="N3358">
        <v>175464152</v>
      </c>
      <c r="O3358">
        <v>204345757</v>
      </c>
      <c r="P3358">
        <v>44</v>
      </c>
      <c r="Q3358" t="s">
        <v>7060</v>
      </c>
    </row>
    <row r="3359" spans="1:17" x14ac:dyDescent="0.3">
      <c r="A3359" t="s">
        <v>4729</v>
      </c>
      <c r="B3359" t="str">
        <f>"002634"</f>
        <v>002634</v>
      </c>
      <c r="C3359" t="s">
        <v>7061</v>
      </c>
      <c r="D3359" t="s">
        <v>330</v>
      </c>
      <c r="F3359">
        <v>67755070</v>
      </c>
      <c r="G3359">
        <v>83059676</v>
      </c>
      <c r="H3359">
        <v>99857342</v>
      </c>
      <c r="I3359">
        <v>38754989</v>
      </c>
      <c r="J3359">
        <v>49288976</v>
      </c>
      <c r="K3359">
        <v>33228321</v>
      </c>
      <c r="L3359">
        <v>38269045</v>
      </c>
      <c r="M3359">
        <v>43930048</v>
      </c>
      <c r="N3359">
        <v>61702916</v>
      </c>
      <c r="O3359">
        <v>60519750</v>
      </c>
      <c r="P3359">
        <v>88</v>
      </c>
      <c r="Q3359" t="s">
        <v>7062</v>
      </c>
    </row>
    <row r="3360" spans="1:17" x14ac:dyDescent="0.3">
      <c r="A3360" t="s">
        <v>4729</v>
      </c>
      <c r="B3360" t="str">
        <f>"002635"</f>
        <v>002635</v>
      </c>
      <c r="C3360" t="s">
        <v>7063</v>
      </c>
      <c r="D3360" t="s">
        <v>313</v>
      </c>
      <c r="F3360">
        <v>1300609280</v>
      </c>
      <c r="G3360">
        <v>866576019</v>
      </c>
      <c r="H3360">
        <v>970463742</v>
      </c>
      <c r="I3360">
        <v>1192259413</v>
      </c>
      <c r="J3360">
        <v>1191940677</v>
      </c>
      <c r="K3360">
        <v>530824162</v>
      </c>
      <c r="L3360">
        <v>559111310</v>
      </c>
      <c r="M3360">
        <v>418625078</v>
      </c>
      <c r="N3360">
        <v>235851304</v>
      </c>
      <c r="O3360">
        <v>249319119</v>
      </c>
      <c r="P3360">
        <v>513</v>
      </c>
      <c r="Q3360" t="s">
        <v>7064</v>
      </c>
    </row>
    <row r="3361" spans="1:17" x14ac:dyDescent="0.3">
      <c r="A3361" t="s">
        <v>4729</v>
      </c>
      <c r="B3361" t="str">
        <f>"002636"</f>
        <v>002636</v>
      </c>
      <c r="C3361" t="s">
        <v>7065</v>
      </c>
      <c r="D3361" t="s">
        <v>425</v>
      </c>
      <c r="F3361">
        <v>1087410867</v>
      </c>
      <c r="G3361">
        <v>873151047</v>
      </c>
      <c r="H3361">
        <v>794068205</v>
      </c>
      <c r="I3361">
        <v>730907588</v>
      </c>
      <c r="J3361">
        <v>835912616</v>
      </c>
      <c r="K3361">
        <v>674805047</v>
      </c>
      <c r="L3361">
        <v>615400589</v>
      </c>
      <c r="M3361">
        <v>553445354</v>
      </c>
      <c r="N3361">
        <v>616712176</v>
      </c>
      <c r="O3361">
        <v>682057227</v>
      </c>
      <c r="P3361">
        <v>306</v>
      </c>
      <c r="Q3361" t="s">
        <v>7066</v>
      </c>
    </row>
    <row r="3362" spans="1:17" x14ac:dyDescent="0.3">
      <c r="A3362" t="s">
        <v>4729</v>
      </c>
      <c r="B3362" t="str">
        <f>"002637"</f>
        <v>002637</v>
      </c>
      <c r="C3362" t="s">
        <v>7067</v>
      </c>
      <c r="D3362" t="s">
        <v>386</v>
      </c>
      <c r="F3362">
        <v>762600383</v>
      </c>
      <c r="G3362">
        <v>662680155</v>
      </c>
      <c r="H3362">
        <v>594450484</v>
      </c>
      <c r="I3362">
        <v>517166749</v>
      </c>
      <c r="J3362">
        <v>525528648</v>
      </c>
      <c r="K3362">
        <v>250793426</v>
      </c>
      <c r="L3362">
        <v>110517460</v>
      </c>
      <c r="M3362">
        <v>101361380</v>
      </c>
      <c r="N3362">
        <v>89316629</v>
      </c>
      <c r="O3362">
        <v>76811930</v>
      </c>
      <c r="P3362">
        <v>145</v>
      </c>
      <c r="Q3362" t="s">
        <v>7068</v>
      </c>
    </row>
    <row r="3363" spans="1:17" x14ac:dyDescent="0.3">
      <c r="A3363" t="s">
        <v>4729</v>
      </c>
      <c r="B3363" t="str">
        <f>"002638"</f>
        <v>002638</v>
      </c>
      <c r="C3363" t="s">
        <v>7069</v>
      </c>
      <c r="D3363" t="s">
        <v>1336</v>
      </c>
      <c r="F3363">
        <v>330672107</v>
      </c>
      <c r="G3363">
        <v>482045797</v>
      </c>
      <c r="H3363">
        <v>542283955</v>
      </c>
      <c r="I3363">
        <v>578178757</v>
      </c>
      <c r="J3363">
        <v>705409995</v>
      </c>
      <c r="K3363">
        <v>657085471</v>
      </c>
      <c r="L3363">
        <v>679281686</v>
      </c>
      <c r="M3363">
        <v>583616513</v>
      </c>
      <c r="N3363">
        <v>530100675</v>
      </c>
      <c r="O3363">
        <v>363267694</v>
      </c>
      <c r="P3363">
        <v>83</v>
      </c>
      <c r="Q3363" t="s">
        <v>7070</v>
      </c>
    </row>
    <row r="3364" spans="1:17" x14ac:dyDescent="0.3">
      <c r="A3364" t="s">
        <v>4729</v>
      </c>
      <c r="B3364" t="str">
        <f>"002639"</f>
        <v>002639</v>
      </c>
      <c r="C3364" t="s">
        <v>7071</v>
      </c>
      <c r="D3364" t="s">
        <v>988</v>
      </c>
      <c r="F3364">
        <v>743976888</v>
      </c>
      <c r="G3364">
        <v>656049005</v>
      </c>
      <c r="H3364">
        <v>636793698</v>
      </c>
      <c r="I3364">
        <v>584584039</v>
      </c>
      <c r="J3364">
        <v>445612638</v>
      </c>
      <c r="K3364">
        <v>398192338</v>
      </c>
      <c r="L3364">
        <v>227822525</v>
      </c>
      <c r="M3364">
        <v>167427801</v>
      </c>
      <c r="N3364">
        <v>170500094</v>
      </c>
      <c r="O3364">
        <v>114606217</v>
      </c>
      <c r="P3364">
        <v>228</v>
      </c>
      <c r="Q3364" t="s">
        <v>7072</v>
      </c>
    </row>
    <row r="3365" spans="1:17" x14ac:dyDescent="0.3">
      <c r="A3365" t="s">
        <v>4729</v>
      </c>
      <c r="B3365" t="str">
        <f>"002640"</f>
        <v>002640</v>
      </c>
      <c r="C3365" t="s">
        <v>7073</v>
      </c>
      <c r="D3365" t="s">
        <v>2020</v>
      </c>
      <c r="F3365">
        <v>375395307</v>
      </c>
      <c r="G3365">
        <v>883068243</v>
      </c>
      <c r="H3365">
        <v>1165141154</v>
      </c>
      <c r="I3365">
        <v>1684261652</v>
      </c>
      <c r="J3365">
        <v>663139142</v>
      </c>
      <c r="K3365">
        <v>560771931</v>
      </c>
      <c r="L3365">
        <v>272045518</v>
      </c>
      <c r="M3365">
        <v>369576666</v>
      </c>
      <c r="N3365">
        <v>288552488</v>
      </c>
      <c r="O3365">
        <v>201870945</v>
      </c>
      <c r="P3365">
        <v>263</v>
      </c>
      <c r="Q3365" t="s">
        <v>7074</v>
      </c>
    </row>
    <row r="3366" spans="1:17" x14ac:dyDescent="0.3">
      <c r="A3366" t="s">
        <v>4729</v>
      </c>
      <c r="B3366" t="str">
        <f>"002641"</f>
        <v>002641</v>
      </c>
      <c r="C3366" t="s">
        <v>7075</v>
      </c>
      <c r="D3366" t="s">
        <v>3347</v>
      </c>
      <c r="F3366">
        <v>1411180138</v>
      </c>
      <c r="G3366">
        <v>816247578</v>
      </c>
      <c r="H3366">
        <v>951648500</v>
      </c>
      <c r="I3366">
        <v>945288671</v>
      </c>
      <c r="J3366">
        <v>724317201</v>
      </c>
      <c r="K3366">
        <v>635915996</v>
      </c>
      <c r="L3366">
        <v>623116802</v>
      </c>
      <c r="M3366">
        <v>454143997</v>
      </c>
      <c r="N3366">
        <v>264544012</v>
      </c>
      <c r="O3366">
        <v>217551183</v>
      </c>
      <c r="P3366">
        <v>360</v>
      </c>
      <c r="Q3366" t="s">
        <v>7076</v>
      </c>
    </row>
    <row r="3367" spans="1:17" x14ac:dyDescent="0.3">
      <c r="A3367" t="s">
        <v>4729</v>
      </c>
      <c r="B3367" t="str">
        <f>"002642"</f>
        <v>002642</v>
      </c>
      <c r="C3367" t="s">
        <v>7077</v>
      </c>
      <c r="D3367" t="s">
        <v>316</v>
      </c>
      <c r="F3367">
        <v>1183222932</v>
      </c>
      <c r="G3367">
        <v>904393590</v>
      </c>
      <c r="H3367">
        <v>805553097</v>
      </c>
      <c r="I3367">
        <v>728878072</v>
      </c>
      <c r="J3367">
        <v>1102205330</v>
      </c>
      <c r="K3367">
        <v>661153112</v>
      </c>
      <c r="L3367">
        <v>596808796</v>
      </c>
      <c r="M3367">
        <v>601557379</v>
      </c>
      <c r="N3367">
        <v>357407964</v>
      </c>
      <c r="O3367">
        <v>305241464</v>
      </c>
      <c r="P3367">
        <v>221</v>
      </c>
      <c r="Q3367" t="s">
        <v>7078</v>
      </c>
    </row>
    <row r="3368" spans="1:17" x14ac:dyDescent="0.3">
      <c r="A3368" t="s">
        <v>4729</v>
      </c>
      <c r="B3368" t="str">
        <f>"002643"</f>
        <v>002643</v>
      </c>
      <c r="C3368" t="s">
        <v>7079</v>
      </c>
      <c r="D3368" t="s">
        <v>2408</v>
      </c>
      <c r="F3368">
        <v>384847900</v>
      </c>
      <c r="G3368">
        <v>551293045</v>
      </c>
      <c r="H3368">
        <v>400759081</v>
      </c>
      <c r="I3368">
        <v>507162893</v>
      </c>
      <c r="J3368">
        <v>373451431</v>
      </c>
      <c r="K3368">
        <v>307783205</v>
      </c>
      <c r="L3368">
        <v>222867349</v>
      </c>
      <c r="M3368">
        <v>187564064</v>
      </c>
      <c r="N3368">
        <v>139562369</v>
      </c>
      <c r="O3368">
        <v>129806174</v>
      </c>
      <c r="P3368">
        <v>387</v>
      </c>
      <c r="Q3368" t="s">
        <v>7080</v>
      </c>
    </row>
    <row r="3369" spans="1:17" x14ac:dyDescent="0.3">
      <c r="A3369" t="s">
        <v>4729</v>
      </c>
      <c r="B3369" t="str">
        <f>"002644"</f>
        <v>002644</v>
      </c>
      <c r="C3369" t="s">
        <v>7081</v>
      </c>
      <c r="D3369" t="s">
        <v>188</v>
      </c>
      <c r="F3369">
        <v>253945827</v>
      </c>
      <c r="G3369">
        <v>181752950</v>
      </c>
      <c r="H3369">
        <v>188148578</v>
      </c>
      <c r="I3369">
        <v>122641233</v>
      </c>
      <c r="J3369">
        <v>101291180</v>
      </c>
      <c r="K3369">
        <v>51356654</v>
      </c>
      <c r="L3369">
        <v>56017245</v>
      </c>
      <c r="M3369">
        <v>100693549</v>
      </c>
      <c r="N3369">
        <v>131638854</v>
      </c>
      <c r="O3369">
        <v>93691692</v>
      </c>
      <c r="P3369">
        <v>163</v>
      </c>
      <c r="Q3369" t="s">
        <v>7082</v>
      </c>
    </row>
    <row r="3370" spans="1:17" x14ac:dyDescent="0.3">
      <c r="A3370" t="s">
        <v>4729</v>
      </c>
      <c r="B3370" t="str">
        <f>"002645"</f>
        <v>002645</v>
      </c>
      <c r="C3370" t="s">
        <v>7083</v>
      </c>
      <c r="D3370" t="s">
        <v>1070</v>
      </c>
      <c r="F3370">
        <v>452362084</v>
      </c>
      <c r="G3370">
        <v>354280519</v>
      </c>
      <c r="H3370">
        <v>281967278</v>
      </c>
      <c r="I3370">
        <v>213756352</v>
      </c>
      <c r="J3370">
        <v>156324449</v>
      </c>
      <c r="K3370">
        <v>173785772</v>
      </c>
      <c r="L3370">
        <v>123441630</v>
      </c>
      <c r="M3370">
        <v>75446943</v>
      </c>
      <c r="N3370">
        <v>60274183</v>
      </c>
      <c r="O3370">
        <v>75905268</v>
      </c>
      <c r="P3370">
        <v>204</v>
      </c>
      <c r="Q3370" t="s">
        <v>7084</v>
      </c>
    </row>
    <row r="3371" spans="1:17" x14ac:dyDescent="0.3">
      <c r="A3371" t="s">
        <v>4729</v>
      </c>
      <c r="B3371" t="str">
        <f>"002646"</f>
        <v>002646</v>
      </c>
      <c r="C3371" t="s">
        <v>7085</v>
      </c>
      <c r="D3371" t="s">
        <v>458</v>
      </c>
      <c r="F3371">
        <v>21164036</v>
      </c>
      <c r="G3371">
        <v>19322299</v>
      </c>
      <c r="H3371">
        <v>27120559</v>
      </c>
      <c r="I3371">
        <v>44942175</v>
      </c>
      <c r="J3371">
        <v>15980490</v>
      </c>
      <c r="K3371">
        <v>10770979</v>
      </c>
      <c r="L3371">
        <v>23655821</v>
      </c>
      <c r="M3371">
        <v>2533557</v>
      </c>
      <c r="N3371">
        <v>1530483</v>
      </c>
      <c r="O3371">
        <v>1076160</v>
      </c>
      <c r="P3371">
        <v>254</v>
      </c>
      <c r="Q3371" t="s">
        <v>7086</v>
      </c>
    </row>
    <row r="3372" spans="1:17" x14ac:dyDescent="0.3">
      <c r="A3372" t="s">
        <v>4729</v>
      </c>
      <c r="B3372" t="str">
        <f>"002647"</f>
        <v>002647</v>
      </c>
      <c r="C3372" t="s">
        <v>7087</v>
      </c>
      <c r="D3372" t="s">
        <v>6424</v>
      </c>
      <c r="F3372">
        <v>92100251</v>
      </c>
      <c r="G3372">
        <v>229704703</v>
      </c>
      <c r="H3372">
        <v>399513632</v>
      </c>
      <c r="I3372">
        <v>343829642</v>
      </c>
      <c r="J3372">
        <v>569571735</v>
      </c>
      <c r="K3372">
        <v>9515542</v>
      </c>
      <c r="L3372">
        <v>318563445</v>
      </c>
      <c r="M3372">
        <v>587973341</v>
      </c>
      <c r="N3372">
        <v>567373150</v>
      </c>
      <c r="O3372">
        <v>486583905</v>
      </c>
      <c r="P3372">
        <v>180</v>
      </c>
      <c r="Q3372" t="s">
        <v>7088</v>
      </c>
    </row>
    <row r="3373" spans="1:17" x14ac:dyDescent="0.3">
      <c r="A3373" t="s">
        <v>4729</v>
      </c>
      <c r="B3373" t="str">
        <f>"002648"</f>
        <v>002648</v>
      </c>
      <c r="C3373" t="s">
        <v>7089</v>
      </c>
      <c r="D3373" t="s">
        <v>386</v>
      </c>
      <c r="F3373">
        <v>608209522</v>
      </c>
      <c r="G3373">
        <v>407792929</v>
      </c>
      <c r="H3373">
        <v>325603158</v>
      </c>
      <c r="I3373">
        <v>443311145</v>
      </c>
      <c r="J3373">
        <v>360834448</v>
      </c>
      <c r="K3373">
        <v>313835623</v>
      </c>
      <c r="L3373">
        <v>200581040</v>
      </c>
      <c r="M3373">
        <v>190958785</v>
      </c>
      <c r="N3373">
        <v>177520675</v>
      </c>
      <c r="O3373">
        <v>153089948</v>
      </c>
      <c r="P3373">
        <v>526</v>
      </c>
      <c r="Q3373" t="s">
        <v>7090</v>
      </c>
    </row>
    <row r="3374" spans="1:17" x14ac:dyDescent="0.3">
      <c r="A3374" t="s">
        <v>4729</v>
      </c>
      <c r="B3374" t="str">
        <f>"002649"</f>
        <v>002649</v>
      </c>
      <c r="C3374" t="s">
        <v>7091</v>
      </c>
      <c r="D3374" t="s">
        <v>316</v>
      </c>
      <c r="F3374">
        <v>1451374637</v>
      </c>
      <c r="G3374">
        <v>1006416746</v>
      </c>
      <c r="H3374">
        <v>908549341</v>
      </c>
      <c r="I3374">
        <v>751111867</v>
      </c>
      <c r="J3374">
        <v>561052698</v>
      </c>
      <c r="K3374">
        <v>431868934</v>
      </c>
      <c r="L3374">
        <v>393117565</v>
      </c>
      <c r="M3374">
        <v>376623862</v>
      </c>
      <c r="N3374">
        <v>335432849</v>
      </c>
      <c r="O3374">
        <v>266680392</v>
      </c>
      <c r="P3374">
        <v>273</v>
      </c>
      <c r="Q3374" t="s">
        <v>7092</v>
      </c>
    </row>
    <row r="3375" spans="1:17" x14ac:dyDescent="0.3">
      <c r="A3375" t="s">
        <v>4729</v>
      </c>
      <c r="B3375" t="str">
        <f>"002650"</f>
        <v>002650</v>
      </c>
      <c r="C3375" t="s">
        <v>7093</v>
      </c>
      <c r="D3375" t="s">
        <v>433</v>
      </c>
      <c r="F3375">
        <v>35184236</v>
      </c>
      <c r="G3375">
        <v>47842435</v>
      </c>
      <c r="H3375">
        <v>68016986</v>
      </c>
      <c r="I3375">
        <v>66506875</v>
      </c>
      <c r="J3375">
        <v>97266445</v>
      </c>
      <c r="K3375">
        <v>69683093</v>
      </c>
      <c r="L3375">
        <v>37563998</v>
      </c>
      <c r="M3375">
        <v>48214934</v>
      </c>
      <c r="N3375">
        <v>17423528</v>
      </c>
      <c r="O3375">
        <v>16901314</v>
      </c>
      <c r="P3375">
        <v>207</v>
      </c>
      <c r="Q3375" t="s">
        <v>7094</v>
      </c>
    </row>
    <row r="3376" spans="1:17" x14ac:dyDescent="0.3">
      <c r="A3376" t="s">
        <v>4729</v>
      </c>
      <c r="B3376" t="str">
        <f>"002651"</f>
        <v>002651</v>
      </c>
      <c r="C3376" t="s">
        <v>7095</v>
      </c>
      <c r="D3376" t="s">
        <v>395</v>
      </c>
      <c r="F3376">
        <v>311526499</v>
      </c>
      <c r="G3376">
        <v>220283663</v>
      </c>
      <c r="H3376">
        <v>258886868</v>
      </c>
      <c r="I3376">
        <v>189038540</v>
      </c>
      <c r="J3376">
        <v>193070138</v>
      </c>
      <c r="K3376">
        <v>251817059</v>
      </c>
      <c r="L3376">
        <v>262357196</v>
      </c>
      <c r="M3376">
        <v>220991195</v>
      </c>
      <c r="N3376">
        <v>216810703</v>
      </c>
      <c r="O3376">
        <v>264725540</v>
      </c>
      <c r="P3376">
        <v>121</v>
      </c>
      <c r="Q3376" t="s">
        <v>7096</v>
      </c>
    </row>
    <row r="3377" spans="1:17" x14ac:dyDescent="0.3">
      <c r="A3377" t="s">
        <v>4729</v>
      </c>
      <c r="B3377" t="str">
        <f>"002652"</f>
        <v>002652</v>
      </c>
      <c r="C3377" t="s">
        <v>7097</v>
      </c>
      <c r="D3377" t="s">
        <v>722</v>
      </c>
      <c r="F3377">
        <v>118377678</v>
      </c>
      <c r="G3377">
        <v>201212395</v>
      </c>
      <c r="H3377">
        <v>151819796</v>
      </c>
      <c r="I3377">
        <v>205647380</v>
      </c>
      <c r="J3377">
        <v>126417812</v>
      </c>
      <c r="K3377">
        <v>147841122</v>
      </c>
      <c r="L3377">
        <v>98887669</v>
      </c>
      <c r="M3377">
        <v>63791346</v>
      </c>
      <c r="N3377">
        <v>57638593</v>
      </c>
      <c r="O3377">
        <v>31732353</v>
      </c>
      <c r="P3377">
        <v>58</v>
      </c>
      <c r="Q3377" t="s">
        <v>7098</v>
      </c>
    </row>
    <row r="3378" spans="1:17" x14ac:dyDescent="0.3">
      <c r="A3378" t="s">
        <v>4729</v>
      </c>
      <c r="B3378" t="str">
        <f>"002653"</f>
        <v>002653</v>
      </c>
      <c r="C3378" t="s">
        <v>7099</v>
      </c>
      <c r="D3378" t="s">
        <v>143</v>
      </c>
      <c r="F3378">
        <v>518492573</v>
      </c>
      <c r="G3378">
        <v>452228576</v>
      </c>
      <c r="H3378">
        <v>533282679</v>
      </c>
      <c r="I3378">
        <v>742144659</v>
      </c>
      <c r="J3378">
        <v>444292039</v>
      </c>
      <c r="K3378">
        <v>199276951</v>
      </c>
      <c r="L3378">
        <v>27831130</v>
      </c>
      <c r="M3378">
        <v>21562350</v>
      </c>
      <c r="N3378">
        <v>18271129</v>
      </c>
      <c r="O3378">
        <v>13721670</v>
      </c>
      <c r="P3378">
        <v>549</v>
      </c>
      <c r="Q3378" t="s">
        <v>7100</v>
      </c>
    </row>
    <row r="3379" spans="1:17" x14ac:dyDescent="0.3">
      <c r="A3379" t="s">
        <v>4729</v>
      </c>
      <c r="B3379" t="str">
        <f>"002654"</f>
        <v>002654</v>
      </c>
      <c r="C3379" t="s">
        <v>7101</v>
      </c>
      <c r="D3379" t="s">
        <v>803</v>
      </c>
      <c r="F3379">
        <v>1222942540</v>
      </c>
      <c r="G3379">
        <v>1328122971</v>
      </c>
      <c r="H3379">
        <v>1383683287</v>
      </c>
      <c r="I3379">
        <v>1448468274</v>
      </c>
      <c r="J3379">
        <v>951166941</v>
      </c>
      <c r="K3379">
        <v>465955543</v>
      </c>
      <c r="L3379">
        <v>384747659</v>
      </c>
      <c r="M3379">
        <v>153105263</v>
      </c>
      <c r="N3379">
        <v>108757739</v>
      </c>
      <c r="O3379">
        <v>107198836</v>
      </c>
      <c r="P3379">
        <v>124</v>
      </c>
      <c r="Q3379" t="s">
        <v>7102</v>
      </c>
    </row>
    <row r="3380" spans="1:17" x14ac:dyDescent="0.3">
      <c r="A3380" t="s">
        <v>4729</v>
      </c>
      <c r="B3380" t="str">
        <f>"002655"</f>
        <v>002655</v>
      </c>
      <c r="C3380" t="s">
        <v>7103</v>
      </c>
      <c r="D3380" t="s">
        <v>313</v>
      </c>
      <c r="F3380">
        <v>272097154</v>
      </c>
      <c r="G3380">
        <v>303326439</v>
      </c>
      <c r="H3380">
        <v>310560672</v>
      </c>
      <c r="I3380">
        <v>242674030</v>
      </c>
      <c r="J3380">
        <v>208888156</v>
      </c>
      <c r="K3380">
        <v>198985172</v>
      </c>
      <c r="L3380">
        <v>189475723</v>
      </c>
      <c r="M3380">
        <v>172185394</v>
      </c>
      <c r="N3380">
        <v>152461870</v>
      </c>
      <c r="O3380">
        <v>186293942</v>
      </c>
      <c r="P3380">
        <v>230</v>
      </c>
      <c r="Q3380" t="s">
        <v>7104</v>
      </c>
    </row>
    <row r="3381" spans="1:17" x14ac:dyDescent="0.3">
      <c r="A3381" t="s">
        <v>4729</v>
      </c>
      <c r="B3381" t="str">
        <f>"002656"</f>
        <v>002656</v>
      </c>
      <c r="C3381" t="s">
        <v>7105</v>
      </c>
      <c r="D3381" t="s">
        <v>255</v>
      </c>
      <c r="F3381">
        <v>85543499</v>
      </c>
      <c r="G3381">
        <v>125693463</v>
      </c>
      <c r="H3381">
        <v>153171944</v>
      </c>
      <c r="I3381">
        <v>349526239</v>
      </c>
      <c r="J3381">
        <v>180923133</v>
      </c>
      <c r="K3381">
        <v>147646811</v>
      </c>
      <c r="L3381">
        <v>170425501</v>
      </c>
      <c r="M3381">
        <v>154393633</v>
      </c>
      <c r="N3381">
        <v>194806070</v>
      </c>
      <c r="O3381">
        <v>111843908</v>
      </c>
      <c r="P3381">
        <v>62</v>
      </c>
      <c r="Q3381" t="s">
        <v>7106</v>
      </c>
    </row>
    <row r="3382" spans="1:17" x14ac:dyDescent="0.3">
      <c r="A3382" t="s">
        <v>4729</v>
      </c>
      <c r="B3382" t="str">
        <f>"002657"</f>
        <v>002657</v>
      </c>
      <c r="C3382" t="s">
        <v>7107</v>
      </c>
      <c r="D3382" t="s">
        <v>316</v>
      </c>
      <c r="F3382">
        <v>110058572</v>
      </c>
      <c r="G3382">
        <v>124869859</v>
      </c>
      <c r="H3382">
        <v>118861176</v>
      </c>
      <c r="I3382">
        <v>108821967</v>
      </c>
      <c r="J3382">
        <v>91638650</v>
      </c>
      <c r="K3382">
        <v>75864050</v>
      </c>
      <c r="L3382">
        <v>86037681</v>
      </c>
      <c r="M3382">
        <v>58856687</v>
      </c>
      <c r="N3382">
        <v>35943554</v>
      </c>
      <c r="O3382">
        <v>43543176</v>
      </c>
      <c r="P3382">
        <v>154</v>
      </c>
      <c r="Q3382" t="s">
        <v>7108</v>
      </c>
    </row>
    <row r="3383" spans="1:17" x14ac:dyDescent="0.3">
      <c r="A3383" t="s">
        <v>4729</v>
      </c>
      <c r="B3383" t="str">
        <f>"002658"</f>
        <v>002658</v>
      </c>
      <c r="C3383" t="s">
        <v>7109</v>
      </c>
      <c r="D3383" t="s">
        <v>1070</v>
      </c>
      <c r="F3383">
        <v>509559444</v>
      </c>
      <c r="G3383">
        <v>454305053</v>
      </c>
      <c r="H3383">
        <v>424018630</v>
      </c>
      <c r="I3383">
        <v>465896085</v>
      </c>
      <c r="J3383">
        <v>476120388</v>
      </c>
      <c r="K3383">
        <v>501116914</v>
      </c>
      <c r="L3383">
        <v>442860241</v>
      </c>
      <c r="M3383">
        <v>308247259</v>
      </c>
      <c r="N3383">
        <v>303333808</v>
      </c>
      <c r="O3383">
        <v>221433498</v>
      </c>
      <c r="P3383">
        <v>231</v>
      </c>
      <c r="Q3383" t="s">
        <v>7110</v>
      </c>
    </row>
    <row r="3384" spans="1:17" x14ac:dyDescent="0.3">
      <c r="A3384" t="s">
        <v>4729</v>
      </c>
      <c r="B3384" t="str">
        <f>"002659"</f>
        <v>002659</v>
      </c>
      <c r="C3384" t="s">
        <v>7111</v>
      </c>
      <c r="D3384" t="s">
        <v>1781</v>
      </c>
      <c r="F3384">
        <v>39679</v>
      </c>
      <c r="G3384">
        <v>87591</v>
      </c>
      <c r="H3384">
        <v>123946283</v>
      </c>
      <c r="I3384">
        <v>4677577</v>
      </c>
      <c r="J3384">
        <v>129115</v>
      </c>
      <c r="K3384">
        <v>359742446</v>
      </c>
      <c r="L3384">
        <v>221116024</v>
      </c>
      <c r="M3384">
        <v>238015085</v>
      </c>
      <c r="N3384">
        <v>264967897</v>
      </c>
      <c r="O3384">
        <v>301969771</v>
      </c>
      <c r="P3384">
        <v>96</v>
      </c>
      <c r="Q3384" t="s">
        <v>7112</v>
      </c>
    </row>
    <row r="3385" spans="1:17" x14ac:dyDescent="0.3">
      <c r="A3385" t="s">
        <v>4729</v>
      </c>
      <c r="B3385" t="str">
        <f>"002660"</f>
        <v>002660</v>
      </c>
      <c r="C3385" t="s">
        <v>7113</v>
      </c>
      <c r="D3385" t="s">
        <v>313</v>
      </c>
      <c r="F3385">
        <v>541798469</v>
      </c>
      <c r="G3385">
        <v>465039250</v>
      </c>
      <c r="H3385">
        <v>462909161</v>
      </c>
      <c r="I3385">
        <v>462779718</v>
      </c>
      <c r="J3385">
        <v>479781809</v>
      </c>
      <c r="K3385">
        <v>588888514</v>
      </c>
      <c r="L3385">
        <v>489612749</v>
      </c>
      <c r="M3385">
        <v>296930703</v>
      </c>
      <c r="N3385">
        <v>278938190</v>
      </c>
      <c r="O3385">
        <v>242840829</v>
      </c>
      <c r="P3385">
        <v>122</v>
      </c>
      <c r="Q3385" t="s">
        <v>7114</v>
      </c>
    </row>
    <row r="3386" spans="1:17" x14ac:dyDescent="0.3">
      <c r="A3386" t="s">
        <v>4729</v>
      </c>
      <c r="B3386" t="str">
        <f>"002661"</f>
        <v>002661</v>
      </c>
      <c r="C3386" t="s">
        <v>7115</v>
      </c>
      <c r="D3386" t="s">
        <v>445</v>
      </c>
      <c r="F3386">
        <v>165961333</v>
      </c>
      <c r="G3386">
        <v>148859519</v>
      </c>
      <c r="H3386">
        <v>232530023</v>
      </c>
      <c r="I3386">
        <v>235562116</v>
      </c>
      <c r="J3386">
        <v>269680407</v>
      </c>
      <c r="K3386">
        <v>339064067</v>
      </c>
      <c r="L3386">
        <v>315687225</v>
      </c>
      <c r="M3386">
        <v>186041733</v>
      </c>
      <c r="N3386">
        <v>124068500</v>
      </c>
      <c r="O3386">
        <v>52158162</v>
      </c>
      <c r="P3386">
        <v>511</v>
      </c>
      <c r="Q3386" t="s">
        <v>7116</v>
      </c>
    </row>
    <row r="3387" spans="1:17" x14ac:dyDescent="0.3">
      <c r="A3387" t="s">
        <v>4729</v>
      </c>
      <c r="B3387" t="str">
        <f>"002662"</f>
        <v>002662</v>
      </c>
      <c r="C3387" t="s">
        <v>7117</v>
      </c>
      <c r="D3387" t="s">
        <v>191</v>
      </c>
      <c r="F3387">
        <v>750508109</v>
      </c>
      <c r="G3387">
        <v>708709480</v>
      </c>
      <c r="H3387">
        <v>724697553</v>
      </c>
      <c r="I3387">
        <v>896991968</v>
      </c>
      <c r="J3387">
        <v>1175305702</v>
      </c>
      <c r="K3387">
        <v>943627660</v>
      </c>
      <c r="L3387">
        <v>752283256</v>
      </c>
      <c r="M3387">
        <v>646117118</v>
      </c>
      <c r="N3387">
        <v>273024203</v>
      </c>
      <c r="O3387">
        <v>188053530</v>
      </c>
      <c r="P3387">
        <v>140</v>
      </c>
      <c r="Q3387" t="s">
        <v>7118</v>
      </c>
    </row>
    <row r="3388" spans="1:17" x14ac:dyDescent="0.3">
      <c r="A3388" t="s">
        <v>4729</v>
      </c>
      <c r="B3388" t="str">
        <f>"002663"</f>
        <v>002663</v>
      </c>
      <c r="C3388" t="s">
        <v>7119</v>
      </c>
      <c r="D3388" t="s">
        <v>2417</v>
      </c>
      <c r="F3388">
        <v>1558600999</v>
      </c>
      <c r="G3388">
        <v>1515579459</v>
      </c>
      <c r="H3388">
        <v>1608543502</v>
      </c>
      <c r="I3388">
        <v>1892441517</v>
      </c>
      <c r="J3388">
        <v>1620942741</v>
      </c>
      <c r="K3388">
        <v>1582498884</v>
      </c>
      <c r="L3388">
        <v>1342437578</v>
      </c>
      <c r="M3388">
        <v>860357687</v>
      </c>
      <c r="N3388">
        <v>652112275</v>
      </c>
      <c r="O3388">
        <v>472500468</v>
      </c>
      <c r="P3388">
        <v>95</v>
      </c>
      <c r="Q3388" t="s">
        <v>7120</v>
      </c>
    </row>
    <row r="3389" spans="1:17" x14ac:dyDescent="0.3">
      <c r="A3389" t="s">
        <v>4729</v>
      </c>
      <c r="B3389" t="str">
        <f>"002664"</f>
        <v>002664</v>
      </c>
      <c r="C3389" t="s">
        <v>7121</v>
      </c>
      <c r="D3389" t="s">
        <v>1415</v>
      </c>
      <c r="F3389">
        <v>635667543</v>
      </c>
      <c r="G3389">
        <v>577097712</v>
      </c>
      <c r="H3389">
        <v>559947547</v>
      </c>
      <c r="I3389">
        <v>552272441</v>
      </c>
      <c r="J3389">
        <v>565671447</v>
      </c>
      <c r="K3389">
        <v>392126724</v>
      </c>
      <c r="L3389">
        <v>381419950</v>
      </c>
      <c r="M3389">
        <v>355901185</v>
      </c>
      <c r="N3389">
        <v>303721000</v>
      </c>
      <c r="O3389">
        <v>242260764</v>
      </c>
      <c r="P3389">
        <v>232</v>
      </c>
      <c r="Q3389" t="s">
        <v>7122</v>
      </c>
    </row>
    <row r="3390" spans="1:17" x14ac:dyDescent="0.3">
      <c r="A3390" t="s">
        <v>4729</v>
      </c>
      <c r="B3390" t="str">
        <f>"002665"</f>
        <v>002665</v>
      </c>
      <c r="C3390" t="s">
        <v>7123</v>
      </c>
      <c r="D3390" t="s">
        <v>880</v>
      </c>
      <c r="F3390">
        <v>873570740</v>
      </c>
      <c r="G3390">
        <v>644030317</v>
      </c>
      <c r="H3390">
        <v>596660436</v>
      </c>
      <c r="I3390">
        <v>783039165</v>
      </c>
      <c r="J3390">
        <v>1053630601</v>
      </c>
      <c r="K3390">
        <v>1079240066</v>
      </c>
      <c r="L3390">
        <v>1338458955</v>
      </c>
      <c r="M3390">
        <v>1247069178</v>
      </c>
      <c r="N3390">
        <v>1143760499</v>
      </c>
      <c r="O3390">
        <v>695049179</v>
      </c>
      <c r="P3390">
        <v>208</v>
      </c>
      <c r="Q3390" t="s">
        <v>7124</v>
      </c>
    </row>
    <row r="3391" spans="1:17" x14ac:dyDescent="0.3">
      <c r="A3391" t="s">
        <v>4729</v>
      </c>
      <c r="B3391" t="str">
        <f>"002666"</f>
        <v>002666</v>
      </c>
      <c r="C3391" t="s">
        <v>7125</v>
      </c>
      <c r="D3391" t="s">
        <v>386</v>
      </c>
      <c r="F3391">
        <v>1157438400</v>
      </c>
      <c r="G3391">
        <v>994041957</v>
      </c>
      <c r="H3391">
        <v>942023975</v>
      </c>
      <c r="I3391">
        <v>782171280</v>
      </c>
      <c r="J3391">
        <v>713954055</v>
      </c>
      <c r="K3391">
        <v>404963207</v>
      </c>
      <c r="L3391">
        <v>396812384</v>
      </c>
      <c r="M3391">
        <v>296381607</v>
      </c>
      <c r="N3391">
        <v>312803062</v>
      </c>
      <c r="O3391">
        <v>148576710</v>
      </c>
      <c r="P3391">
        <v>110</v>
      </c>
      <c r="Q3391" t="s">
        <v>7126</v>
      </c>
    </row>
    <row r="3392" spans="1:17" x14ac:dyDescent="0.3">
      <c r="A3392" t="s">
        <v>4729</v>
      </c>
      <c r="B3392" t="str">
        <f>"002667"</f>
        <v>002667</v>
      </c>
      <c r="C3392" t="s">
        <v>7127</v>
      </c>
      <c r="D3392" t="s">
        <v>395</v>
      </c>
      <c r="F3392">
        <v>100998216</v>
      </c>
      <c r="G3392">
        <v>106157155</v>
      </c>
      <c r="H3392">
        <v>115070077</v>
      </c>
      <c r="I3392">
        <v>127516795</v>
      </c>
      <c r="J3392">
        <v>126596267</v>
      </c>
      <c r="K3392">
        <v>115646569</v>
      </c>
      <c r="L3392">
        <v>157759799</v>
      </c>
      <c r="M3392">
        <v>156507396</v>
      </c>
      <c r="N3392">
        <v>148874434</v>
      </c>
      <c r="O3392">
        <v>125029625</v>
      </c>
      <c r="P3392">
        <v>73</v>
      </c>
      <c r="Q3392" t="s">
        <v>7128</v>
      </c>
    </row>
    <row r="3393" spans="1:17" x14ac:dyDescent="0.3">
      <c r="A3393" t="s">
        <v>4729</v>
      </c>
      <c r="B3393" t="str">
        <f>"002668"</f>
        <v>002668</v>
      </c>
      <c r="C3393" t="s">
        <v>7129</v>
      </c>
      <c r="D3393" t="s">
        <v>754</v>
      </c>
      <c r="F3393">
        <v>1185571402</v>
      </c>
      <c r="G3393">
        <v>1506709796</v>
      </c>
      <c r="H3393">
        <v>1854175343</v>
      </c>
      <c r="I3393">
        <v>1972155924</v>
      </c>
      <c r="J3393">
        <v>2388546867</v>
      </c>
      <c r="K3393">
        <v>663447641</v>
      </c>
      <c r="L3393">
        <v>551428891</v>
      </c>
      <c r="M3393">
        <v>458725444</v>
      </c>
      <c r="N3393">
        <v>587037907</v>
      </c>
      <c r="O3393">
        <v>615159660</v>
      </c>
      <c r="P3393">
        <v>204</v>
      </c>
      <c r="Q3393" t="s">
        <v>7130</v>
      </c>
    </row>
    <row r="3394" spans="1:17" x14ac:dyDescent="0.3">
      <c r="A3394" t="s">
        <v>4729</v>
      </c>
      <c r="B3394" t="str">
        <f>"002669"</f>
        <v>002669</v>
      </c>
      <c r="C3394" t="s">
        <v>7131</v>
      </c>
      <c r="D3394" t="s">
        <v>3170</v>
      </c>
      <c r="F3394">
        <v>822002139</v>
      </c>
      <c r="G3394">
        <v>804415241</v>
      </c>
      <c r="H3394">
        <v>550499195</v>
      </c>
      <c r="I3394">
        <v>595717021</v>
      </c>
      <c r="J3394">
        <v>266970792</v>
      </c>
      <c r="K3394">
        <v>222893771</v>
      </c>
      <c r="L3394">
        <v>271906734</v>
      </c>
      <c r="M3394">
        <v>179363473</v>
      </c>
      <c r="N3394">
        <v>130657548</v>
      </c>
      <c r="O3394">
        <v>100888622</v>
      </c>
      <c r="P3394">
        <v>138</v>
      </c>
      <c r="Q3394" t="s">
        <v>7132</v>
      </c>
    </row>
    <row r="3395" spans="1:17" x14ac:dyDescent="0.3">
      <c r="A3395" t="s">
        <v>4729</v>
      </c>
      <c r="B3395" t="str">
        <f>"002670"</f>
        <v>002670</v>
      </c>
      <c r="C3395" t="s">
        <v>7133</v>
      </c>
      <c r="D3395" t="s">
        <v>80</v>
      </c>
      <c r="F3395">
        <v>697821638</v>
      </c>
      <c r="G3395">
        <v>268793632</v>
      </c>
      <c r="H3395">
        <v>205879719</v>
      </c>
      <c r="I3395">
        <v>266500766</v>
      </c>
      <c r="J3395">
        <v>718809857</v>
      </c>
      <c r="K3395">
        <v>482870617</v>
      </c>
      <c r="L3395">
        <v>298181658</v>
      </c>
      <c r="M3395">
        <v>357542112</v>
      </c>
      <c r="N3395">
        <v>333108382</v>
      </c>
      <c r="O3395">
        <v>237428720</v>
      </c>
      <c r="P3395">
        <v>580</v>
      </c>
      <c r="Q3395" t="s">
        <v>7134</v>
      </c>
    </row>
    <row r="3396" spans="1:17" x14ac:dyDescent="0.3">
      <c r="A3396" t="s">
        <v>4729</v>
      </c>
      <c r="B3396" t="str">
        <f>"002671"</f>
        <v>002671</v>
      </c>
      <c r="C3396" t="s">
        <v>7135</v>
      </c>
      <c r="D3396" t="s">
        <v>3098</v>
      </c>
      <c r="F3396">
        <v>773098631</v>
      </c>
      <c r="G3396">
        <v>545136532</v>
      </c>
      <c r="H3396">
        <v>799400764</v>
      </c>
      <c r="I3396">
        <v>1097519017</v>
      </c>
      <c r="J3396">
        <v>1169569439</v>
      </c>
      <c r="K3396">
        <v>1077263575</v>
      </c>
      <c r="L3396">
        <v>724435865</v>
      </c>
      <c r="M3396">
        <v>635937656</v>
      </c>
      <c r="N3396">
        <v>278330203</v>
      </c>
      <c r="O3396">
        <v>273846395</v>
      </c>
      <c r="P3396">
        <v>68</v>
      </c>
      <c r="Q3396" t="s">
        <v>7136</v>
      </c>
    </row>
    <row r="3397" spans="1:17" x14ac:dyDescent="0.3">
      <c r="A3397" t="s">
        <v>4729</v>
      </c>
      <c r="B3397" t="str">
        <f>"002672"</f>
        <v>002672</v>
      </c>
      <c r="C3397" t="s">
        <v>7137</v>
      </c>
      <c r="D3397" t="s">
        <v>499</v>
      </c>
      <c r="F3397">
        <v>1022764013</v>
      </c>
      <c r="G3397">
        <v>888802439</v>
      </c>
      <c r="H3397">
        <v>843722663</v>
      </c>
      <c r="I3397">
        <v>690806932</v>
      </c>
      <c r="J3397">
        <v>694636070</v>
      </c>
      <c r="K3397">
        <v>493350207</v>
      </c>
      <c r="L3397">
        <v>708871228</v>
      </c>
      <c r="M3397">
        <v>471463001</v>
      </c>
      <c r="N3397">
        <v>179584250</v>
      </c>
      <c r="O3397">
        <v>207393389</v>
      </c>
      <c r="P3397">
        <v>317</v>
      </c>
      <c r="Q3397" t="s">
        <v>7138</v>
      </c>
    </row>
    <row r="3398" spans="1:17" x14ac:dyDescent="0.3">
      <c r="A3398" t="s">
        <v>4729</v>
      </c>
      <c r="B3398" t="str">
        <f>"002673"</f>
        <v>002673</v>
      </c>
      <c r="C3398" t="s">
        <v>7139</v>
      </c>
      <c r="D3398" t="s">
        <v>80</v>
      </c>
      <c r="F3398">
        <v>273645835</v>
      </c>
      <c r="G3398">
        <v>244945883</v>
      </c>
      <c r="H3398">
        <v>92630871</v>
      </c>
      <c r="I3398">
        <v>926577512</v>
      </c>
      <c r="J3398">
        <v>647105646</v>
      </c>
      <c r="K3398">
        <v>485150314</v>
      </c>
      <c r="L3398">
        <v>0</v>
      </c>
      <c r="M3398">
        <v>0</v>
      </c>
      <c r="N3398">
        <v>0</v>
      </c>
      <c r="O3398">
        <v>0</v>
      </c>
      <c r="P3398">
        <v>1135</v>
      </c>
      <c r="Q3398" t="s">
        <v>7140</v>
      </c>
    </row>
    <row r="3399" spans="1:17" x14ac:dyDescent="0.3">
      <c r="A3399" t="s">
        <v>4729</v>
      </c>
      <c r="B3399" t="str">
        <f>"002674"</f>
        <v>002674</v>
      </c>
      <c r="C3399" t="s">
        <v>7141</v>
      </c>
      <c r="D3399" t="s">
        <v>2956</v>
      </c>
      <c r="F3399">
        <v>229304359</v>
      </c>
      <c r="G3399">
        <v>242743916</v>
      </c>
      <c r="H3399">
        <v>208435487</v>
      </c>
      <c r="I3399">
        <v>232754414</v>
      </c>
      <c r="J3399">
        <v>226572950</v>
      </c>
      <c r="K3399">
        <v>245526690</v>
      </c>
      <c r="L3399">
        <v>302485419</v>
      </c>
      <c r="M3399">
        <v>261294731</v>
      </c>
      <c r="N3399">
        <v>193128924</v>
      </c>
      <c r="O3399">
        <v>67609885</v>
      </c>
      <c r="P3399">
        <v>102</v>
      </c>
      <c r="Q3399" t="s">
        <v>7142</v>
      </c>
    </row>
    <row r="3400" spans="1:17" x14ac:dyDescent="0.3">
      <c r="A3400" t="s">
        <v>4729</v>
      </c>
      <c r="B3400" t="str">
        <f>"002675"</f>
        <v>002675</v>
      </c>
      <c r="C3400" t="s">
        <v>7143</v>
      </c>
      <c r="D3400" t="s">
        <v>143</v>
      </c>
      <c r="F3400">
        <v>858219453</v>
      </c>
      <c r="G3400">
        <v>971725715</v>
      </c>
      <c r="H3400">
        <v>986468545</v>
      </c>
      <c r="I3400">
        <v>939347275</v>
      </c>
      <c r="J3400">
        <v>637907750</v>
      </c>
      <c r="K3400">
        <v>529333733</v>
      </c>
      <c r="L3400">
        <v>359078530</v>
      </c>
      <c r="M3400">
        <v>173109426</v>
      </c>
      <c r="N3400">
        <v>152296883</v>
      </c>
      <c r="O3400">
        <v>94020333</v>
      </c>
      <c r="P3400">
        <v>365</v>
      </c>
      <c r="Q3400" t="s">
        <v>7144</v>
      </c>
    </row>
    <row r="3401" spans="1:17" x14ac:dyDescent="0.3">
      <c r="A3401" t="s">
        <v>4729</v>
      </c>
      <c r="B3401" t="str">
        <f>"002676"</f>
        <v>002676</v>
      </c>
      <c r="C3401" t="s">
        <v>7145</v>
      </c>
      <c r="D3401" t="s">
        <v>1253</v>
      </c>
      <c r="F3401">
        <v>610097188</v>
      </c>
      <c r="G3401">
        <v>492748098</v>
      </c>
      <c r="H3401">
        <v>466098433</v>
      </c>
      <c r="I3401">
        <v>432066715</v>
      </c>
      <c r="J3401">
        <v>464143645</v>
      </c>
      <c r="K3401">
        <v>421995763</v>
      </c>
      <c r="L3401">
        <v>289552019</v>
      </c>
      <c r="M3401">
        <v>359607689</v>
      </c>
      <c r="N3401">
        <v>304411448</v>
      </c>
      <c r="O3401">
        <v>299214411</v>
      </c>
      <c r="P3401">
        <v>87</v>
      </c>
      <c r="Q3401" t="s">
        <v>7146</v>
      </c>
    </row>
    <row r="3402" spans="1:17" x14ac:dyDescent="0.3">
      <c r="A3402" t="s">
        <v>4729</v>
      </c>
      <c r="B3402" t="str">
        <f>"002677"</f>
        <v>002677</v>
      </c>
      <c r="C3402" t="s">
        <v>7147</v>
      </c>
      <c r="D3402" t="s">
        <v>3707</v>
      </c>
      <c r="F3402">
        <v>14687867</v>
      </c>
      <c r="G3402">
        <v>24567448</v>
      </c>
      <c r="H3402">
        <v>17727760</v>
      </c>
      <c r="I3402">
        <v>14827732</v>
      </c>
      <c r="J3402">
        <v>8497797</v>
      </c>
      <c r="K3402">
        <v>7948356</v>
      </c>
      <c r="L3402">
        <v>4792615</v>
      </c>
      <c r="M3402">
        <v>6248173</v>
      </c>
      <c r="N3402">
        <v>2667947</v>
      </c>
      <c r="O3402">
        <v>4509619</v>
      </c>
      <c r="P3402">
        <v>4536</v>
      </c>
      <c r="Q3402" t="s">
        <v>7148</v>
      </c>
    </row>
    <row r="3403" spans="1:17" x14ac:dyDescent="0.3">
      <c r="A3403" t="s">
        <v>4729</v>
      </c>
      <c r="B3403" t="str">
        <f>"002678"</f>
        <v>002678</v>
      </c>
      <c r="C3403" t="s">
        <v>7149</v>
      </c>
      <c r="D3403" t="s">
        <v>2931</v>
      </c>
      <c r="F3403">
        <v>64862444</v>
      </c>
      <c r="G3403">
        <v>75545589</v>
      </c>
      <c r="H3403">
        <v>75589223</v>
      </c>
      <c r="I3403">
        <v>85695551</v>
      </c>
      <c r="J3403">
        <v>85392835</v>
      </c>
      <c r="K3403">
        <v>113571014</v>
      </c>
      <c r="L3403">
        <v>129595685</v>
      </c>
      <c r="M3403">
        <v>125841486</v>
      </c>
      <c r="N3403">
        <v>115445259</v>
      </c>
      <c r="O3403">
        <v>78344906</v>
      </c>
      <c r="P3403">
        <v>113</v>
      </c>
      <c r="Q3403" t="s">
        <v>7150</v>
      </c>
    </row>
    <row r="3404" spans="1:17" x14ac:dyDescent="0.3">
      <c r="A3404" t="s">
        <v>4729</v>
      </c>
      <c r="B3404" t="str">
        <f>"002679"</f>
        <v>002679</v>
      </c>
      <c r="C3404" t="s">
        <v>7151</v>
      </c>
      <c r="D3404" t="s">
        <v>603</v>
      </c>
      <c r="F3404">
        <v>78605252</v>
      </c>
      <c r="G3404">
        <v>64116673</v>
      </c>
      <c r="H3404">
        <v>43969689</v>
      </c>
      <c r="I3404">
        <v>26195341</v>
      </c>
      <c r="J3404">
        <v>39897073</v>
      </c>
      <c r="K3404">
        <v>5049626</v>
      </c>
      <c r="L3404">
        <v>9993680</v>
      </c>
      <c r="M3404">
        <v>28638022</v>
      </c>
      <c r="N3404">
        <v>13586223</v>
      </c>
      <c r="O3404">
        <v>8244808</v>
      </c>
      <c r="P3404">
        <v>95</v>
      </c>
      <c r="Q3404" t="s">
        <v>7152</v>
      </c>
    </row>
    <row r="3405" spans="1:17" x14ac:dyDescent="0.3">
      <c r="A3405" t="s">
        <v>4729</v>
      </c>
      <c r="B3405" t="str">
        <f>"002680"</f>
        <v>002680</v>
      </c>
      <c r="C3405" t="s">
        <v>7153</v>
      </c>
      <c r="J3405">
        <v>791648180</v>
      </c>
      <c r="K3405">
        <v>664808652</v>
      </c>
      <c r="L3405">
        <v>459060114</v>
      </c>
      <c r="M3405">
        <v>39250594</v>
      </c>
      <c r="N3405">
        <v>33910334</v>
      </c>
      <c r="O3405">
        <v>36923149</v>
      </c>
      <c r="P3405">
        <v>221</v>
      </c>
      <c r="Q3405" t="s">
        <v>7154</v>
      </c>
    </row>
    <row r="3406" spans="1:17" x14ac:dyDescent="0.3">
      <c r="A3406" t="s">
        <v>4729</v>
      </c>
      <c r="B3406" t="str">
        <f>"002681"</f>
        <v>002681</v>
      </c>
      <c r="C3406" t="s">
        <v>7155</v>
      </c>
      <c r="D3406" t="s">
        <v>313</v>
      </c>
      <c r="F3406">
        <v>792711699</v>
      </c>
      <c r="G3406">
        <v>856868904</v>
      </c>
      <c r="H3406">
        <v>923325128</v>
      </c>
      <c r="I3406">
        <v>1038680411</v>
      </c>
      <c r="J3406">
        <v>1408474558</v>
      </c>
      <c r="K3406">
        <v>533285409</v>
      </c>
      <c r="L3406">
        <v>489827293</v>
      </c>
      <c r="M3406">
        <v>209872622</v>
      </c>
      <c r="N3406">
        <v>147835950</v>
      </c>
      <c r="O3406">
        <v>116500797</v>
      </c>
      <c r="P3406">
        <v>216</v>
      </c>
      <c r="Q3406" t="s">
        <v>7156</v>
      </c>
    </row>
    <row r="3407" spans="1:17" x14ac:dyDescent="0.3">
      <c r="A3407" t="s">
        <v>4729</v>
      </c>
      <c r="B3407" t="str">
        <f>"002682"</f>
        <v>002682</v>
      </c>
      <c r="C3407" t="s">
        <v>7157</v>
      </c>
      <c r="D3407" t="s">
        <v>2503</v>
      </c>
      <c r="F3407">
        <v>971676341</v>
      </c>
      <c r="G3407">
        <v>911405913</v>
      </c>
      <c r="H3407">
        <v>1361026672</v>
      </c>
      <c r="I3407">
        <v>1952689970</v>
      </c>
      <c r="J3407">
        <v>1242778551</v>
      </c>
      <c r="K3407">
        <v>513814356</v>
      </c>
      <c r="L3407">
        <v>461704438</v>
      </c>
      <c r="M3407">
        <v>304788985</v>
      </c>
      <c r="N3407">
        <v>204068181</v>
      </c>
      <c r="O3407">
        <v>149022495</v>
      </c>
      <c r="P3407">
        <v>80</v>
      </c>
      <c r="Q3407" t="s">
        <v>7158</v>
      </c>
    </row>
    <row r="3408" spans="1:17" x14ac:dyDescent="0.3">
      <c r="A3408" t="s">
        <v>4729</v>
      </c>
      <c r="B3408" t="str">
        <f>"002683"</f>
        <v>002683</v>
      </c>
      <c r="C3408" t="s">
        <v>7159</v>
      </c>
      <c r="D3408" t="s">
        <v>2736</v>
      </c>
      <c r="F3408">
        <v>1698291973</v>
      </c>
      <c r="G3408">
        <v>1667282335</v>
      </c>
      <c r="H3408">
        <v>1895369094</v>
      </c>
      <c r="I3408">
        <v>1429235587</v>
      </c>
      <c r="J3408">
        <v>1590095889</v>
      </c>
      <c r="K3408">
        <v>1205397066</v>
      </c>
      <c r="L3408">
        <v>1150854502</v>
      </c>
      <c r="M3408">
        <v>981929348</v>
      </c>
      <c r="N3408">
        <v>685610151</v>
      </c>
      <c r="O3408">
        <v>348385652</v>
      </c>
      <c r="P3408">
        <v>270</v>
      </c>
      <c r="Q3408" t="s">
        <v>7160</v>
      </c>
    </row>
    <row r="3409" spans="1:17" x14ac:dyDescent="0.3">
      <c r="A3409" t="s">
        <v>4729</v>
      </c>
      <c r="B3409" t="str">
        <f>"002684"</f>
        <v>002684</v>
      </c>
      <c r="C3409" t="s">
        <v>7161</v>
      </c>
      <c r="D3409" t="s">
        <v>2368</v>
      </c>
      <c r="F3409">
        <v>607241465</v>
      </c>
      <c r="G3409">
        <v>1212970026</v>
      </c>
      <c r="H3409">
        <v>1178695956</v>
      </c>
      <c r="I3409">
        <v>1670216192</v>
      </c>
      <c r="J3409">
        <v>3325176419</v>
      </c>
      <c r="K3409">
        <v>1235666029</v>
      </c>
      <c r="L3409">
        <v>106347168</v>
      </c>
      <c r="M3409">
        <v>75374351</v>
      </c>
      <c r="N3409">
        <v>31827717</v>
      </c>
      <c r="O3409">
        <v>74932929</v>
      </c>
      <c r="P3409">
        <v>91</v>
      </c>
      <c r="Q3409" t="s">
        <v>7162</v>
      </c>
    </row>
    <row r="3410" spans="1:17" x14ac:dyDescent="0.3">
      <c r="A3410" t="s">
        <v>4729</v>
      </c>
      <c r="B3410" t="str">
        <f>"002685"</f>
        <v>002685</v>
      </c>
      <c r="C3410" t="s">
        <v>7163</v>
      </c>
      <c r="D3410" t="s">
        <v>2321</v>
      </c>
      <c r="F3410">
        <v>1080545395</v>
      </c>
      <c r="G3410">
        <v>1810265757</v>
      </c>
      <c r="H3410">
        <v>2502266393</v>
      </c>
      <c r="I3410">
        <v>1553399711</v>
      </c>
      <c r="J3410">
        <v>965477519</v>
      </c>
      <c r="K3410">
        <v>185575887</v>
      </c>
      <c r="L3410">
        <v>309381153</v>
      </c>
      <c r="M3410">
        <v>237487532</v>
      </c>
      <c r="N3410">
        <v>205495365</v>
      </c>
      <c r="O3410">
        <v>179078387</v>
      </c>
      <c r="P3410">
        <v>109</v>
      </c>
      <c r="Q3410" t="s">
        <v>7164</v>
      </c>
    </row>
    <row r="3411" spans="1:17" x14ac:dyDescent="0.3">
      <c r="A3411" t="s">
        <v>4729</v>
      </c>
      <c r="B3411" t="str">
        <f>"002686"</f>
        <v>002686</v>
      </c>
      <c r="C3411" t="s">
        <v>7165</v>
      </c>
      <c r="D3411" t="s">
        <v>988</v>
      </c>
      <c r="F3411">
        <v>389154569</v>
      </c>
      <c r="G3411">
        <v>481035678</v>
      </c>
      <c r="H3411">
        <v>482029804</v>
      </c>
      <c r="I3411">
        <v>535296840</v>
      </c>
      <c r="J3411">
        <v>495425782</v>
      </c>
      <c r="K3411">
        <v>299201947</v>
      </c>
      <c r="L3411">
        <v>244499929</v>
      </c>
      <c r="M3411">
        <v>192439158</v>
      </c>
      <c r="N3411">
        <v>151052902</v>
      </c>
      <c r="O3411">
        <v>137021209</v>
      </c>
      <c r="P3411">
        <v>78</v>
      </c>
      <c r="Q3411" t="s">
        <v>7166</v>
      </c>
    </row>
    <row r="3412" spans="1:17" x14ac:dyDescent="0.3">
      <c r="A3412" t="s">
        <v>4729</v>
      </c>
      <c r="B3412" t="str">
        <f>"002687"</f>
        <v>002687</v>
      </c>
      <c r="C3412" t="s">
        <v>7167</v>
      </c>
      <c r="D3412" t="s">
        <v>255</v>
      </c>
      <c r="F3412">
        <v>297169105</v>
      </c>
      <c r="G3412">
        <v>235666432</v>
      </c>
      <c r="H3412">
        <v>243908303</v>
      </c>
      <c r="I3412">
        <v>224784856</v>
      </c>
      <c r="J3412">
        <v>198596916</v>
      </c>
      <c r="K3412">
        <v>156341825</v>
      </c>
      <c r="L3412">
        <v>167392552</v>
      </c>
      <c r="M3412">
        <v>132971610</v>
      </c>
      <c r="N3412">
        <v>128393981</v>
      </c>
      <c r="O3412">
        <v>173950556</v>
      </c>
      <c r="P3412">
        <v>127</v>
      </c>
      <c r="Q3412" t="s">
        <v>7168</v>
      </c>
    </row>
    <row r="3413" spans="1:17" x14ac:dyDescent="0.3">
      <c r="A3413" t="s">
        <v>4729</v>
      </c>
      <c r="B3413" t="str">
        <f>"002688"</f>
        <v>002688</v>
      </c>
      <c r="C3413" t="s">
        <v>7169</v>
      </c>
      <c r="D3413" t="s">
        <v>453</v>
      </c>
      <c r="F3413">
        <v>352760336</v>
      </c>
      <c r="G3413">
        <v>301125727</v>
      </c>
      <c r="H3413">
        <v>310548889</v>
      </c>
      <c r="I3413">
        <v>300373770</v>
      </c>
      <c r="J3413">
        <v>288522248</v>
      </c>
      <c r="K3413">
        <v>192851597</v>
      </c>
      <c r="L3413">
        <v>168090916</v>
      </c>
      <c r="M3413">
        <v>149132901</v>
      </c>
      <c r="N3413">
        <v>111987880</v>
      </c>
      <c r="O3413">
        <v>153812645</v>
      </c>
      <c r="P3413">
        <v>167</v>
      </c>
      <c r="Q3413" t="s">
        <v>7170</v>
      </c>
    </row>
    <row r="3414" spans="1:17" x14ac:dyDescent="0.3">
      <c r="A3414" t="s">
        <v>4729</v>
      </c>
      <c r="B3414" t="str">
        <f>"002689"</f>
        <v>002689</v>
      </c>
      <c r="C3414" t="s">
        <v>7171</v>
      </c>
      <c r="D3414" t="s">
        <v>1691</v>
      </c>
      <c r="F3414">
        <v>590289514</v>
      </c>
      <c r="G3414">
        <v>576356139</v>
      </c>
      <c r="H3414">
        <v>614533235</v>
      </c>
      <c r="I3414">
        <v>850209117</v>
      </c>
      <c r="J3414">
        <v>817638795</v>
      </c>
      <c r="K3414">
        <v>763054222</v>
      </c>
      <c r="L3414">
        <v>807922707</v>
      </c>
      <c r="M3414">
        <v>796003912</v>
      </c>
      <c r="N3414">
        <v>593857527</v>
      </c>
      <c r="O3414">
        <v>540322628</v>
      </c>
      <c r="P3414">
        <v>87</v>
      </c>
      <c r="Q3414" t="s">
        <v>7172</v>
      </c>
    </row>
    <row r="3415" spans="1:17" x14ac:dyDescent="0.3">
      <c r="A3415" t="s">
        <v>4729</v>
      </c>
      <c r="B3415" t="str">
        <f>"002690"</f>
        <v>002690</v>
      </c>
      <c r="C3415" t="s">
        <v>7173</v>
      </c>
      <c r="D3415" t="s">
        <v>741</v>
      </c>
      <c r="F3415">
        <v>196587894</v>
      </c>
      <c r="G3415">
        <v>238839435</v>
      </c>
      <c r="H3415">
        <v>227463480</v>
      </c>
      <c r="I3415">
        <v>215977538</v>
      </c>
      <c r="J3415">
        <v>197318448</v>
      </c>
      <c r="K3415">
        <v>207988412</v>
      </c>
      <c r="L3415">
        <v>293871894</v>
      </c>
      <c r="M3415">
        <v>131135648</v>
      </c>
      <c r="N3415">
        <v>67328121</v>
      </c>
      <c r="O3415">
        <v>26358659</v>
      </c>
      <c r="P3415">
        <v>3632</v>
      </c>
      <c r="Q3415" t="s">
        <v>7174</v>
      </c>
    </row>
    <row r="3416" spans="1:17" x14ac:dyDescent="0.3">
      <c r="A3416" t="s">
        <v>4729</v>
      </c>
      <c r="B3416" t="str">
        <f>"002691"</f>
        <v>002691</v>
      </c>
      <c r="C3416" t="s">
        <v>7175</v>
      </c>
      <c r="D3416" t="s">
        <v>395</v>
      </c>
      <c r="F3416">
        <v>298364060</v>
      </c>
      <c r="G3416">
        <v>252728436</v>
      </c>
      <c r="H3416">
        <v>357470116</v>
      </c>
      <c r="I3416">
        <v>340345018</v>
      </c>
      <c r="J3416">
        <v>270085942</v>
      </c>
      <c r="K3416">
        <v>236808141</v>
      </c>
      <c r="L3416">
        <v>278380753</v>
      </c>
      <c r="M3416">
        <v>196583366</v>
      </c>
      <c r="N3416">
        <v>183054309</v>
      </c>
      <c r="O3416">
        <v>196006893</v>
      </c>
      <c r="P3416">
        <v>54</v>
      </c>
      <c r="Q3416" t="s">
        <v>7176</v>
      </c>
    </row>
    <row r="3417" spans="1:17" x14ac:dyDescent="0.3">
      <c r="A3417" t="s">
        <v>4729</v>
      </c>
      <c r="B3417" t="str">
        <f>"002692"</f>
        <v>002692</v>
      </c>
      <c r="C3417" t="s">
        <v>7177</v>
      </c>
      <c r="D3417" t="s">
        <v>1164</v>
      </c>
      <c r="F3417">
        <v>1155346191</v>
      </c>
      <c r="G3417">
        <v>1028641346</v>
      </c>
      <c r="H3417">
        <v>947871120</v>
      </c>
      <c r="I3417">
        <v>1373846779</v>
      </c>
      <c r="J3417">
        <v>1232721013</v>
      </c>
      <c r="K3417">
        <v>1196535102</v>
      </c>
      <c r="L3417">
        <v>1358993841</v>
      </c>
      <c r="M3417">
        <v>1130964001</v>
      </c>
      <c r="N3417">
        <v>832589702</v>
      </c>
      <c r="O3417">
        <v>443580308</v>
      </c>
      <c r="P3417">
        <v>53</v>
      </c>
      <c r="Q3417" t="s">
        <v>7178</v>
      </c>
    </row>
    <row r="3418" spans="1:17" x14ac:dyDescent="0.3">
      <c r="A3418" t="s">
        <v>4729</v>
      </c>
      <c r="B3418" t="str">
        <f>"002693"</f>
        <v>002693</v>
      </c>
      <c r="C3418" t="s">
        <v>7179</v>
      </c>
      <c r="D3418" t="s">
        <v>1379</v>
      </c>
      <c r="F3418">
        <v>19778824</v>
      </c>
      <c r="G3418">
        <v>23242247</v>
      </c>
      <c r="H3418">
        <v>34877740</v>
      </c>
      <c r="I3418">
        <v>37251850</v>
      </c>
      <c r="J3418">
        <v>67003407</v>
      </c>
      <c r="K3418">
        <v>26063021</v>
      </c>
      <c r="L3418">
        <v>27619328</v>
      </c>
      <c r="M3418">
        <v>3107975</v>
      </c>
      <c r="N3418">
        <v>1065387</v>
      </c>
      <c r="O3418">
        <v>2825972</v>
      </c>
      <c r="P3418">
        <v>95</v>
      </c>
      <c r="Q3418" t="s">
        <v>7180</v>
      </c>
    </row>
    <row r="3419" spans="1:17" x14ac:dyDescent="0.3">
      <c r="A3419" t="s">
        <v>4729</v>
      </c>
      <c r="B3419" t="str">
        <f>"002694"</f>
        <v>002694</v>
      </c>
      <c r="C3419" t="s">
        <v>7181</v>
      </c>
      <c r="D3419" t="s">
        <v>3347</v>
      </c>
      <c r="F3419">
        <v>171551823</v>
      </c>
      <c r="G3419">
        <v>208580618</v>
      </c>
      <c r="H3419">
        <v>294966893</v>
      </c>
      <c r="I3419">
        <v>446437466</v>
      </c>
      <c r="J3419">
        <v>538165793</v>
      </c>
      <c r="K3419">
        <v>493915373</v>
      </c>
      <c r="L3419">
        <v>471326742</v>
      </c>
      <c r="M3419">
        <v>461369892</v>
      </c>
      <c r="N3419">
        <v>312203732</v>
      </c>
      <c r="O3419">
        <v>233747443</v>
      </c>
      <c r="P3419">
        <v>71</v>
      </c>
      <c r="Q3419" t="s">
        <v>7182</v>
      </c>
    </row>
    <row r="3420" spans="1:17" x14ac:dyDescent="0.3">
      <c r="A3420" t="s">
        <v>4729</v>
      </c>
      <c r="B3420" t="str">
        <f>"002695"</f>
        <v>002695</v>
      </c>
      <c r="C3420" t="s">
        <v>7183</v>
      </c>
      <c r="D3420" t="s">
        <v>2989</v>
      </c>
      <c r="F3420">
        <v>109067766</v>
      </c>
      <c r="G3420">
        <v>124663774</v>
      </c>
      <c r="H3420">
        <v>53410070</v>
      </c>
      <c r="I3420">
        <v>31421479</v>
      </c>
      <c r="J3420">
        <v>46031001</v>
      </c>
      <c r="K3420">
        <v>43646230</v>
      </c>
      <c r="L3420">
        <v>42882062</v>
      </c>
      <c r="M3420">
        <v>18007551</v>
      </c>
      <c r="N3420">
        <v>15611603</v>
      </c>
      <c r="O3420">
        <v>13313662</v>
      </c>
      <c r="P3420">
        <v>623</v>
      </c>
      <c r="Q3420" t="s">
        <v>7184</v>
      </c>
    </row>
    <row r="3421" spans="1:17" x14ac:dyDescent="0.3">
      <c r="A3421" t="s">
        <v>4729</v>
      </c>
      <c r="B3421" t="str">
        <f>"002696"</f>
        <v>002696</v>
      </c>
      <c r="C3421" t="s">
        <v>7185</v>
      </c>
      <c r="D3421" t="s">
        <v>587</v>
      </c>
      <c r="F3421">
        <v>656063502</v>
      </c>
      <c r="G3421">
        <v>443550714</v>
      </c>
      <c r="H3421">
        <v>501193646</v>
      </c>
      <c r="I3421">
        <v>588550682</v>
      </c>
      <c r="J3421">
        <v>410379101</v>
      </c>
      <c r="K3421">
        <v>360793878</v>
      </c>
      <c r="L3421">
        <v>350806475</v>
      </c>
      <c r="M3421">
        <v>293695247</v>
      </c>
      <c r="N3421">
        <v>195856954</v>
      </c>
      <c r="O3421">
        <v>186244837</v>
      </c>
      <c r="P3421">
        <v>93</v>
      </c>
      <c r="Q3421" t="s">
        <v>7186</v>
      </c>
    </row>
    <row r="3422" spans="1:17" x14ac:dyDescent="0.3">
      <c r="A3422" t="s">
        <v>4729</v>
      </c>
      <c r="B3422" t="str">
        <f>"002697"</f>
        <v>002697</v>
      </c>
      <c r="C3422" t="s">
        <v>7187</v>
      </c>
      <c r="D3422" t="s">
        <v>798</v>
      </c>
      <c r="F3422">
        <v>64950770</v>
      </c>
      <c r="G3422">
        <v>75433226</v>
      </c>
      <c r="H3422">
        <v>37488388</v>
      </c>
      <c r="I3422">
        <v>30326801</v>
      </c>
      <c r="J3422">
        <v>25240185</v>
      </c>
      <c r="K3422">
        <v>22785179</v>
      </c>
      <c r="L3422">
        <v>16287487</v>
      </c>
      <c r="M3422">
        <v>4193239</v>
      </c>
      <c r="N3422">
        <v>6060865</v>
      </c>
      <c r="O3422">
        <v>4000539</v>
      </c>
      <c r="P3422">
        <v>503</v>
      </c>
      <c r="Q3422" t="s">
        <v>7188</v>
      </c>
    </row>
    <row r="3423" spans="1:17" x14ac:dyDescent="0.3">
      <c r="A3423" t="s">
        <v>4729</v>
      </c>
      <c r="B3423" t="str">
        <f>"002698"</f>
        <v>002698</v>
      </c>
      <c r="C3423" t="s">
        <v>7189</v>
      </c>
      <c r="D3423" t="s">
        <v>2938</v>
      </c>
      <c r="F3423">
        <v>686517240</v>
      </c>
      <c r="G3423">
        <v>697718969</v>
      </c>
      <c r="H3423">
        <v>469181439</v>
      </c>
      <c r="I3423">
        <v>463612714</v>
      </c>
      <c r="J3423">
        <v>478139414</v>
      </c>
      <c r="K3423">
        <v>500863270</v>
      </c>
      <c r="L3423">
        <v>470316584</v>
      </c>
      <c r="M3423">
        <v>357821427</v>
      </c>
      <c r="N3423">
        <v>381908365</v>
      </c>
      <c r="O3423">
        <v>307861476</v>
      </c>
      <c r="P3423">
        <v>271</v>
      </c>
      <c r="Q3423" t="s">
        <v>7190</v>
      </c>
    </row>
    <row r="3424" spans="1:17" x14ac:dyDescent="0.3">
      <c r="A3424" t="s">
        <v>4729</v>
      </c>
      <c r="B3424" t="str">
        <f>"002699"</f>
        <v>002699</v>
      </c>
      <c r="C3424" t="s">
        <v>7191</v>
      </c>
      <c r="D3424" t="s">
        <v>113</v>
      </c>
      <c r="F3424">
        <v>250640449</v>
      </c>
      <c r="G3424">
        <v>217293631</v>
      </c>
      <c r="H3424">
        <v>372193615</v>
      </c>
      <c r="I3424">
        <v>233516344</v>
      </c>
      <c r="J3424">
        <v>241982425</v>
      </c>
      <c r="K3424">
        <v>122241341</v>
      </c>
      <c r="L3424">
        <v>71175186</v>
      </c>
      <c r="M3424">
        <v>60208836</v>
      </c>
      <c r="N3424">
        <v>33049821</v>
      </c>
      <c r="O3424">
        <v>33942629</v>
      </c>
      <c r="P3424">
        <v>157</v>
      </c>
      <c r="Q3424" t="s">
        <v>7192</v>
      </c>
    </row>
    <row r="3425" spans="1:17" x14ac:dyDescent="0.3">
      <c r="A3425" t="s">
        <v>4729</v>
      </c>
      <c r="B3425" t="str">
        <f>"002700"</f>
        <v>002700</v>
      </c>
      <c r="C3425" t="s">
        <v>7193</v>
      </c>
      <c r="D3425" t="s">
        <v>749</v>
      </c>
      <c r="F3425">
        <v>20150168</v>
      </c>
      <c r="G3425">
        <v>21543980</v>
      </c>
      <c r="H3425">
        <v>31778243</v>
      </c>
      <c r="I3425">
        <v>29848883</v>
      </c>
      <c r="J3425">
        <v>21538657</v>
      </c>
      <c r="K3425">
        <v>25968250</v>
      </c>
      <c r="L3425">
        <v>39430282</v>
      </c>
      <c r="M3425">
        <v>21316936</v>
      </c>
      <c r="N3425">
        <v>19255420</v>
      </c>
      <c r="O3425">
        <v>19038939</v>
      </c>
      <c r="P3425">
        <v>53</v>
      </c>
      <c r="Q3425" t="s">
        <v>7194</v>
      </c>
    </row>
    <row r="3426" spans="1:17" x14ac:dyDescent="0.3">
      <c r="A3426" t="s">
        <v>4729</v>
      </c>
      <c r="B3426" t="str">
        <f>"002701"</f>
        <v>002701</v>
      </c>
      <c r="C3426" t="s">
        <v>7195</v>
      </c>
      <c r="D3426" t="s">
        <v>2373</v>
      </c>
      <c r="F3426">
        <v>2959994123</v>
      </c>
      <c r="G3426">
        <v>2531213595</v>
      </c>
      <c r="H3426">
        <v>2573024625</v>
      </c>
      <c r="I3426">
        <v>1748708181</v>
      </c>
      <c r="J3426">
        <v>2025317374</v>
      </c>
      <c r="K3426">
        <v>2726167775</v>
      </c>
      <c r="L3426">
        <v>1769563034</v>
      </c>
      <c r="M3426">
        <v>1101590460</v>
      </c>
      <c r="N3426">
        <v>1076600940</v>
      </c>
      <c r="O3426">
        <v>867827756</v>
      </c>
      <c r="P3426">
        <v>1656</v>
      </c>
      <c r="Q3426" t="s">
        <v>7196</v>
      </c>
    </row>
    <row r="3427" spans="1:17" x14ac:dyDescent="0.3">
      <c r="A3427" t="s">
        <v>4729</v>
      </c>
      <c r="B3427" t="str">
        <f>"002702"</f>
        <v>002702</v>
      </c>
      <c r="C3427" t="s">
        <v>7197</v>
      </c>
      <c r="D3427" t="s">
        <v>2865</v>
      </c>
      <c r="F3427">
        <v>196853843</v>
      </c>
      <c r="G3427">
        <v>222035868</v>
      </c>
      <c r="H3427">
        <v>202279197</v>
      </c>
      <c r="I3427">
        <v>161024633</v>
      </c>
      <c r="J3427">
        <v>151718360</v>
      </c>
      <c r="K3427">
        <v>150960858</v>
      </c>
      <c r="L3427">
        <v>140750895</v>
      </c>
      <c r="M3427">
        <v>162872684</v>
      </c>
      <c r="N3427">
        <v>110210274</v>
      </c>
      <c r="O3427">
        <v>110490208</v>
      </c>
      <c r="P3427">
        <v>186</v>
      </c>
      <c r="Q3427" t="s">
        <v>7198</v>
      </c>
    </row>
    <row r="3428" spans="1:17" x14ac:dyDescent="0.3">
      <c r="A3428" t="s">
        <v>4729</v>
      </c>
      <c r="B3428" t="str">
        <f>"002703"</f>
        <v>002703</v>
      </c>
      <c r="C3428" t="s">
        <v>7199</v>
      </c>
      <c r="D3428" t="s">
        <v>348</v>
      </c>
      <c r="F3428">
        <v>384270905</v>
      </c>
      <c r="G3428">
        <v>325598747</v>
      </c>
      <c r="H3428">
        <v>398848777</v>
      </c>
      <c r="I3428">
        <v>468614553</v>
      </c>
      <c r="J3428">
        <v>512761244</v>
      </c>
      <c r="K3428">
        <v>398849056</v>
      </c>
      <c r="L3428">
        <v>326067978</v>
      </c>
      <c r="M3428">
        <v>328448995</v>
      </c>
      <c r="N3428">
        <v>278671401</v>
      </c>
      <c r="O3428">
        <v>285788006</v>
      </c>
      <c r="P3428">
        <v>76</v>
      </c>
      <c r="Q3428" t="s">
        <v>7200</v>
      </c>
    </row>
    <row r="3429" spans="1:17" x14ac:dyDescent="0.3">
      <c r="A3429" t="s">
        <v>4729</v>
      </c>
      <c r="B3429" t="str">
        <f>"002705"</f>
        <v>002705</v>
      </c>
      <c r="C3429" t="s">
        <v>7201</v>
      </c>
      <c r="D3429" t="s">
        <v>5799</v>
      </c>
      <c r="F3429">
        <v>1496347332</v>
      </c>
      <c r="G3429">
        <v>1764906520</v>
      </c>
      <c r="H3429">
        <v>993201059</v>
      </c>
      <c r="I3429">
        <v>1097453836</v>
      </c>
      <c r="J3429">
        <v>823191235</v>
      </c>
      <c r="K3429">
        <v>681876370</v>
      </c>
      <c r="L3429">
        <v>735837191</v>
      </c>
      <c r="M3429">
        <v>611932060</v>
      </c>
      <c r="N3429">
        <v>490955761</v>
      </c>
      <c r="O3429">
        <v>527554437</v>
      </c>
      <c r="P3429">
        <v>1093</v>
      </c>
      <c r="Q3429" t="s">
        <v>7202</v>
      </c>
    </row>
    <row r="3430" spans="1:17" x14ac:dyDescent="0.3">
      <c r="A3430" t="s">
        <v>4729</v>
      </c>
      <c r="B3430" t="str">
        <f>"002706"</f>
        <v>002706</v>
      </c>
      <c r="C3430" t="s">
        <v>7203</v>
      </c>
      <c r="D3430" t="s">
        <v>657</v>
      </c>
      <c r="F3430">
        <v>537402227</v>
      </c>
      <c r="G3430">
        <v>356296611</v>
      </c>
      <c r="H3430">
        <v>145171039</v>
      </c>
      <c r="I3430">
        <v>99444860</v>
      </c>
      <c r="J3430">
        <v>104618312</v>
      </c>
      <c r="K3430">
        <v>78454463</v>
      </c>
      <c r="L3430">
        <v>80321703</v>
      </c>
      <c r="M3430">
        <v>94099832</v>
      </c>
      <c r="N3430">
        <v>77310365</v>
      </c>
      <c r="O3430">
        <v>68711283</v>
      </c>
      <c r="P3430">
        <v>761</v>
      </c>
      <c r="Q3430" t="s">
        <v>7204</v>
      </c>
    </row>
    <row r="3431" spans="1:17" x14ac:dyDescent="0.3">
      <c r="A3431" t="s">
        <v>4729</v>
      </c>
      <c r="B3431" t="str">
        <f>"002707"</f>
        <v>002707</v>
      </c>
      <c r="C3431" t="s">
        <v>7205</v>
      </c>
      <c r="D3431" t="s">
        <v>1120</v>
      </c>
      <c r="F3431">
        <v>147720863</v>
      </c>
      <c r="G3431">
        <v>193428138</v>
      </c>
      <c r="H3431">
        <v>664026798</v>
      </c>
      <c r="I3431">
        <v>601478957</v>
      </c>
      <c r="J3431">
        <v>574439215</v>
      </c>
      <c r="K3431">
        <v>519347995</v>
      </c>
      <c r="L3431">
        <v>451180853</v>
      </c>
      <c r="M3431">
        <v>164709597</v>
      </c>
      <c r="N3431">
        <v>98546594</v>
      </c>
      <c r="O3431">
        <v>46568556</v>
      </c>
      <c r="P3431">
        <v>295</v>
      </c>
      <c r="Q3431" t="s">
        <v>7206</v>
      </c>
    </row>
    <row r="3432" spans="1:17" x14ac:dyDescent="0.3">
      <c r="A3432" t="s">
        <v>4729</v>
      </c>
      <c r="B3432" t="str">
        <f>"002708"</f>
        <v>002708</v>
      </c>
      <c r="C3432" t="s">
        <v>7207</v>
      </c>
      <c r="D3432" t="s">
        <v>348</v>
      </c>
      <c r="F3432">
        <v>466923713</v>
      </c>
      <c r="G3432">
        <v>410729160</v>
      </c>
      <c r="H3432">
        <v>378890453</v>
      </c>
      <c r="I3432">
        <v>349572556</v>
      </c>
      <c r="J3432">
        <v>423506827</v>
      </c>
      <c r="K3432">
        <v>384858462</v>
      </c>
      <c r="L3432">
        <v>205845190</v>
      </c>
      <c r="M3432">
        <v>227159493</v>
      </c>
      <c r="N3432">
        <v>208826619</v>
      </c>
      <c r="O3432">
        <v>180810251</v>
      </c>
      <c r="P3432">
        <v>91</v>
      </c>
      <c r="Q3432" t="s">
        <v>7208</v>
      </c>
    </row>
    <row r="3433" spans="1:17" x14ac:dyDescent="0.3">
      <c r="A3433" t="s">
        <v>4729</v>
      </c>
      <c r="B3433" t="str">
        <f>"002709"</f>
        <v>002709</v>
      </c>
      <c r="C3433" t="s">
        <v>7209</v>
      </c>
      <c r="D3433" t="s">
        <v>1790</v>
      </c>
      <c r="F3433">
        <v>3385530015</v>
      </c>
      <c r="G3433">
        <v>1342932603</v>
      </c>
      <c r="H3433">
        <v>901079730</v>
      </c>
      <c r="I3433">
        <v>730590044</v>
      </c>
      <c r="J3433">
        <v>680710608</v>
      </c>
      <c r="K3433">
        <v>443041619</v>
      </c>
      <c r="L3433">
        <v>266320668</v>
      </c>
      <c r="M3433">
        <v>184670241</v>
      </c>
      <c r="N3433">
        <v>138709305</v>
      </c>
      <c r="O3433">
        <v>139677370</v>
      </c>
      <c r="P3433">
        <v>1069</v>
      </c>
      <c r="Q3433" t="s">
        <v>7210</v>
      </c>
    </row>
    <row r="3434" spans="1:17" x14ac:dyDescent="0.3">
      <c r="A3434" t="s">
        <v>4729</v>
      </c>
      <c r="B3434" t="str">
        <f>"002710"</f>
        <v>002710</v>
      </c>
      <c r="C3434" t="s">
        <v>7211</v>
      </c>
      <c r="D3434" t="s">
        <v>7212</v>
      </c>
      <c r="O3434">
        <v>84961663</v>
      </c>
      <c r="P3434">
        <v>8</v>
      </c>
      <c r="Q3434" t="s">
        <v>7213</v>
      </c>
    </row>
    <row r="3435" spans="1:17" x14ac:dyDescent="0.3">
      <c r="A3435" t="s">
        <v>4729</v>
      </c>
      <c r="B3435" t="str">
        <f>"002711"</f>
        <v>002711</v>
      </c>
      <c r="C3435" t="s">
        <v>7214</v>
      </c>
      <c r="G3435">
        <v>84306283</v>
      </c>
      <c r="H3435">
        <v>17889965</v>
      </c>
      <c r="I3435">
        <v>46140743</v>
      </c>
      <c r="J3435">
        <v>421837755</v>
      </c>
      <c r="K3435">
        <v>179568241</v>
      </c>
      <c r="L3435">
        <v>143504593</v>
      </c>
      <c r="M3435">
        <v>81345754</v>
      </c>
      <c r="N3435">
        <v>6731246</v>
      </c>
      <c r="O3435">
        <v>6828345</v>
      </c>
      <c r="P3435">
        <v>74</v>
      </c>
      <c r="Q3435" t="s">
        <v>7215</v>
      </c>
    </row>
    <row r="3436" spans="1:17" x14ac:dyDescent="0.3">
      <c r="A3436" t="s">
        <v>4729</v>
      </c>
      <c r="B3436" t="str">
        <f>"002712"</f>
        <v>002712</v>
      </c>
      <c r="C3436" t="s">
        <v>7216</v>
      </c>
      <c r="D3436" t="s">
        <v>207</v>
      </c>
      <c r="F3436">
        <v>909434292</v>
      </c>
      <c r="G3436">
        <v>948236393</v>
      </c>
      <c r="H3436">
        <v>879416515</v>
      </c>
      <c r="I3436">
        <v>653029284</v>
      </c>
      <c r="J3436">
        <v>1041287178</v>
      </c>
      <c r="K3436">
        <v>654794779</v>
      </c>
      <c r="L3436">
        <v>675714960</v>
      </c>
      <c r="M3436">
        <v>834222762</v>
      </c>
      <c r="N3436">
        <v>246489777</v>
      </c>
      <c r="O3436">
        <v>118731589</v>
      </c>
      <c r="P3436">
        <v>107</v>
      </c>
      <c r="Q3436" t="s">
        <v>7217</v>
      </c>
    </row>
    <row r="3437" spans="1:17" x14ac:dyDescent="0.3">
      <c r="A3437" t="s">
        <v>4729</v>
      </c>
      <c r="B3437" t="str">
        <f>"002713"</f>
        <v>002713</v>
      </c>
      <c r="C3437" t="s">
        <v>7218</v>
      </c>
      <c r="D3437" t="s">
        <v>450</v>
      </c>
      <c r="F3437">
        <v>378930094</v>
      </c>
      <c r="G3437">
        <v>324493038</v>
      </c>
      <c r="H3437">
        <v>413598590</v>
      </c>
      <c r="I3437">
        <v>389736352</v>
      </c>
      <c r="J3437">
        <v>282209153</v>
      </c>
      <c r="K3437">
        <v>215538453</v>
      </c>
      <c r="L3437">
        <v>150009027</v>
      </c>
      <c r="M3437">
        <v>75601967</v>
      </c>
      <c r="N3437">
        <v>68620713</v>
      </c>
      <c r="O3437">
        <v>53364490</v>
      </c>
      <c r="P3437">
        <v>268</v>
      </c>
      <c r="Q3437" t="s">
        <v>7219</v>
      </c>
    </row>
    <row r="3438" spans="1:17" x14ac:dyDescent="0.3">
      <c r="A3438" t="s">
        <v>4729</v>
      </c>
      <c r="B3438" t="str">
        <f>"002714"</f>
        <v>002714</v>
      </c>
      <c r="C3438" t="s">
        <v>7220</v>
      </c>
      <c r="D3438" t="s">
        <v>1900</v>
      </c>
      <c r="F3438">
        <v>135551329</v>
      </c>
      <c r="G3438">
        <v>19391603</v>
      </c>
      <c r="H3438">
        <v>15719729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v>0</v>
      </c>
      <c r="P3438">
        <v>4953</v>
      </c>
      <c r="Q3438" t="s">
        <v>7221</v>
      </c>
    </row>
    <row r="3439" spans="1:17" x14ac:dyDescent="0.3">
      <c r="A3439" t="s">
        <v>4729</v>
      </c>
      <c r="B3439" t="str">
        <f>"002715"</f>
        <v>002715</v>
      </c>
      <c r="C3439" t="s">
        <v>7222</v>
      </c>
      <c r="D3439" t="s">
        <v>348</v>
      </c>
      <c r="F3439">
        <v>128864074</v>
      </c>
      <c r="G3439">
        <v>120328636</v>
      </c>
      <c r="H3439">
        <v>107525430</v>
      </c>
      <c r="I3439">
        <v>105754823</v>
      </c>
      <c r="J3439">
        <v>121691097</v>
      </c>
      <c r="K3439">
        <v>118218498</v>
      </c>
      <c r="L3439">
        <v>104064275</v>
      </c>
      <c r="M3439">
        <v>107347397</v>
      </c>
      <c r="N3439">
        <v>103267294</v>
      </c>
      <c r="O3439">
        <v>96376183</v>
      </c>
      <c r="P3439">
        <v>61</v>
      </c>
      <c r="Q3439" t="s">
        <v>7223</v>
      </c>
    </row>
    <row r="3440" spans="1:17" x14ac:dyDescent="0.3">
      <c r="A3440" t="s">
        <v>4729</v>
      </c>
      <c r="B3440" t="str">
        <f>"002716"</f>
        <v>002716</v>
      </c>
      <c r="C3440" t="s">
        <v>7224</v>
      </c>
      <c r="D3440" t="s">
        <v>2081</v>
      </c>
      <c r="F3440">
        <v>1474766</v>
      </c>
      <c r="G3440">
        <v>5848359</v>
      </c>
      <c r="H3440">
        <v>19083552</v>
      </c>
      <c r="I3440">
        <v>14070350</v>
      </c>
      <c r="J3440">
        <v>1074126</v>
      </c>
      <c r="K3440">
        <v>3004197</v>
      </c>
      <c r="L3440">
        <v>46603</v>
      </c>
      <c r="M3440">
        <v>1567610</v>
      </c>
      <c r="N3440">
        <v>2746000</v>
      </c>
      <c r="O3440">
        <v>3827491</v>
      </c>
      <c r="P3440">
        <v>129</v>
      </c>
      <c r="Q3440" t="s">
        <v>7225</v>
      </c>
    </row>
    <row r="3441" spans="1:17" x14ac:dyDescent="0.3">
      <c r="A3441" t="s">
        <v>4729</v>
      </c>
      <c r="B3441" t="str">
        <f>"002717"</f>
        <v>002717</v>
      </c>
      <c r="C3441" t="s">
        <v>7226</v>
      </c>
      <c r="D3441" t="s">
        <v>2417</v>
      </c>
      <c r="F3441">
        <v>2187285604</v>
      </c>
      <c r="G3441">
        <v>1802951618</v>
      </c>
      <c r="H3441">
        <v>3324580355</v>
      </c>
      <c r="I3441">
        <v>3057981997</v>
      </c>
      <c r="J3441">
        <v>1592880520</v>
      </c>
      <c r="K3441">
        <v>993981697</v>
      </c>
      <c r="L3441">
        <v>541071591</v>
      </c>
      <c r="M3441">
        <v>376263677</v>
      </c>
      <c r="N3441">
        <v>304500691</v>
      </c>
      <c r="O3441">
        <v>254066139</v>
      </c>
      <c r="P3441">
        <v>394</v>
      </c>
      <c r="Q3441" t="s">
        <v>7227</v>
      </c>
    </row>
    <row r="3442" spans="1:17" x14ac:dyDescent="0.3">
      <c r="A3442" t="s">
        <v>4729</v>
      </c>
      <c r="B3442" t="str">
        <f>"002718"</f>
        <v>002718</v>
      </c>
      <c r="C3442" t="s">
        <v>7228</v>
      </c>
      <c r="D3442" t="s">
        <v>722</v>
      </c>
      <c r="F3442">
        <v>236142638</v>
      </c>
      <c r="G3442">
        <v>189163907</v>
      </c>
      <c r="H3442">
        <v>171353194</v>
      </c>
      <c r="I3442">
        <v>86260832</v>
      </c>
      <c r="J3442">
        <v>42872703</v>
      </c>
      <c r="K3442">
        <v>19311399</v>
      </c>
      <c r="L3442">
        <v>8232864</v>
      </c>
      <c r="M3442">
        <v>2493681</v>
      </c>
      <c r="N3442">
        <v>1341809</v>
      </c>
      <c r="O3442">
        <v>1726072</v>
      </c>
      <c r="P3442">
        <v>170</v>
      </c>
      <c r="Q3442" t="s">
        <v>7229</v>
      </c>
    </row>
    <row r="3443" spans="1:17" x14ac:dyDescent="0.3">
      <c r="A3443" t="s">
        <v>4729</v>
      </c>
      <c r="B3443" t="str">
        <f>"002719"</f>
        <v>002719</v>
      </c>
      <c r="C3443" t="s">
        <v>7230</v>
      </c>
      <c r="D3443" t="s">
        <v>900</v>
      </c>
      <c r="F3443">
        <v>159964517</v>
      </c>
      <c r="G3443">
        <v>123778435</v>
      </c>
      <c r="H3443">
        <v>111259574</v>
      </c>
      <c r="I3443">
        <v>110625640</v>
      </c>
      <c r="J3443">
        <v>77718665</v>
      </c>
      <c r="K3443">
        <v>71603405</v>
      </c>
      <c r="L3443">
        <v>63056510</v>
      </c>
      <c r="M3443">
        <v>68676595</v>
      </c>
      <c r="N3443">
        <v>81363741</v>
      </c>
      <c r="O3443">
        <v>52298377</v>
      </c>
      <c r="P3443">
        <v>97</v>
      </c>
      <c r="Q3443" t="s">
        <v>7231</v>
      </c>
    </row>
    <row r="3444" spans="1:17" x14ac:dyDescent="0.3">
      <c r="A3444" t="s">
        <v>4729</v>
      </c>
      <c r="B3444" t="str">
        <f>"002720"</f>
        <v>002720</v>
      </c>
      <c r="C3444" t="s">
        <v>7232</v>
      </c>
      <c r="D3444" t="s">
        <v>2956</v>
      </c>
      <c r="O3444">
        <v>264936203</v>
      </c>
      <c r="P3444">
        <v>11</v>
      </c>
      <c r="Q3444" t="s">
        <v>7233</v>
      </c>
    </row>
    <row r="3445" spans="1:17" x14ac:dyDescent="0.3">
      <c r="A3445" t="s">
        <v>4729</v>
      </c>
      <c r="B3445" t="str">
        <f>"002721"</f>
        <v>002721</v>
      </c>
      <c r="C3445" t="s">
        <v>7234</v>
      </c>
      <c r="D3445" t="s">
        <v>1238</v>
      </c>
      <c r="F3445">
        <v>2281253319</v>
      </c>
      <c r="G3445">
        <v>3180296871</v>
      </c>
      <c r="H3445">
        <v>4191665967</v>
      </c>
      <c r="I3445">
        <v>4144021835</v>
      </c>
      <c r="J3445">
        <v>6185890879</v>
      </c>
      <c r="K3445">
        <v>2715766068</v>
      </c>
      <c r="L3445">
        <v>1941764763</v>
      </c>
      <c r="M3445">
        <v>1128444887</v>
      </c>
      <c r="N3445">
        <v>755005349</v>
      </c>
      <c r="O3445">
        <v>388395152</v>
      </c>
      <c r="P3445">
        <v>89</v>
      </c>
      <c r="Q3445" t="s">
        <v>7235</v>
      </c>
    </row>
    <row r="3446" spans="1:17" x14ac:dyDescent="0.3">
      <c r="A3446" t="s">
        <v>4729</v>
      </c>
      <c r="B3446" t="str">
        <f>"002722"</f>
        <v>002722</v>
      </c>
      <c r="C3446" t="s">
        <v>7236</v>
      </c>
      <c r="D3446" t="s">
        <v>366</v>
      </c>
      <c r="F3446">
        <v>441519038</v>
      </c>
      <c r="G3446">
        <v>406655908</v>
      </c>
      <c r="H3446">
        <v>468556173</v>
      </c>
      <c r="I3446">
        <v>366320241</v>
      </c>
      <c r="J3446">
        <v>331087595</v>
      </c>
      <c r="K3446">
        <v>315528076</v>
      </c>
      <c r="L3446">
        <v>238205522</v>
      </c>
      <c r="M3446">
        <v>97432391</v>
      </c>
      <c r="N3446">
        <v>101588942</v>
      </c>
      <c r="O3446">
        <v>90479349</v>
      </c>
      <c r="P3446">
        <v>102</v>
      </c>
      <c r="Q3446" t="s">
        <v>7237</v>
      </c>
    </row>
    <row r="3447" spans="1:17" x14ac:dyDescent="0.3">
      <c r="A3447" t="s">
        <v>4729</v>
      </c>
      <c r="B3447" t="str">
        <f>"002723"</f>
        <v>002723</v>
      </c>
      <c r="C3447" t="s">
        <v>7238</v>
      </c>
      <c r="D3447" t="s">
        <v>598</v>
      </c>
      <c r="F3447">
        <v>414042060</v>
      </c>
      <c r="G3447">
        <v>314291060</v>
      </c>
      <c r="H3447">
        <v>293440320</v>
      </c>
      <c r="I3447">
        <v>138118714</v>
      </c>
      <c r="J3447">
        <v>128818725</v>
      </c>
      <c r="K3447">
        <v>117582211</v>
      </c>
      <c r="L3447">
        <v>137372673</v>
      </c>
      <c r="M3447">
        <v>106974666</v>
      </c>
      <c r="N3447">
        <v>83387051</v>
      </c>
      <c r="O3447">
        <v>61415002</v>
      </c>
      <c r="P3447">
        <v>92</v>
      </c>
      <c r="Q3447" t="s">
        <v>7239</v>
      </c>
    </row>
    <row r="3448" spans="1:17" x14ac:dyDescent="0.3">
      <c r="A3448" t="s">
        <v>4729</v>
      </c>
      <c r="B3448" t="str">
        <f>"002724"</f>
        <v>002724</v>
      </c>
      <c r="C3448" t="s">
        <v>7240</v>
      </c>
      <c r="D3448" t="s">
        <v>651</v>
      </c>
      <c r="F3448">
        <v>804871121</v>
      </c>
      <c r="G3448">
        <v>583492807</v>
      </c>
      <c r="H3448">
        <v>405793783</v>
      </c>
      <c r="I3448">
        <v>367433279</v>
      </c>
      <c r="J3448">
        <v>345731108</v>
      </c>
      <c r="K3448">
        <v>297810479</v>
      </c>
      <c r="L3448">
        <v>286912106</v>
      </c>
      <c r="M3448">
        <v>364068511</v>
      </c>
      <c r="N3448">
        <v>414973824</v>
      </c>
      <c r="O3448">
        <v>373305030</v>
      </c>
      <c r="P3448">
        <v>139</v>
      </c>
      <c r="Q3448" t="s">
        <v>7241</v>
      </c>
    </row>
    <row r="3449" spans="1:17" x14ac:dyDescent="0.3">
      <c r="A3449" t="s">
        <v>4729</v>
      </c>
      <c r="B3449" t="str">
        <f>"002725"</f>
        <v>002725</v>
      </c>
      <c r="C3449" t="s">
        <v>7242</v>
      </c>
      <c r="D3449" t="s">
        <v>422</v>
      </c>
      <c r="F3449">
        <v>153875744</v>
      </c>
      <c r="G3449">
        <v>146552410</v>
      </c>
      <c r="H3449">
        <v>112180452</v>
      </c>
      <c r="I3449">
        <v>168829006</v>
      </c>
      <c r="J3449">
        <v>138616023</v>
      </c>
      <c r="K3449">
        <v>137038866</v>
      </c>
      <c r="L3449">
        <v>103674488</v>
      </c>
      <c r="M3449">
        <v>151632715</v>
      </c>
      <c r="N3449">
        <v>100931770</v>
      </c>
      <c r="O3449">
        <v>88205568</v>
      </c>
      <c r="P3449">
        <v>135</v>
      </c>
      <c r="Q3449" t="s">
        <v>7243</v>
      </c>
    </row>
    <row r="3450" spans="1:17" x14ac:dyDescent="0.3">
      <c r="A3450" t="s">
        <v>4729</v>
      </c>
      <c r="B3450" t="str">
        <f>"002726"</f>
        <v>002726</v>
      </c>
      <c r="C3450" t="s">
        <v>7244</v>
      </c>
      <c r="D3450" t="s">
        <v>170</v>
      </c>
      <c r="F3450">
        <v>831500084</v>
      </c>
      <c r="G3450">
        <v>489513441</v>
      </c>
      <c r="H3450">
        <v>396556506</v>
      </c>
      <c r="I3450">
        <v>308922047</v>
      </c>
      <c r="J3450">
        <v>239433067</v>
      </c>
      <c r="K3450">
        <v>216487083</v>
      </c>
      <c r="L3450">
        <v>188874421</v>
      </c>
      <c r="M3450">
        <v>160525555</v>
      </c>
      <c r="N3450">
        <v>134700894</v>
      </c>
      <c r="O3450">
        <v>125487444</v>
      </c>
      <c r="P3450">
        <v>1021</v>
      </c>
      <c r="Q3450" t="s">
        <v>7245</v>
      </c>
    </row>
    <row r="3451" spans="1:17" x14ac:dyDescent="0.3">
      <c r="A3451" t="s">
        <v>4729</v>
      </c>
      <c r="B3451" t="str">
        <f>"002727"</f>
        <v>002727</v>
      </c>
      <c r="C3451" t="s">
        <v>7246</v>
      </c>
      <c r="D3451" t="s">
        <v>1686</v>
      </c>
      <c r="F3451">
        <v>1350164846</v>
      </c>
      <c r="G3451">
        <v>812033063</v>
      </c>
      <c r="H3451">
        <v>522913964</v>
      </c>
      <c r="I3451">
        <v>606424727</v>
      </c>
      <c r="J3451">
        <v>597177157</v>
      </c>
      <c r="K3451">
        <v>404183977</v>
      </c>
      <c r="L3451">
        <v>325138987</v>
      </c>
      <c r="M3451">
        <v>245376787</v>
      </c>
      <c r="N3451">
        <v>218346931</v>
      </c>
      <c r="O3451">
        <v>166433494</v>
      </c>
      <c r="P3451">
        <v>1246</v>
      </c>
      <c r="Q3451" t="s">
        <v>7247</v>
      </c>
    </row>
    <row r="3452" spans="1:17" x14ac:dyDescent="0.3">
      <c r="A3452" t="s">
        <v>4729</v>
      </c>
      <c r="B3452" t="str">
        <f>"002728"</f>
        <v>002728</v>
      </c>
      <c r="C3452" t="s">
        <v>7248</v>
      </c>
      <c r="D3452" t="s">
        <v>188</v>
      </c>
      <c r="F3452">
        <v>76987329</v>
      </c>
      <c r="G3452">
        <v>70807224</v>
      </c>
      <c r="H3452">
        <v>93198727</v>
      </c>
      <c r="I3452">
        <v>91696570</v>
      </c>
      <c r="J3452">
        <v>60773465</v>
      </c>
      <c r="K3452">
        <v>59154305</v>
      </c>
      <c r="L3452">
        <v>86972441</v>
      </c>
      <c r="M3452">
        <v>39777026</v>
      </c>
      <c r="N3452">
        <v>39249448</v>
      </c>
      <c r="O3452">
        <v>33334596</v>
      </c>
      <c r="P3452">
        <v>286</v>
      </c>
      <c r="Q3452" t="s">
        <v>7249</v>
      </c>
    </row>
    <row r="3453" spans="1:17" x14ac:dyDescent="0.3">
      <c r="A3453" t="s">
        <v>4729</v>
      </c>
      <c r="B3453" t="str">
        <f>"002729"</f>
        <v>002729</v>
      </c>
      <c r="C3453" t="s">
        <v>7250</v>
      </c>
      <c r="D3453" t="s">
        <v>651</v>
      </c>
      <c r="F3453">
        <v>57530572</v>
      </c>
      <c r="G3453">
        <v>53688404</v>
      </c>
      <c r="H3453">
        <v>45338668</v>
      </c>
      <c r="I3453">
        <v>43108660</v>
      </c>
      <c r="J3453">
        <v>36130507</v>
      </c>
      <c r="K3453">
        <v>32467250</v>
      </c>
      <c r="L3453">
        <v>30540420</v>
      </c>
      <c r="M3453">
        <v>37440571</v>
      </c>
      <c r="N3453">
        <v>46074900</v>
      </c>
      <c r="O3453">
        <v>37616210</v>
      </c>
      <c r="P3453">
        <v>71</v>
      </c>
      <c r="Q3453" t="s">
        <v>7251</v>
      </c>
    </row>
    <row r="3454" spans="1:17" x14ac:dyDescent="0.3">
      <c r="A3454" t="s">
        <v>4729</v>
      </c>
      <c r="B3454" t="str">
        <f>"002730"</f>
        <v>002730</v>
      </c>
      <c r="C3454" t="s">
        <v>7252</v>
      </c>
      <c r="D3454" t="s">
        <v>395</v>
      </c>
      <c r="F3454">
        <v>491384450</v>
      </c>
      <c r="G3454">
        <v>441790832</v>
      </c>
      <c r="H3454">
        <v>525699476</v>
      </c>
      <c r="I3454">
        <v>543190175</v>
      </c>
      <c r="J3454">
        <v>497809845</v>
      </c>
      <c r="K3454">
        <v>508725669</v>
      </c>
      <c r="L3454">
        <v>461350184</v>
      </c>
      <c r="M3454">
        <v>333225978</v>
      </c>
      <c r="N3454">
        <v>373686671</v>
      </c>
      <c r="O3454">
        <v>343290675</v>
      </c>
      <c r="P3454">
        <v>82</v>
      </c>
      <c r="Q3454" t="s">
        <v>7253</v>
      </c>
    </row>
    <row r="3455" spans="1:17" x14ac:dyDescent="0.3">
      <c r="A3455" t="s">
        <v>4729</v>
      </c>
      <c r="B3455" t="str">
        <f>"002731"</f>
        <v>002731</v>
      </c>
      <c r="C3455" t="s">
        <v>7254</v>
      </c>
      <c r="D3455" t="s">
        <v>1238</v>
      </c>
      <c r="F3455">
        <v>174810875</v>
      </c>
      <c r="G3455">
        <v>195774614</v>
      </c>
      <c r="H3455">
        <v>229709033</v>
      </c>
      <c r="I3455">
        <v>125825302</v>
      </c>
      <c r="J3455">
        <v>193872506</v>
      </c>
      <c r="K3455">
        <v>160047759</v>
      </c>
      <c r="L3455">
        <v>169662882</v>
      </c>
      <c r="M3455">
        <v>98163992</v>
      </c>
      <c r="N3455">
        <v>11558340</v>
      </c>
      <c r="O3455">
        <v>7429031</v>
      </c>
      <c r="P3455">
        <v>81</v>
      </c>
      <c r="Q3455" t="s">
        <v>7255</v>
      </c>
    </row>
    <row r="3456" spans="1:17" x14ac:dyDescent="0.3">
      <c r="A3456" t="s">
        <v>4729</v>
      </c>
      <c r="B3456" t="str">
        <f>"002732"</f>
        <v>002732</v>
      </c>
      <c r="C3456" t="s">
        <v>7256</v>
      </c>
      <c r="D3456" t="s">
        <v>900</v>
      </c>
      <c r="F3456">
        <v>97148358</v>
      </c>
      <c r="G3456">
        <v>102370009</v>
      </c>
      <c r="H3456">
        <v>78629176</v>
      </c>
      <c r="I3456">
        <v>57585326</v>
      </c>
      <c r="J3456">
        <v>47744454</v>
      </c>
      <c r="K3456">
        <v>44356105</v>
      </c>
      <c r="L3456">
        <v>33224219</v>
      </c>
      <c r="M3456">
        <v>13402963</v>
      </c>
      <c r="N3456">
        <v>11495715</v>
      </c>
      <c r="O3456">
        <v>11519987</v>
      </c>
      <c r="P3456">
        <v>349</v>
      </c>
      <c r="Q3456" t="s">
        <v>7257</v>
      </c>
    </row>
    <row r="3457" spans="1:17" x14ac:dyDescent="0.3">
      <c r="A3457" t="s">
        <v>4729</v>
      </c>
      <c r="B3457" t="str">
        <f>"002733"</f>
        <v>002733</v>
      </c>
      <c r="C3457" t="s">
        <v>7258</v>
      </c>
      <c r="D3457" t="s">
        <v>555</v>
      </c>
      <c r="F3457">
        <v>948230238</v>
      </c>
      <c r="G3457">
        <v>1010818229</v>
      </c>
      <c r="H3457">
        <v>878530091</v>
      </c>
      <c r="I3457">
        <v>912767399</v>
      </c>
      <c r="J3457">
        <v>769633034</v>
      </c>
      <c r="K3457">
        <v>793310443</v>
      </c>
      <c r="L3457">
        <v>700250074</v>
      </c>
      <c r="M3457">
        <v>428361297</v>
      </c>
      <c r="N3457">
        <v>313475227</v>
      </c>
      <c r="O3457">
        <v>304125249</v>
      </c>
      <c r="P3457">
        <v>236</v>
      </c>
      <c r="Q3457" t="s">
        <v>7259</v>
      </c>
    </row>
    <row r="3458" spans="1:17" x14ac:dyDescent="0.3">
      <c r="A3458" t="s">
        <v>4729</v>
      </c>
      <c r="B3458" t="str">
        <f>"002734"</f>
        <v>002734</v>
      </c>
      <c r="C3458" t="s">
        <v>7260</v>
      </c>
      <c r="D3458" t="s">
        <v>853</v>
      </c>
      <c r="F3458">
        <v>262000230</v>
      </c>
      <c r="G3458">
        <v>197161530</v>
      </c>
      <c r="H3458">
        <v>263644351</v>
      </c>
      <c r="I3458">
        <v>130408034</v>
      </c>
      <c r="J3458">
        <v>136220758</v>
      </c>
      <c r="K3458">
        <v>118406231</v>
      </c>
      <c r="L3458">
        <v>113774861</v>
      </c>
      <c r="M3458">
        <v>96965444</v>
      </c>
      <c r="N3458">
        <v>67970354</v>
      </c>
      <c r="O3458">
        <v>74751557</v>
      </c>
      <c r="P3458">
        <v>261</v>
      </c>
      <c r="Q3458" t="s">
        <v>7261</v>
      </c>
    </row>
    <row r="3459" spans="1:17" x14ac:dyDescent="0.3">
      <c r="A3459" t="s">
        <v>4729</v>
      </c>
      <c r="B3459" t="str">
        <f>"002735"</f>
        <v>002735</v>
      </c>
      <c r="C3459" t="s">
        <v>7262</v>
      </c>
      <c r="D3459" t="s">
        <v>485</v>
      </c>
      <c r="F3459">
        <v>652360989</v>
      </c>
      <c r="G3459">
        <v>611437779</v>
      </c>
      <c r="H3459">
        <v>447057538</v>
      </c>
      <c r="I3459">
        <v>348875656</v>
      </c>
      <c r="J3459">
        <v>234214285</v>
      </c>
      <c r="K3459">
        <v>193738352</v>
      </c>
      <c r="L3459">
        <v>156339883</v>
      </c>
      <c r="M3459">
        <v>176446430</v>
      </c>
      <c r="N3459">
        <v>163246288</v>
      </c>
      <c r="O3459">
        <v>193434583</v>
      </c>
      <c r="P3459">
        <v>71</v>
      </c>
      <c r="Q3459" t="s">
        <v>7263</v>
      </c>
    </row>
    <row r="3460" spans="1:17" x14ac:dyDescent="0.3">
      <c r="A3460" t="s">
        <v>4729</v>
      </c>
      <c r="B3460" t="str">
        <f>"002736"</f>
        <v>002736</v>
      </c>
      <c r="C3460" t="s">
        <v>7264</v>
      </c>
      <c r="D3460" t="s">
        <v>80</v>
      </c>
      <c r="F3460">
        <v>1432595710</v>
      </c>
      <c r="G3460">
        <v>1335376311</v>
      </c>
      <c r="H3460">
        <v>791157610</v>
      </c>
      <c r="I3460">
        <v>996635387</v>
      </c>
      <c r="J3460">
        <v>919579256</v>
      </c>
      <c r="K3460">
        <v>1380633849</v>
      </c>
      <c r="L3460">
        <v>0</v>
      </c>
      <c r="M3460">
        <v>0</v>
      </c>
      <c r="N3460">
        <v>0</v>
      </c>
      <c r="O3460">
        <v>0</v>
      </c>
      <c r="P3460">
        <v>2389</v>
      </c>
      <c r="Q3460" t="s">
        <v>7265</v>
      </c>
    </row>
    <row r="3461" spans="1:17" x14ac:dyDescent="0.3">
      <c r="A3461" t="s">
        <v>4729</v>
      </c>
      <c r="B3461" t="str">
        <f>"002737"</f>
        <v>002737</v>
      </c>
      <c r="C3461" t="s">
        <v>7266</v>
      </c>
      <c r="D3461" t="s">
        <v>188</v>
      </c>
      <c r="F3461">
        <v>194746660</v>
      </c>
      <c r="G3461">
        <v>128208842</v>
      </c>
      <c r="H3461">
        <v>388249298</v>
      </c>
      <c r="I3461">
        <v>263108169</v>
      </c>
      <c r="J3461">
        <v>317100928</v>
      </c>
      <c r="K3461">
        <v>361488989</v>
      </c>
      <c r="L3461">
        <v>324699455</v>
      </c>
      <c r="M3461">
        <v>226581306</v>
      </c>
      <c r="N3461">
        <v>187246712</v>
      </c>
      <c r="O3461">
        <v>115442852</v>
      </c>
      <c r="P3461">
        <v>1117</v>
      </c>
      <c r="Q3461" t="s">
        <v>7267</v>
      </c>
    </row>
    <row r="3462" spans="1:17" x14ac:dyDescent="0.3">
      <c r="A3462" t="s">
        <v>4729</v>
      </c>
      <c r="B3462" t="str">
        <f>"002738"</f>
        <v>002738</v>
      </c>
      <c r="C3462" t="s">
        <v>7268</v>
      </c>
      <c r="D3462" t="s">
        <v>636</v>
      </c>
      <c r="F3462">
        <v>259800753</v>
      </c>
      <c r="G3462">
        <v>393043454</v>
      </c>
      <c r="H3462">
        <v>414819641</v>
      </c>
      <c r="I3462">
        <v>491595339</v>
      </c>
      <c r="J3462">
        <v>439206861</v>
      </c>
      <c r="K3462">
        <v>374216050</v>
      </c>
      <c r="L3462">
        <v>261848206</v>
      </c>
      <c r="M3462">
        <v>182976784</v>
      </c>
      <c r="N3462">
        <v>132404442</v>
      </c>
      <c r="O3462">
        <v>55272665</v>
      </c>
      <c r="P3462">
        <v>192</v>
      </c>
      <c r="Q3462" t="s">
        <v>7269</v>
      </c>
    </row>
    <row r="3463" spans="1:17" x14ac:dyDescent="0.3">
      <c r="A3463" t="s">
        <v>4729</v>
      </c>
      <c r="B3463" t="str">
        <f>"002739"</f>
        <v>002739</v>
      </c>
      <c r="C3463" t="s">
        <v>7270</v>
      </c>
      <c r="D3463" t="s">
        <v>2573</v>
      </c>
      <c r="F3463">
        <v>1847231886</v>
      </c>
      <c r="G3463">
        <v>1841726498</v>
      </c>
      <c r="H3463">
        <v>2298873422</v>
      </c>
      <c r="I3463">
        <v>1718610398</v>
      </c>
      <c r="J3463">
        <v>1156548837</v>
      </c>
      <c r="K3463">
        <v>690295790</v>
      </c>
      <c r="L3463">
        <v>383580352</v>
      </c>
      <c r="M3463">
        <v>86051209</v>
      </c>
      <c r="N3463">
        <v>26620687</v>
      </c>
      <c r="O3463">
        <v>28508661</v>
      </c>
      <c r="P3463">
        <v>911</v>
      </c>
      <c r="Q3463" t="s">
        <v>7271</v>
      </c>
    </row>
    <row r="3464" spans="1:17" x14ac:dyDescent="0.3">
      <c r="A3464" t="s">
        <v>4729</v>
      </c>
      <c r="B3464" t="str">
        <f>"002740"</f>
        <v>002740</v>
      </c>
      <c r="C3464" t="s">
        <v>7272</v>
      </c>
      <c r="D3464" t="s">
        <v>1238</v>
      </c>
      <c r="F3464">
        <v>530390568</v>
      </c>
      <c r="G3464">
        <v>748406376</v>
      </c>
      <c r="H3464">
        <v>1260521131</v>
      </c>
      <c r="I3464">
        <v>930324826</v>
      </c>
      <c r="J3464">
        <v>583256622</v>
      </c>
      <c r="K3464">
        <v>365089418</v>
      </c>
      <c r="L3464">
        <v>345275034</v>
      </c>
      <c r="M3464">
        <v>180273042</v>
      </c>
      <c r="N3464">
        <v>91868935</v>
      </c>
      <c r="O3464">
        <v>79235282</v>
      </c>
      <c r="P3464">
        <v>78</v>
      </c>
      <c r="Q3464" t="s">
        <v>7273</v>
      </c>
    </row>
    <row r="3465" spans="1:17" x14ac:dyDescent="0.3">
      <c r="A3465" t="s">
        <v>4729</v>
      </c>
      <c r="B3465" t="str">
        <f>"002741"</f>
        <v>002741</v>
      </c>
      <c r="C3465" t="s">
        <v>7274</v>
      </c>
      <c r="D3465" t="s">
        <v>2408</v>
      </c>
      <c r="F3465">
        <v>766119267</v>
      </c>
      <c r="G3465">
        <v>593462785</v>
      </c>
      <c r="H3465">
        <v>465218826</v>
      </c>
      <c r="I3465">
        <v>369881439</v>
      </c>
      <c r="J3465">
        <v>371133716</v>
      </c>
      <c r="K3465">
        <v>282251531</v>
      </c>
      <c r="L3465">
        <v>247352516</v>
      </c>
      <c r="M3465">
        <v>176875288</v>
      </c>
      <c r="N3465">
        <v>166330162</v>
      </c>
      <c r="O3465">
        <v>117937221</v>
      </c>
      <c r="P3465">
        <v>187</v>
      </c>
      <c r="Q3465" t="s">
        <v>7275</v>
      </c>
    </row>
    <row r="3466" spans="1:17" x14ac:dyDescent="0.3">
      <c r="A3466" t="s">
        <v>4729</v>
      </c>
      <c r="B3466" t="str">
        <f>"002742"</f>
        <v>002742</v>
      </c>
      <c r="C3466" t="s">
        <v>7276</v>
      </c>
      <c r="D3466" t="s">
        <v>3098</v>
      </c>
      <c r="F3466">
        <v>1182940925</v>
      </c>
      <c r="G3466">
        <v>1395465940</v>
      </c>
      <c r="H3466">
        <v>1601165653</v>
      </c>
      <c r="I3466">
        <v>1499959961</v>
      </c>
      <c r="J3466">
        <v>1134456300</v>
      </c>
      <c r="K3466">
        <v>960359246</v>
      </c>
      <c r="L3466">
        <v>864969856</v>
      </c>
      <c r="M3466">
        <v>562799425</v>
      </c>
      <c r="N3466">
        <v>467011543</v>
      </c>
      <c r="O3466">
        <v>242532648</v>
      </c>
      <c r="P3466">
        <v>67</v>
      </c>
      <c r="Q3466" t="s">
        <v>7277</v>
      </c>
    </row>
    <row r="3467" spans="1:17" x14ac:dyDescent="0.3">
      <c r="A3467" t="s">
        <v>4729</v>
      </c>
      <c r="B3467" t="str">
        <f>"002743"</f>
        <v>002743</v>
      </c>
      <c r="C3467" t="s">
        <v>7278</v>
      </c>
      <c r="D3467" t="s">
        <v>978</v>
      </c>
      <c r="F3467">
        <v>2701209015</v>
      </c>
      <c r="G3467">
        <v>2444206672</v>
      </c>
      <c r="H3467">
        <v>2174032188</v>
      </c>
      <c r="I3467">
        <v>1619870991</v>
      </c>
      <c r="J3467">
        <v>1416666318</v>
      </c>
      <c r="K3467">
        <v>1286827391</v>
      </c>
      <c r="L3467">
        <v>1005696813</v>
      </c>
      <c r="M3467">
        <v>671492608</v>
      </c>
      <c r="N3467">
        <v>526984881</v>
      </c>
      <c r="O3467">
        <v>382102620</v>
      </c>
      <c r="P3467">
        <v>77</v>
      </c>
      <c r="Q3467" t="s">
        <v>7279</v>
      </c>
    </row>
    <row r="3468" spans="1:17" x14ac:dyDescent="0.3">
      <c r="A3468" t="s">
        <v>4729</v>
      </c>
      <c r="B3468" t="str">
        <f>"002745"</f>
        <v>002745</v>
      </c>
      <c r="C3468" t="s">
        <v>7280</v>
      </c>
      <c r="D3468" t="s">
        <v>803</v>
      </c>
      <c r="F3468">
        <v>4010112474</v>
      </c>
      <c r="G3468">
        <v>4403881300</v>
      </c>
      <c r="H3468">
        <v>4217058443</v>
      </c>
      <c r="I3468">
        <v>3905425161</v>
      </c>
      <c r="J3468">
        <v>1601837084</v>
      </c>
      <c r="K3468">
        <v>1108799115</v>
      </c>
      <c r="L3468">
        <v>357315167</v>
      </c>
      <c r="M3468">
        <v>377396225</v>
      </c>
      <c r="N3468">
        <v>170440357</v>
      </c>
      <c r="O3468">
        <v>155429590</v>
      </c>
      <c r="P3468">
        <v>324</v>
      </c>
      <c r="Q3468" t="s">
        <v>7281</v>
      </c>
    </row>
    <row r="3469" spans="1:17" x14ac:dyDescent="0.3">
      <c r="A3469" t="s">
        <v>4729</v>
      </c>
      <c r="B3469" t="str">
        <f>"002746"</f>
        <v>002746</v>
      </c>
      <c r="C3469" t="s">
        <v>7282</v>
      </c>
      <c r="D3469" t="s">
        <v>6260</v>
      </c>
      <c r="F3469">
        <v>55055078</v>
      </c>
      <c r="G3469">
        <v>50070734</v>
      </c>
      <c r="H3469">
        <v>74339217</v>
      </c>
      <c r="I3469">
        <v>52558281</v>
      </c>
      <c r="J3469">
        <v>23975407</v>
      </c>
      <c r="K3469">
        <v>45172303</v>
      </c>
      <c r="L3469">
        <v>26955214</v>
      </c>
      <c r="M3469">
        <v>44576540</v>
      </c>
      <c r="N3469">
        <v>25701931</v>
      </c>
      <c r="O3469">
        <v>22910095</v>
      </c>
      <c r="P3469">
        <v>457</v>
      </c>
      <c r="Q3469" t="s">
        <v>7283</v>
      </c>
    </row>
    <row r="3470" spans="1:17" x14ac:dyDescent="0.3">
      <c r="A3470" t="s">
        <v>4729</v>
      </c>
      <c r="B3470" t="str">
        <f>"002747"</f>
        <v>002747</v>
      </c>
      <c r="C3470" t="s">
        <v>7284</v>
      </c>
      <c r="D3470" t="s">
        <v>2938</v>
      </c>
      <c r="F3470">
        <v>687732587</v>
      </c>
      <c r="G3470">
        <v>678824395</v>
      </c>
      <c r="H3470">
        <v>596141748</v>
      </c>
      <c r="I3470">
        <v>594063537</v>
      </c>
      <c r="J3470">
        <v>428329281</v>
      </c>
      <c r="K3470">
        <v>288518361</v>
      </c>
      <c r="L3470">
        <v>170113103</v>
      </c>
      <c r="M3470">
        <v>112479279</v>
      </c>
      <c r="N3470">
        <v>55851257</v>
      </c>
      <c r="O3470">
        <v>48923804</v>
      </c>
      <c r="P3470">
        <v>474</v>
      </c>
      <c r="Q3470" t="s">
        <v>7285</v>
      </c>
    </row>
    <row r="3471" spans="1:17" x14ac:dyDescent="0.3">
      <c r="A3471" t="s">
        <v>4729</v>
      </c>
      <c r="B3471" t="str">
        <f>"002748"</f>
        <v>002748</v>
      </c>
      <c r="C3471" t="s">
        <v>7286</v>
      </c>
      <c r="D3471" t="s">
        <v>175</v>
      </c>
      <c r="F3471">
        <v>68206977</v>
      </c>
      <c r="G3471">
        <v>63812527</v>
      </c>
      <c r="H3471">
        <v>140401746</v>
      </c>
      <c r="I3471">
        <v>110499207</v>
      </c>
      <c r="J3471">
        <v>72639091</v>
      </c>
      <c r="K3471">
        <v>69243962</v>
      </c>
      <c r="L3471">
        <v>66509527</v>
      </c>
      <c r="M3471">
        <v>36730331</v>
      </c>
      <c r="N3471">
        <v>28000244</v>
      </c>
      <c r="O3471">
        <v>18034478</v>
      </c>
      <c r="P3471">
        <v>77</v>
      </c>
      <c r="Q3471" t="s">
        <v>7287</v>
      </c>
    </row>
    <row r="3472" spans="1:17" x14ac:dyDescent="0.3">
      <c r="A3472" t="s">
        <v>4729</v>
      </c>
      <c r="B3472" t="str">
        <f>"002749"</f>
        <v>002749</v>
      </c>
      <c r="C3472" t="s">
        <v>7288</v>
      </c>
      <c r="D3472" t="s">
        <v>853</v>
      </c>
      <c r="F3472">
        <v>35850047</v>
      </c>
      <c r="G3472">
        <v>24058863</v>
      </c>
      <c r="H3472">
        <v>22147020</v>
      </c>
      <c r="I3472">
        <v>15800986</v>
      </c>
      <c r="J3472">
        <v>21818067</v>
      </c>
      <c r="K3472">
        <v>22713017</v>
      </c>
      <c r="L3472">
        <v>20651254</v>
      </c>
      <c r="M3472">
        <v>24012159</v>
      </c>
      <c r="N3472">
        <v>23320982</v>
      </c>
      <c r="O3472">
        <v>17236748</v>
      </c>
      <c r="P3472">
        <v>9783</v>
      </c>
      <c r="Q3472" t="s">
        <v>7289</v>
      </c>
    </row>
    <row r="3473" spans="1:17" x14ac:dyDescent="0.3">
      <c r="A3473" t="s">
        <v>4729</v>
      </c>
      <c r="B3473" t="str">
        <f>"002750"</f>
        <v>002750</v>
      </c>
      <c r="C3473" t="s">
        <v>7290</v>
      </c>
      <c r="D3473" t="s">
        <v>188</v>
      </c>
      <c r="F3473">
        <v>35852516</v>
      </c>
      <c r="G3473">
        <v>43919037</v>
      </c>
      <c r="H3473">
        <v>33611688</v>
      </c>
      <c r="I3473">
        <v>37172011</v>
      </c>
      <c r="J3473">
        <v>44132419</v>
      </c>
      <c r="K3473">
        <v>5152578</v>
      </c>
      <c r="L3473">
        <v>5491329</v>
      </c>
      <c r="M3473">
        <v>1986364</v>
      </c>
      <c r="N3473">
        <v>1073430</v>
      </c>
      <c r="O3473">
        <v>2060838</v>
      </c>
      <c r="P3473">
        <v>142</v>
      </c>
      <c r="Q3473" t="s">
        <v>7291</v>
      </c>
    </row>
    <row r="3474" spans="1:17" x14ac:dyDescent="0.3">
      <c r="A3474" t="s">
        <v>4729</v>
      </c>
      <c r="B3474" t="str">
        <f>"002751"</f>
        <v>002751</v>
      </c>
      <c r="C3474" t="s">
        <v>7292</v>
      </c>
      <c r="D3474" t="s">
        <v>1673</v>
      </c>
      <c r="F3474">
        <v>612805876</v>
      </c>
      <c r="G3474">
        <v>602981121</v>
      </c>
      <c r="H3474">
        <v>581476595</v>
      </c>
      <c r="I3474">
        <v>512938854</v>
      </c>
      <c r="J3474">
        <v>280928064</v>
      </c>
      <c r="K3474">
        <v>227998038</v>
      </c>
      <c r="L3474">
        <v>205952229</v>
      </c>
      <c r="M3474">
        <v>214732491</v>
      </c>
      <c r="N3474">
        <v>118620598</v>
      </c>
      <c r="O3474">
        <v>113324799</v>
      </c>
      <c r="P3474">
        <v>145</v>
      </c>
      <c r="Q3474" t="s">
        <v>7293</v>
      </c>
    </row>
    <row r="3475" spans="1:17" x14ac:dyDescent="0.3">
      <c r="A3475" t="s">
        <v>4729</v>
      </c>
      <c r="B3475" t="str">
        <f>"002752"</f>
        <v>002752</v>
      </c>
      <c r="C3475" t="s">
        <v>7294</v>
      </c>
      <c r="D3475" t="s">
        <v>2373</v>
      </c>
      <c r="F3475">
        <v>1116918834</v>
      </c>
      <c r="G3475">
        <v>690814684</v>
      </c>
      <c r="H3475">
        <v>645529011</v>
      </c>
      <c r="I3475">
        <v>291732227</v>
      </c>
      <c r="J3475">
        <v>314881588</v>
      </c>
      <c r="K3475">
        <v>519434256</v>
      </c>
      <c r="L3475">
        <v>479336540</v>
      </c>
      <c r="M3475">
        <v>252274475</v>
      </c>
      <c r="N3475">
        <v>186671955</v>
      </c>
      <c r="O3475">
        <v>182612445</v>
      </c>
      <c r="P3475">
        <v>79</v>
      </c>
      <c r="Q3475" t="s">
        <v>7295</v>
      </c>
    </row>
    <row r="3476" spans="1:17" x14ac:dyDescent="0.3">
      <c r="A3476" t="s">
        <v>4729</v>
      </c>
      <c r="B3476" t="str">
        <f>"002753"</f>
        <v>002753</v>
      </c>
      <c r="C3476" t="s">
        <v>7296</v>
      </c>
      <c r="D3476" t="s">
        <v>3646</v>
      </c>
      <c r="F3476">
        <v>672359892</v>
      </c>
      <c r="G3476">
        <v>466217418</v>
      </c>
      <c r="H3476">
        <v>439335396</v>
      </c>
      <c r="I3476">
        <v>371891877</v>
      </c>
      <c r="J3476">
        <v>339261869</v>
      </c>
      <c r="K3476">
        <v>199656333</v>
      </c>
      <c r="L3476">
        <v>161499363</v>
      </c>
      <c r="M3476">
        <v>143695128</v>
      </c>
      <c r="N3476">
        <v>139069433</v>
      </c>
      <c r="O3476">
        <v>134804610</v>
      </c>
      <c r="P3476">
        <v>170</v>
      </c>
      <c r="Q3476" t="s">
        <v>7297</v>
      </c>
    </row>
    <row r="3477" spans="1:17" x14ac:dyDescent="0.3">
      <c r="A3477" t="s">
        <v>4729</v>
      </c>
      <c r="B3477" t="str">
        <f>"002755"</f>
        <v>002755</v>
      </c>
      <c r="C3477" t="s">
        <v>7298</v>
      </c>
      <c r="D3477" t="s">
        <v>143</v>
      </c>
      <c r="F3477">
        <v>495904753</v>
      </c>
      <c r="G3477">
        <v>713868273</v>
      </c>
      <c r="H3477">
        <v>747329268</v>
      </c>
      <c r="I3477">
        <v>548223486</v>
      </c>
      <c r="J3477">
        <v>444902783</v>
      </c>
      <c r="K3477">
        <v>316691442</v>
      </c>
      <c r="L3477">
        <v>349810115</v>
      </c>
      <c r="M3477">
        <v>367864338</v>
      </c>
      <c r="N3477">
        <v>275557121</v>
      </c>
      <c r="O3477">
        <v>296009426</v>
      </c>
      <c r="P3477">
        <v>307</v>
      </c>
      <c r="Q3477" t="s">
        <v>7299</v>
      </c>
    </row>
    <row r="3478" spans="1:17" x14ac:dyDescent="0.3">
      <c r="A3478" t="s">
        <v>4729</v>
      </c>
      <c r="B3478" t="str">
        <f>"002756"</f>
        <v>002756</v>
      </c>
      <c r="C3478" t="s">
        <v>7300</v>
      </c>
      <c r="D3478" t="s">
        <v>281</v>
      </c>
      <c r="F3478">
        <v>220933280</v>
      </c>
      <c r="G3478">
        <v>121013396</v>
      </c>
      <c r="H3478">
        <v>163992434</v>
      </c>
      <c r="I3478">
        <v>157950428</v>
      </c>
      <c r="J3478">
        <v>81541384</v>
      </c>
      <c r="K3478">
        <v>70724127</v>
      </c>
      <c r="L3478">
        <v>100909685</v>
      </c>
      <c r="M3478">
        <v>65980795</v>
      </c>
      <c r="N3478">
        <v>56842131</v>
      </c>
      <c r="O3478">
        <v>62838728</v>
      </c>
      <c r="P3478">
        <v>307</v>
      </c>
      <c r="Q3478" t="s">
        <v>7301</v>
      </c>
    </row>
    <row r="3479" spans="1:17" x14ac:dyDescent="0.3">
      <c r="A3479" t="s">
        <v>4729</v>
      </c>
      <c r="B3479" t="str">
        <f>"002757"</f>
        <v>002757</v>
      </c>
      <c r="C3479" t="s">
        <v>7302</v>
      </c>
      <c r="D3479" t="s">
        <v>741</v>
      </c>
      <c r="F3479">
        <v>378833827</v>
      </c>
      <c r="G3479">
        <v>350384595</v>
      </c>
      <c r="H3479">
        <v>295777124</v>
      </c>
      <c r="I3479">
        <v>176779450</v>
      </c>
      <c r="J3479">
        <v>56022908</v>
      </c>
      <c r="K3479">
        <v>82984542</v>
      </c>
      <c r="L3479">
        <v>99959961</v>
      </c>
      <c r="M3479">
        <v>34401018</v>
      </c>
      <c r="N3479">
        <v>23456234</v>
      </c>
      <c r="O3479">
        <v>25288021</v>
      </c>
      <c r="P3479">
        <v>267</v>
      </c>
      <c r="Q3479" t="s">
        <v>7303</v>
      </c>
    </row>
    <row r="3480" spans="1:17" x14ac:dyDescent="0.3">
      <c r="A3480" t="s">
        <v>4729</v>
      </c>
      <c r="B3480" t="str">
        <f>"002758"</f>
        <v>002758</v>
      </c>
      <c r="C3480" t="s">
        <v>7304</v>
      </c>
      <c r="D3480" t="s">
        <v>125</v>
      </c>
      <c r="F3480">
        <v>636855010</v>
      </c>
      <c r="G3480">
        <v>651283782</v>
      </c>
      <c r="H3480">
        <v>366512046</v>
      </c>
      <c r="I3480">
        <v>331152613</v>
      </c>
      <c r="J3480">
        <v>304049039</v>
      </c>
      <c r="K3480">
        <v>294777241</v>
      </c>
      <c r="L3480">
        <v>268769900</v>
      </c>
      <c r="M3480">
        <v>245053239</v>
      </c>
      <c r="N3480">
        <v>254780071</v>
      </c>
      <c r="O3480">
        <v>229723315</v>
      </c>
      <c r="P3480">
        <v>180</v>
      </c>
      <c r="Q3480" t="s">
        <v>7305</v>
      </c>
    </row>
    <row r="3481" spans="1:17" x14ac:dyDescent="0.3">
      <c r="A3481" t="s">
        <v>4729</v>
      </c>
      <c r="B3481" t="str">
        <f>"002759"</f>
        <v>002759</v>
      </c>
      <c r="C3481" t="s">
        <v>7306</v>
      </c>
      <c r="D3481" t="s">
        <v>1790</v>
      </c>
      <c r="F3481">
        <v>466631077</v>
      </c>
      <c r="G3481">
        <v>242067645</v>
      </c>
      <c r="H3481">
        <v>173873865</v>
      </c>
      <c r="I3481">
        <v>109243281</v>
      </c>
      <c r="J3481">
        <v>129268176</v>
      </c>
      <c r="K3481">
        <v>62837601</v>
      </c>
      <c r="L3481">
        <v>24867634</v>
      </c>
      <c r="M3481">
        <v>24268556</v>
      </c>
      <c r="N3481">
        <v>16580006</v>
      </c>
      <c r="O3481">
        <v>10529175</v>
      </c>
      <c r="P3481">
        <v>251</v>
      </c>
      <c r="Q3481" t="s">
        <v>7307</v>
      </c>
    </row>
    <row r="3482" spans="1:17" x14ac:dyDescent="0.3">
      <c r="A3482" t="s">
        <v>4729</v>
      </c>
      <c r="B3482" t="str">
        <f>"002760"</f>
        <v>002760</v>
      </c>
      <c r="C3482" t="s">
        <v>7308</v>
      </c>
      <c r="D3482" t="s">
        <v>404</v>
      </c>
      <c r="F3482">
        <v>165219619</v>
      </c>
      <c r="G3482">
        <v>128709533</v>
      </c>
      <c r="H3482">
        <v>156611319</v>
      </c>
      <c r="I3482">
        <v>69724665</v>
      </c>
      <c r="J3482">
        <v>92023786</v>
      </c>
      <c r="K3482">
        <v>123235117</v>
      </c>
      <c r="L3482">
        <v>136405915</v>
      </c>
      <c r="M3482">
        <v>77632967</v>
      </c>
      <c r="N3482">
        <v>58988894</v>
      </c>
      <c r="O3482">
        <v>55720374</v>
      </c>
      <c r="P3482">
        <v>72</v>
      </c>
      <c r="Q3482" t="s">
        <v>7309</v>
      </c>
    </row>
    <row r="3483" spans="1:17" x14ac:dyDescent="0.3">
      <c r="A3483" t="s">
        <v>4729</v>
      </c>
      <c r="B3483" t="str">
        <f>"002761"</f>
        <v>002761</v>
      </c>
      <c r="C3483" t="s">
        <v>7310</v>
      </c>
      <c r="D3483" t="s">
        <v>398</v>
      </c>
      <c r="F3483">
        <v>32408294382</v>
      </c>
      <c r="G3483">
        <v>27488432376</v>
      </c>
      <c r="H3483">
        <v>27267059947</v>
      </c>
      <c r="I3483">
        <v>42013011</v>
      </c>
      <c r="J3483">
        <v>38362858</v>
      </c>
      <c r="K3483">
        <v>35832638</v>
      </c>
      <c r="L3483">
        <v>46247501</v>
      </c>
      <c r="M3483">
        <v>40566272</v>
      </c>
      <c r="N3483">
        <v>26645603</v>
      </c>
      <c r="O3483">
        <v>11698720</v>
      </c>
      <c r="P3483">
        <v>195</v>
      </c>
      <c r="Q3483" t="s">
        <v>7311</v>
      </c>
    </row>
    <row r="3484" spans="1:17" x14ac:dyDescent="0.3">
      <c r="A3484" t="s">
        <v>4729</v>
      </c>
      <c r="B3484" t="str">
        <f>"002762"</f>
        <v>002762</v>
      </c>
      <c r="C3484" t="s">
        <v>7312</v>
      </c>
      <c r="D3484" t="s">
        <v>255</v>
      </c>
      <c r="F3484">
        <v>17995307</v>
      </c>
      <c r="G3484">
        <v>18831172</v>
      </c>
      <c r="H3484">
        <v>27285000</v>
      </c>
      <c r="I3484">
        <v>30797168</v>
      </c>
      <c r="J3484">
        <v>54354934</v>
      </c>
      <c r="K3484">
        <v>40249467</v>
      </c>
      <c r="L3484">
        <v>36257160</v>
      </c>
      <c r="M3484">
        <v>29029037</v>
      </c>
      <c r="N3484">
        <v>21230963</v>
      </c>
      <c r="O3484">
        <v>7868646</v>
      </c>
      <c r="P3484">
        <v>128</v>
      </c>
      <c r="Q3484" t="s">
        <v>7313</v>
      </c>
    </row>
    <row r="3485" spans="1:17" x14ac:dyDescent="0.3">
      <c r="A3485" t="s">
        <v>4729</v>
      </c>
      <c r="B3485" t="str">
        <f>"002763"</f>
        <v>002763</v>
      </c>
      <c r="C3485" t="s">
        <v>7314</v>
      </c>
      <c r="D3485" t="s">
        <v>330</v>
      </c>
      <c r="F3485">
        <v>202832390</v>
      </c>
      <c r="G3485">
        <v>211746614</v>
      </c>
      <c r="H3485">
        <v>209388103</v>
      </c>
      <c r="I3485">
        <v>191657671</v>
      </c>
      <c r="J3485">
        <v>172516901</v>
      </c>
      <c r="K3485">
        <v>167651593</v>
      </c>
      <c r="L3485">
        <v>184392600</v>
      </c>
      <c r="M3485">
        <v>183671743</v>
      </c>
      <c r="N3485">
        <v>165814864</v>
      </c>
      <c r="O3485">
        <v>181342467</v>
      </c>
      <c r="P3485">
        <v>293</v>
      </c>
      <c r="Q3485" t="s">
        <v>7315</v>
      </c>
    </row>
    <row r="3486" spans="1:17" x14ac:dyDescent="0.3">
      <c r="A3486" t="s">
        <v>4729</v>
      </c>
      <c r="B3486" t="str">
        <f>"002765"</f>
        <v>002765</v>
      </c>
      <c r="C3486" t="s">
        <v>7316</v>
      </c>
      <c r="D3486" t="s">
        <v>1117</v>
      </c>
      <c r="F3486">
        <v>852773433</v>
      </c>
      <c r="G3486">
        <v>615203609</v>
      </c>
      <c r="H3486">
        <v>493095030</v>
      </c>
      <c r="I3486">
        <v>297024582</v>
      </c>
      <c r="J3486">
        <v>415081708</v>
      </c>
      <c r="K3486">
        <v>415185998</v>
      </c>
      <c r="L3486">
        <v>244165090</v>
      </c>
      <c r="M3486">
        <v>257540724</v>
      </c>
      <c r="N3486">
        <v>137484245</v>
      </c>
      <c r="O3486">
        <v>143859019</v>
      </c>
      <c r="P3486">
        <v>118</v>
      </c>
      <c r="Q3486" t="s">
        <v>7317</v>
      </c>
    </row>
    <row r="3487" spans="1:17" x14ac:dyDescent="0.3">
      <c r="A3487" t="s">
        <v>4729</v>
      </c>
      <c r="B3487" t="str">
        <f>"002766"</f>
        <v>002766</v>
      </c>
      <c r="C3487" t="s">
        <v>7318</v>
      </c>
      <c r="D3487" t="s">
        <v>1415</v>
      </c>
      <c r="F3487">
        <v>198279818</v>
      </c>
      <c r="G3487">
        <v>459479391</v>
      </c>
      <c r="H3487">
        <v>740985776</v>
      </c>
      <c r="I3487">
        <v>497999171</v>
      </c>
      <c r="J3487">
        <v>705969985</v>
      </c>
      <c r="K3487">
        <v>255495469</v>
      </c>
      <c r="L3487">
        <v>280556278</v>
      </c>
      <c r="M3487">
        <v>226425690</v>
      </c>
      <c r="N3487">
        <v>181605737</v>
      </c>
      <c r="O3487">
        <v>145907134</v>
      </c>
      <c r="P3487">
        <v>85</v>
      </c>
      <c r="Q3487" t="s">
        <v>7319</v>
      </c>
    </row>
    <row r="3488" spans="1:17" x14ac:dyDescent="0.3">
      <c r="A3488" t="s">
        <v>4729</v>
      </c>
      <c r="B3488" t="str">
        <f>"002767"</f>
        <v>002767</v>
      </c>
      <c r="C3488" t="s">
        <v>7320</v>
      </c>
      <c r="D3488" t="s">
        <v>2566</v>
      </c>
      <c r="F3488">
        <v>270280562</v>
      </c>
      <c r="G3488">
        <v>253388604</v>
      </c>
      <c r="H3488">
        <v>221130021</v>
      </c>
      <c r="I3488">
        <v>206760964</v>
      </c>
      <c r="J3488">
        <v>209525092</v>
      </c>
      <c r="K3488">
        <v>179346353</v>
      </c>
      <c r="L3488">
        <v>174101669</v>
      </c>
      <c r="M3488">
        <v>141252515</v>
      </c>
      <c r="N3488">
        <v>137835920</v>
      </c>
      <c r="O3488">
        <v>117249437</v>
      </c>
      <c r="P3488">
        <v>73</v>
      </c>
      <c r="Q3488" t="s">
        <v>7321</v>
      </c>
    </row>
    <row r="3489" spans="1:17" x14ac:dyDescent="0.3">
      <c r="A3489" t="s">
        <v>4729</v>
      </c>
      <c r="B3489" t="str">
        <f>"002768"</f>
        <v>002768</v>
      </c>
      <c r="C3489" t="s">
        <v>7322</v>
      </c>
      <c r="D3489" t="s">
        <v>341</v>
      </c>
      <c r="F3489">
        <v>1341432527</v>
      </c>
      <c r="G3489">
        <v>1027825679</v>
      </c>
      <c r="H3489">
        <v>878288809</v>
      </c>
      <c r="I3489">
        <v>420500702</v>
      </c>
      <c r="J3489">
        <v>331811131</v>
      </c>
      <c r="K3489">
        <v>268329227</v>
      </c>
      <c r="L3489">
        <v>133283724</v>
      </c>
      <c r="M3489">
        <v>119603624</v>
      </c>
      <c r="N3489">
        <v>80849398</v>
      </c>
      <c r="O3489">
        <v>60346820</v>
      </c>
      <c r="P3489">
        <v>595</v>
      </c>
      <c r="Q3489" t="s">
        <v>7323</v>
      </c>
    </row>
    <row r="3490" spans="1:17" x14ac:dyDescent="0.3">
      <c r="A3490" t="s">
        <v>4729</v>
      </c>
      <c r="B3490" t="str">
        <f>"002769"</f>
        <v>002769</v>
      </c>
      <c r="C3490" t="s">
        <v>7324</v>
      </c>
      <c r="D3490" t="s">
        <v>3125</v>
      </c>
      <c r="F3490">
        <v>648474454</v>
      </c>
      <c r="G3490">
        <v>819353824</v>
      </c>
      <c r="H3490">
        <v>1293839363</v>
      </c>
      <c r="I3490">
        <v>1277587757</v>
      </c>
      <c r="J3490">
        <v>967051496</v>
      </c>
      <c r="K3490">
        <v>844958583</v>
      </c>
      <c r="L3490">
        <v>878061503</v>
      </c>
      <c r="M3490">
        <v>781406902</v>
      </c>
      <c r="N3490">
        <v>484835751</v>
      </c>
      <c r="O3490">
        <v>603076205</v>
      </c>
      <c r="P3490">
        <v>96</v>
      </c>
      <c r="Q3490" t="s">
        <v>7325</v>
      </c>
    </row>
    <row r="3491" spans="1:17" x14ac:dyDescent="0.3">
      <c r="A3491" t="s">
        <v>4729</v>
      </c>
      <c r="B3491" t="str">
        <f>"002770"</f>
        <v>002770</v>
      </c>
      <c r="C3491" t="s">
        <v>7326</v>
      </c>
      <c r="D3491" t="s">
        <v>900</v>
      </c>
      <c r="F3491">
        <v>7795656</v>
      </c>
      <c r="G3491">
        <v>5190957</v>
      </c>
      <c r="H3491">
        <v>8043898</v>
      </c>
      <c r="I3491">
        <v>6794000</v>
      </c>
      <c r="J3491">
        <v>54405274</v>
      </c>
      <c r="K3491">
        <v>73429296</v>
      </c>
      <c r="L3491">
        <v>46410410</v>
      </c>
      <c r="M3491">
        <v>51238255</v>
      </c>
      <c r="N3491">
        <v>37287876</v>
      </c>
      <c r="O3491">
        <v>47039423</v>
      </c>
      <c r="P3491">
        <v>163</v>
      </c>
      <c r="Q3491" t="s">
        <v>7327</v>
      </c>
    </row>
    <row r="3492" spans="1:17" x14ac:dyDescent="0.3">
      <c r="A3492" t="s">
        <v>4729</v>
      </c>
      <c r="B3492" t="str">
        <f>"002771"</f>
        <v>002771</v>
      </c>
      <c r="C3492" t="s">
        <v>7328</v>
      </c>
      <c r="D3492" t="s">
        <v>316</v>
      </c>
      <c r="F3492">
        <v>394152235</v>
      </c>
      <c r="G3492">
        <v>436402017</v>
      </c>
      <c r="H3492">
        <v>469626325</v>
      </c>
      <c r="I3492">
        <v>476950126</v>
      </c>
      <c r="J3492">
        <v>315875274</v>
      </c>
      <c r="K3492">
        <v>260706771</v>
      </c>
      <c r="L3492">
        <v>205737089</v>
      </c>
      <c r="M3492">
        <v>184997350</v>
      </c>
      <c r="N3492">
        <v>191796833</v>
      </c>
      <c r="O3492">
        <v>176030737</v>
      </c>
      <c r="P3492">
        <v>95</v>
      </c>
      <c r="Q3492" t="s">
        <v>7329</v>
      </c>
    </row>
    <row r="3493" spans="1:17" x14ac:dyDescent="0.3">
      <c r="A3493" t="s">
        <v>4729</v>
      </c>
      <c r="B3493" t="str">
        <f>"002772"</f>
        <v>002772</v>
      </c>
      <c r="C3493" t="s">
        <v>7330</v>
      </c>
      <c r="D3493" t="s">
        <v>7331</v>
      </c>
      <c r="F3493">
        <v>17878724</v>
      </c>
      <c r="G3493">
        <v>22442663</v>
      </c>
      <c r="H3493">
        <v>23164236</v>
      </c>
      <c r="I3493">
        <v>13329157</v>
      </c>
      <c r="J3493">
        <v>13396816</v>
      </c>
      <c r="K3493">
        <v>5601622</v>
      </c>
      <c r="L3493">
        <v>4541164</v>
      </c>
      <c r="M3493">
        <v>5240186</v>
      </c>
      <c r="N3493">
        <v>13006797</v>
      </c>
      <c r="O3493">
        <v>6738972</v>
      </c>
      <c r="P3493">
        <v>202</v>
      </c>
      <c r="Q3493" t="s">
        <v>7332</v>
      </c>
    </row>
    <row r="3494" spans="1:17" x14ac:dyDescent="0.3">
      <c r="A3494" t="s">
        <v>4729</v>
      </c>
      <c r="B3494" t="str">
        <f>"002773"</f>
        <v>002773</v>
      </c>
      <c r="C3494" t="s">
        <v>7333</v>
      </c>
      <c r="D3494" t="s">
        <v>143</v>
      </c>
      <c r="F3494">
        <v>183189171</v>
      </c>
      <c r="G3494">
        <v>330403148</v>
      </c>
      <c r="H3494">
        <v>393038965</v>
      </c>
      <c r="I3494">
        <v>258773258</v>
      </c>
      <c r="J3494">
        <v>166814172</v>
      </c>
      <c r="K3494">
        <v>65416533</v>
      </c>
      <c r="L3494">
        <v>85224540</v>
      </c>
      <c r="M3494">
        <v>91081736</v>
      </c>
      <c r="N3494">
        <v>76115580</v>
      </c>
      <c r="O3494">
        <v>73568030</v>
      </c>
      <c r="P3494">
        <v>5281</v>
      </c>
      <c r="Q3494" t="s">
        <v>7334</v>
      </c>
    </row>
    <row r="3495" spans="1:17" x14ac:dyDescent="0.3">
      <c r="A3495" t="s">
        <v>4729</v>
      </c>
      <c r="B3495" t="str">
        <f>"002774"</f>
        <v>002774</v>
      </c>
      <c r="C3495" t="s">
        <v>7335</v>
      </c>
      <c r="D3495" t="s">
        <v>1691</v>
      </c>
      <c r="F3495">
        <v>159948914</v>
      </c>
      <c r="G3495">
        <v>156665256</v>
      </c>
      <c r="H3495">
        <v>215644306</v>
      </c>
      <c r="I3495">
        <v>236949621</v>
      </c>
      <c r="J3495">
        <v>157299474</v>
      </c>
      <c r="K3495">
        <v>145459942</v>
      </c>
      <c r="L3495">
        <v>146460934</v>
      </c>
      <c r="M3495">
        <v>125899558</v>
      </c>
      <c r="P3495">
        <v>77</v>
      </c>
      <c r="Q3495" t="s">
        <v>7336</v>
      </c>
    </row>
    <row r="3496" spans="1:17" x14ac:dyDescent="0.3">
      <c r="A3496" t="s">
        <v>4729</v>
      </c>
      <c r="B3496" t="str">
        <f>"002775"</f>
        <v>002775</v>
      </c>
      <c r="C3496" t="s">
        <v>7337</v>
      </c>
      <c r="D3496" t="s">
        <v>2417</v>
      </c>
      <c r="F3496">
        <v>741128723</v>
      </c>
      <c r="G3496">
        <v>833906012</v>
      </c>
      <c r="H3496">
        <v>797815369</v>
      </c>
      <c r="I3496">
        <v>732169536</v>
      </c>
      <c r="J3496">
        <v>521648235</v>
      </c>
      <c r="K3496">
        <v>457843464</v>
      </c>
      <c r="L3496">
        <v>475261897</v>
      </c>
      <c r="M3496">
        <v>373730996</v>
      </c>
      <c r="N3496">
        <v>277564137</v>
      </c>
      <c r="O3496">
        <v>165461630</v>
      </c>
      <c r="P3496">
        <v>218</v>
      </c>
      <c r="Q3496" t="s">
        <v>7338</v>
      </c>
    </row>
    <row r="3497" spans="1:17" x14ac:dyDescent="0.3">
      <c r="A3497" t="s">
        <v>4729</v>
      </c>
      <c r="B3497" t="str">
        <f>"002776"</f>
        <v>002776</v>
      </c>
      <c r="C3497" t="s">
        <v>7339</v>
      </c>
      <c r="D3497" t="s">
        <v>255</v>
      </c>
      <c r="G3497">
        <v>141445123</v>
      </c>
      <c r="H3497">
        <v>233371642</v>
      </c>
      <c r="I3497">
        <v>165407036</v>
      </c>
      <c r="J3497">
        <v>146110296</v>
      </c>
      <c r="K3497">
        <v>66080951</v>
      </c>
      <c r="L3497">
        <v>71903534</v>
      </c>
      <c r="M3497">
        <v>65066481</v>
      </c>
      <c r="N3497">
        <v>63630904</v>
      </c>
      <c r="O3497">
        <v>43816481</v>
      </c>
      <c r="P3497">
        <v>125</v>
      </c>
      <c r="Q3497" t="s">
        <v>7340</v>
      </c>
    </row>
    <row r="3498" spans="1:17" x14ac:dyDescent="0.3">
      <c r="A3498" t="s">
        <v>4729</v>
      </c>
      <c r="B3498" t="str">
        <f>"002777"</f>
        <v>002777</v>
      </c>
      <c r="C3498" t="s">
        <v>7341</v>
      </c>
      <c r="D3498" t="s">
        <v>316</v>
      </c>
      <c r="F3498">
        <v>417436576</v>
      </c>
      <c r="G3498">
        <v>336525846</v>
      </c>
      <c r="H3498">
        <v>273083820</v>
      </c>
      <c r="I3498">
        <v>186452491</v>
      </c>
      <c r="J3498">
        <v>139484173</v>
      </c>
      <c r="K3498">
        <v>87802737</v>
      </c>
      <c r="L3498">
        <v>65515026</v>
      </c>
      <c r="M3498">
        <v>51204193</v>
      </c>
      <c r="N3498">
        <v>56229027</v>
      </c>
      <c r="O3498">
        <v>62539570</v>
      </c>
      <c r="P3498">
        <v>372</v>
      </c>
      <c r="Q3498" t="s">
        <v>7342</v>
      </c>
    </row>
    <row r="3499" spans="1:17" x14ac:dyDescent="0.3">
      <c r="A3499" t="s">
        <v>4729</v>
      </c>
      <c r="B3499" t="str">
        <f>"002778"</f>
        <v>002778</v>
      </c>
      <c r="C3499" t="s">
        <v>7343</v>
      </c>
      <c r="D3499" t="s">
        <v>1617</v>
      </c>
      <c r="F3499">
        <v>641591341</v>
      </c>
      <c r="G3499">
        <v>513225153</v>
      </c>
      <c r="H3499">
        <v>130850266</v>
      </c>
      <c r="I3499">
        <v>160816723</v>
      </c>
      <c r="J3499">
        <v>116891246</v>
      </c>
      <c r="K3499">
        <v>129276703</v>
      </c>
      <c r="L3499">
        <v>128183972</v>
      </c>
      <c r="M3499">
        <v>116208533</v>
      </c>
      <c r="N3499">
        <v>101375110</v>
      </c>
      <c r="O3499">
        <v>88364629</v>
      </c>
      <c r="P3499">
        <v>75</v>
      </c>
      <c r="Q3499" t="s">
        <v>7344</v>
      </c>
    </row>
    <row r="3500" spans="1:17" x14ac:dyDescent="0.3">
      <c r="A3500" t="s">
        <v>4729</v>
      </c>
      <c r="B3500" t="str">
        <f>"002779"</f>
        <v>002779</v>
      </c>
      <c r="C3500" t="s">
        <v>7345</v>
      </c>
      <c r="D3500" t="s">
        <v>741</v>
      </c>
      <c r="F3500">
        <v>127346917</v>
      </c>
      <c r="G3500">
        <v>83495725</v>
      </c>
      <c r="H3500">
        <v>79245432</v>
      </c>
      <c r="I3500">
        <v>96695609</v>
      </c>
      <c r="J3500">
        <v>79327090</v>
      </c>
      <c r="K3500">
        <v>90149662</v>
      </c>
      <c r="L3500">
        <v>100587581</v>
      </c>
      <c r="M3500">
        <v>90200413</v>
      </c>
      <c r="N3500">
        <v>72574036</v>
      </c>
      <c r="O3500">
        <v>67182888</v>
      </c>
      <c r="P3500">
        <v>54</v>
      </c>
      <c r="Q3500" t="s">
        <v>7346</v>
      </c>
    </row>
    <row r="3501" spans="1:17" x14ac:dyDescent="0.3">
      <c r="A3501" t="s">
        <v>4729</v>
      </c>
      <c r="B3501" t="str">
        <f>"002780"</f>
        <v>002780</v>
      </c>
      <c r="C3501" t="s">
        <v>7347</v>
      </c>
      <c r="D3501" t="s">
        <v>3017</v>
      </c>
      <c r="F3501">
        <v>28793983</v>
      </c>
      <c r="G3501">
        <v>37285278</v>
      </c>
      <c r="H3501">
        <v>19048401</v>
      </c>
      <c r="I3501">
        <v>26857359</v>
      </c>
      <c r="J3501">
        <v>25337528</v>
      </c>
      <c r="K3501">
        <v>54529764</v>
      </c>
      <c r="L3501">
        <v>31120760</v>
      </c>
      <c r="M3501">
        <v>13711021</v>
      </c>
      <c r="N3501">
        <v>4202410</v>
      </c>
      <c r="O3501">
        <v>1894152</v>
      </c>
      <c r="P3501">
        <v>85</v>
      </c>
      <c r="Q3501" t="s">
        <v>7348</v>
      </c>
    </row>
    <row r="3502" spans="1:17" x14ac:dyDescent="0.3">
      <c r="A3502" t="s">
        <v>4729</v>
      </c>
      <c r="B3502" t="str">
        <f>"002781"</f>
        <v>002781</v>
      </c>
      <c r="C3502" t="s">
        <v>7349</v>
      </c>
      <c r="D3502" t="s">
        <v>450</v>
      </c>
      <c r="F3502">
        <v>1124112622</v>
      </c>
      <c r="G3502">
        <v>1144032631</v>
      </c>
      <c r="H3502">
        <v>3377643000</v>
      </c>
      <c r="I3502">
        <v>3399392493</v>
      </c>
      <c r="J3502">
        <v>2762368274</v>
      </c>
      <c r="K3502">
        <v>2434339441</v>
      </c>
      <c r="L3502">
        <v>1939906627</v>
      </c>
      <c r="M3502">
        <v>1703404494</v>
      </c>
      <c r="N3502">
        <v>1269476063</v>
      </c>
      <c r="O3502">
        <v>812238702</v>
      </c>
      <c r="P3502">
        <v>68</v>
      </c>
      <c r="Q3502" t="s">
        <v>7350</v>
      </c>
    </row>
    <row r="3503" spans="1:17" x14ac:dyDescent="0.3">
      <c r="A3503" t="s">
        <v>4729</v>
      </c>
      <c r="B3503" t="str">
        <f>"002782"</f>
        <v>002782</v>
      </c>
      <c r="C3503" t="s">
        <v>7351</v>
      </c>
      <c r="D3503" t="s">
        <v>313</v>
      </c>
      <c r="F3503">
        <v>493273015</v>
      </c>
      <c r="G3503">
        <v>313876329</v>
      </c>
      <c r="H3503">
        <v>340350079</v>
      </c>
      <c r="I3503">
        <v>272477225</v>
      </c>
      <c r="J3503">
        <v>250005999</v>
      </c>
      <c r="K3503">
        <v>214531514</v>
      </c>
      <c r="L3503">
        <v>200426194</v>
      </c>
      <c r="M3503">
        <v>196940737</v>
      </c>
      <c r="N3503">
        <v>166502392</v>
      </c>
      <c r="O3503">
        <v>130437226</v>
      </c>
      <c r="P3503">
        <v>167</v>
      </c>
      <c r="Q3503" t="s">
        <v>7352</v>
      </c>
    </row>
    <row r="3504" spans="1:17" x14ac:dyDescent="0.3">
      <c r="A3504" t="s">
        <v>4729</v>
      </c>
      <c r="B3504" t="str">
        <f>"002783"</f>
        <v>002783</v>
      </c>
      <c r="C3504" t="s">
        <v>7353</v>
      </c>
      <c r="D3504" t="s">
        <v>2736</v>
      </c>
      <c r="F3504">
        <v>469645530</v>
      </c>
      <c r="G3504">
        <v>409461685</v>
      </c>
      <c r="H3504">
        <v>247980435</v>
      </c>
      <c r="I3504">
        <v>234105088</v>
      </c>
      <c r="J3504">
        <v>181836549</v>
      </c>
      <c r="K3504">
        <v>150672251</v>
      </c>
      <c r="L3504">
        <v>107548589</v>
      </c>
      <c r="M3504">
        <v>83613782</v>
      </c>
      <c r="N3504">
        <v>65278808</v>
      </c>
      <c r="O3504">
        <v>75652384</v>
      </c>
      <c r="P3504">
        <v>112</v>
      </c>
      <c r="Q3504" t="s">
        <v>7354</v>
      </c>
    </row>
    <row r="3505" spans="1:17" x14ac:dyDescent="0.3">
      <c r="A3505" t="s">
        <v>4729</v>
      </c>
      <c r="B3505" t="str">
        <f>"002785"</f>
        <v>002785</v>
      </c>
      <c r="C3505" t="s">
        <v>7355</v>
      </c>
      <c r="D3505" t="s">
        <v>722</v>
      </c>
      <c r="F3505">
        <v>614414726</v>
      </c>
      <c r="G3505">
        <v>613523030</v>
      </c>
      <c r="H3505">
        <v>656337572</v>
      </c>
      <c r="I3505">
        <v>628564885</v>
      </c>
      <c r="J3505">
        <v>551226890</v>
      </c>
      <c r="K3505">
        <v>518949194</v>
      </c>
      <c r="L3505">
        <v>431524983</v>
      </c>
      <c r="M3505">
        <v>369956295</v>
      </c>
      <c r="N3505">
        <v>365586407</v>
      </c>
      <c r="O3505">
        <v>329521959</v>
      </c>
      <c r="P3505">
        <v>57</v>
      </c>
      <c r="Q3505" t="s">
        <v>7356</v>
      </c>
    </row>
    <row r="3506" spans="1:17" x14ac:dyDescent="0.3">
      <c r="A3506" t="s">
        <v>4729</v>
      </c>
      <c r="B3506" t="str">
        <f>"002786"</f>
        <v>002786</v>
      </c>
      <c r="C3506" t="s">
        <v>7357</v>
      </c>
      <c r="D3506" t="s">
        <v>741</v>
      </c>
      <c r="F3506">
        <v>558140739</v>
      </c>
      <c r="G3506">
        <v>639901084</v>
      </c>
      <c r="H3506">
        <v>526052645</v>
      </c>
      <c r="I3506">
        <v>788367561</v>
      </c>
      <c r="J3506">
        <v>833402259</v>
      </c>
      <c r="K3506">
        <v>623673244</v>
      </c>
      <c r="L3506">
        <v>620717320</v>
      </c>
      <c r="M3506">
        <v>346679389</v>
      </c>
      <c r="N3506">
        <v>289462093</v>
      </c>
      <c r="O3506">
        <v>244267462</v>
      </c>
      <c r="P3506">
        <v>176</v>
      </c>
      <c r="Q3506" t="s">
        <v>7358</v>
      </c>
    </row>
    <row r="3507" spans="1:17" x14ac:dyDescent="0.3">
      <c r="A3507" t="s">
        <v>4729</v>
      </c>
      <c r="B3507" t="str">
        <f>"002787"</f>
        <v>002787</v>
      </c>
      <c r="C3507" t="s">
        <v>7359</v>
      </c>
      <c r="D3507" t="s">
        <v>2373</v>
      </c>
      <c r="F3507">
        <v>507923118</v>
      </c>
      <c r="G3507">
        <v>440713267</v>
      </c>
      <c r="H3507">
        <v>422746495</v>
      </c>
      <c r="I3507">
        <v>391524720</v>
      </c>
      <c r="J3507">
        <v>156762304</v>
      </c>
      <c r="K3507">
        <v>248255012</v>
      </c>
      <c r="L3507">
        <v>214704797</v>
      </c>
      <c r="M3507">
        <v>213499539</v>
      </c>
      <c r="N3507">
        <v>232041963</v>
      </c>
      <c r="O3507">
        <v>134557463</v>
      </c>
      <c r="P3507">
        <v>102</v>
      </c>
      <c r="Q3507" t="s">
        <v>7360</v>
      </c>
    </row>
    <row r="3508" spans="1:17" x14ac:dyDescent="0.3">
      <c r="A3508" t="s">
        <v>4729</v>
      </c>
      <c r="B3508" t="str">
        <f>"002788"</f>
        <v>002788</v>
      </c>
      <c r="C3508" t="s">
        <v>7361</v>
      </c>
      <c r="D3508" t="s">
        <v>125</v>
      </c>
      <c r="F3508">
        <v>5062496026</v>
      </c>
      <c r="G3508">
        <v>3920122107</v>
      </c>
      <c r="H3508">
        <v>3565584736</v>
      </c>
      <c r="I3508">
        <v>2786584374</v>
      </c>
      <c r="J3508">
        <v>2203639940</v>
      </c>
      <c r="K3508">
        <v>1566523859</v>
      </c>
      <c r="L3508">
        <v>1776580032</v>
      </c>
      <c r="M3508">
        <v>1642879825</v>
      </c>
      <c r="N3508">
        <v>1499427986</v>
      </c>
      <c r="O3508">
        <v>1222626597</v>
      </c>
      <c r="P3508">
        <v>162</v>
      </c>
      <c r="Q3508" t="s">
        <v>7362</v>
      </c>
    </row>
    <row r="3509" spans="1:17" x14ac:dyDescent="0.3">
      <c r="A3509" t="s">
        <v>4729</v>
      </c>
      <c r="B3509" t="str">
        <f>"002789"</f>
        <v>002789</v>
      </c>
      <c r="C3509" t="s">
        <v>7363</v>
      </c>
      <c r="D3509" t="s">
        <v>450</v>
      </c>
      <c r="F3509">
        <v>1761117885</v>
      </c>
      <c r="G3509">
        <v>2042262862</v>
      </c>
      <c r="H3509">
        <v>2200928826</v>
      </c>
      <c r="I3509">
        <v>1617193435</v>
      </c>
      <c r="J3509">
        <v>1574916388</v>
      </c>
      <c r="K3509">
        <v>1228882166</v>
      </c>
      <c r="L3509">
        <v>1037760341</v>
      </c>
      <c r="M3509">
        <v>817074244</v>
      </c>
      <c r="N3509">
        <v>595875634</v>
      </c>
      <c r="O3509">
        <v>416860585</v>
      </c>
      <c r="P3509">
        <v>57</v>
      </c>
      <c r="Q3509" t="s">
        <v>7364</v>
      </c>
    </row>
    <row r="3510" spans="1:17" x14ac:dyDescent="0.3">
      <c r="A3510" t="s">
        <v>4729</v>
      </c>
      <c r="B3510" t="str">
        <f>"002790"</f>
        <v>002790</v>
      </c>
      <c r="C3510" t="s">
        <v>7365</v>
      </c>
      <c r="D3510" t="s">
        <v>2912</v>
      </c>
      <c r="F3510">
        <v>467978198</v>
      </c>
      <c r="G3510">
        <v>357194998</v>
      </c>
      <c r="H3510">
        <v>249772987</v>
      </c>
      <c r="I3510">
        <v>193794243</v>
      </c>
      <c r="J3510">
        <v>169585521</v>
      </c>
      <c r="K3510">
        <v>122336428</v>
      </c>
      <c r="L3510">
        <v>119366381</v>
      </c>
      <c r="M3510">
        <v>108555831</v>
      </c>
      <c r="N3510">
        <v>67625492</v>
      </c>
      <c r="O3510">
        <v>74015587</v>
      </c>
      <c r="P3510">
        <v>138</v>
      </c>
      <c r="Q3510" t="s">
        <v>7366</v>
      </c>
    </row>
    <row r="3511" spans="1:17" x14ac:dyDescent="0.3">
      <c r="A3511" t="s">
        <v>4729</v>
      </c>
      <c r="B3511" t="str">
        <f>"002791"</f>
        <v>002791</v>
      </c>
      <c r="C3511" t="s">
        <v>7367</v>
      </c>
      <c r="D3511" t="s">
        <v>722</v>
      </c>
      <c r="F3511">
        <v>3428536730</v>
      </c>
      <c r="G3511">
        <v>1766395582</v>
      </c>
      <c r="H3511">
        <v>1212122481</v>
      </c>
      <c r="I3511">
        <v>996014320</v>
      </c>
      <c r="J3511">
        <v>786064901</v>
      </c>
      <c r="K3511">
        <v>550008107</v>
      </c>
      <c r="L3511">
        <v>475226140</v>
      </c>
      <c r="M3511">
        <v>363878777</v>
      </c>
      <c r="N3511">
        <v>243985619</v>
      </c>
      <c r="O3511">
        <v>128644620</v>
      </c>
      <c r="P3511">
        <v>552</v>
      </c>
      <c r="Q3511" t="s">
        <v>7368</v>
      </c>
    </row>
    <row r="3512" spans="1:17" x14ac:dyDescent="0.3">
      <c r="A3512" t="s">
        <v>4729</v>
      </c>
      <c r="B3512" t="str">
        <f>"002792"</f>
        <v>002792</v>
      </c>
      <c r="C3512" t="s">
        <v>7369</v>
      </c>
      <c r="D3512" t="s">
        <v>1019</v>
      </c>
      <c r="F3512">
        <v>574780505</v>
      </c>
      <c r="G3512">
        <v>578964608</v>
      </c>
      <c r="H3512">
        <v>659681304</v>
      </c>
      <c r="I3512">
        <v>605910034</v>
      </c>
      <c r="J3512">
        <v>506977110</v>
      </c>
      <c r="K3512">
        <v>413020705</v>
      </c>
      <c r="L3512">
        <v>454765163</v>
      </c>
      <c r="M3512">
        <v>444710514</v>
      </c>
      <c r="N3512">
        <v>270484531</v>
      </c>
      <c r="O3512">
        <v>172581803</v>
      </c>
      <c r="P3512">
        <v>343</v>
      </c>
      <c r="Q3512" t="s">
        <v>7370</v>
      </c>
    </row>
    <row r="3513" spans="1:17" x14ac:dyDescent="0.3">
      <c r="A3513" t="s">
        <v>4729</v>
      </c>
      <c r="B3513" t="str">
        <f>"002793"</f>
        <v>002793</v>
      </c>
      <c r="C3513" t="s">
        <v>7371</v>
      </c>
      <c r="D3513" t="s">
        <v>143</v>
      </c>
      <c r="F3513">
        <v>3133838242</v>
      </c>
      <c r="G3513">
        <v>2519019684</v>
      </c>
      <c r="H3513">
        <v>2040545168</v>
      </c>
      <c r="I3513">
        <v>165919152</v>
      </c>
      <c r="J3513">
        <v>129295332</v>
      </c>
      <c r="K3513">
        <v>106343888</v>
      </c>
      <c r="L3513">
        <v>113263317</v>
      </c>
      <c r="M3513">
        <v>84798981</v>
      </c>
      <c r="N3513">
        <v>63674617</v>
      </c>
      <c r="P3513">
        <v>213</v>
      </c>
      <c r="Q3513" t="s">
        <v>7372</v>
      </c>
    </row>
    <row r="3514" spans="1:17" x14ac:dyDescent="0.3">
      <c r="A3514" t="s">
        <v>4729</v>
      </c>
      <c r="B3514" t="str">
        <f>"002795"</f>
        <v>002795</v>
      </c>
      <c r="C3514" t="s">
        <v>7373</v>
      </c>
      <c r="D3514" t="s">
        <v>274</v>
      </c>
      <c r="F3514">
        <v>177882962</v>
      </c>
      <c r="G3514">
        <v>119758748</v>
      </c>
      <c r="H3514">
        <v>105762919</v>
      </c>
      <c r="I3514">
        <v>110170895</v>
      </c>
      <c r="J3514">
        <v>143166428</v>
      </c>
      <c r="K3514">
        <v>110714612</v>
      </c>
      <c r="L3514">
        <v>116915800</v>
      </c>
      <c r="M3514">
        <v>78681416</v>
      </c>
      <c r="N3514">
        <v>88045827</v>
      </c>
      <c r="P3514">
        <v>73</v>
      </c>
      <c r="Q3514" t="s">
        <v>7374</v>
      </c>
    </row>
    <row r="3515" spans="1:17" x14ac:dyDescent="0.3">
      <c r="A3515" t="s">
        <v>4729</v>
      </c>
      <c r="B3515" t="str">
        <f>"002796"</f>
        <v>002796</v>
      </c>
      <c r="C3515" t="s">
        <v>7375</v>
      </c>
      <c r="D3515" t="s">
        <v>1691</v>
      </c>
      <c r="F3515">
        <v>247630574</v>
      </c>
      <c r="G3515">
        <v>203452191</v>
      </c>
      <c r="H3515">
        <v>290691484</v>
      </c>
      <c r="I3515">
        <v>259991502</v>
      </c>
      <c r="J3515">
        <v>106564406</v>
      </c>
      <c r="K3515">
        <v>99207259</v>
      </c>
      <c r="L3515">
        <v>78806789</v>
      </c>
      <c r="M3515">
        <v>52952125</v>
      </c>
      <c r="N3515">
        <v>46717579</v>
      </c>
      <c r="P3515">
        <v>248</v>
      </c>
      <c r="Q3515" t="s">
        <v>7376</v>
      </c>
    </row>
    <row r="3516" spans="1:17" x14ac:dyDescent="0.3">
      <c r="A3516" t="s">
        <v>4729</v>
      </c>
      <c r="B3516" t="str">
        <f>"002797"</f>
        <v>002797</v>
      </c>
      <c r="C3516" t="s">
        <v>7377</v>
      </c>
      <c r="D3516" t="s">
        <v>80</v>
      </c>
      <c r="F3516">
        <v>286368112</v>
      </c>
      <c r="G3516">
        <v>269404298</v>
      </c>
      <c r="H3516">
        <v>329884347</v>
      </c>
      <c r="I3516">
        <v>288851222</v>
      </c>
      <c r="J3516">
        <v>477766766</v>
      </c>
      <c r="K3516">
        <v>341186004</v>
      </c>
      <c r="L3516">
        <v>0</v>
      </c>
      <c r="M3516">
        <v>0</v>
      </c>
      <c r="N3516">
        <v>0</v>
      </c>
      <c r="O3516">
        <v>22676122.02</v>
      </c>
      <c r="P3516">
        <v>838</v>
      </c>
      <c r="Q3516" t="s">
        <v>7378</v>
      </c>
    </row>
    <row r="3517" spans="1:17" x14ac:dyDescent="0.3">
      <c r="A3517" t="s">
        <v>4729</v>
      </c>
      <c r="B3517" t="str">
        <f>"002798"</f>
        <v>002798</v>
      </c>
      <c r="C3517" t="s">
        <v>7379</v>
      </c>
      <c r="D3517" t="s">
        <v>178</v>
      </c>
      <c r="F3517">
        <v>3341929799</v>
      </c>
      <c r="G3517">
        <v>3024057191</v>
      </c>
      <c r="H3517">
        <v>2345889106</v>
      </c>
      <c r="I3517">
        <v>1506833937</v>
      </c>
      <c r="J3517">
        <v>85785638</v>
      </c>
      <c r="K3517">
        <v>104298438</v>
      </c>
      <c r="L3517">
        <v>74017387</v>
      </c>
      <c r="M3517">
        <v>78031348</v>
      </c>
      <c r="N3517">
        <v>43805245</v>
      </c>
      <c r="P3517">
        <v>374</v>
      </c>
      <c r="Q3517" t="s">
        <v>7380</v>
      </c>
    </row>
    <row r="3518" spans="1:17" x14ac:dyDescent="0.3">
      <c r="A3518" t="s">
        <v>4729</v>
      </c>
      <c r="B3518" t="str">
        <f>"002799"</f>
        <v>002799</v>
      </c>
      <c r="C3518" t="s">
        <v>7381</v>
      </c>
      <c r="D3518" t="s">
        <v>2165</v>
      </c>
      <c r="F3518">
        <v>284447428</v>
      </c>
      <c r="G3518">
        <v>287169493</v>
      </c>
      <c r="H3518">
        <v>289612773</v>
      </c>
      <c r="I3518">
        <v>156727390</v>
      </c>
      <c r="J3518">
        <v>124268146</v>
      </c>
      <c r="K3518">
        <v>121803634</v>
      </c>
      <c r="L3518">
        <v>117068599</v>
      </c>
      <c r="M3518">
        <v>107531102</v>
      </c>
      <c r="N3518">
        <v>104149416</v>
      </c>
      <c r="P3518">
        <v>109</v>
      </c>
      <c r="Q3518" t="s">
        <v>7382</v>
      </c>
    </row>
    <row r="3519" spans="1:17" x14ac:dyDescent="0.3">
      <c r="A3519" t="s">
        <v>4729</v>
      </c>
      <c r="B3519" t="str">
        <f>"002800"</f>
        <v>002800</v>
      </c>
      <c r="C3519" t="s">
        <v>7383</v>
      </c>
      <c r="D3519" t="s">
        <v>2503</v>
      </c>
      <c r="F3519">
        <v>296018425</v>
      </c>
      <c r="G3519">
        <v>274098391</v>
      </c>
      <c r="H3519">
        <v>228509984</v>
      </c>
      <c r="I3519">
        <v>226784934</v>
      </c>
      <c r="J3519">
        <v>187144295</v>
      </c>
      <c r="K3519">
        <v>223195480</v>
      </c>
      <c r="L3519">
        <v>155825994</v>
      </c>
      <c r="M3519">
        <v>137882240</v>
      </c>
      <c r="N3519">
        <v>84327628</v>
      </c>
      <c r="P3519">
        <v>86</v>
      </c>
      <c r="Q3519" t="s">
        <v>7384</v>
      </c>
    </row>
    <row r="3520" spans="1:17" x14ac:dyDescent="0.3">
      <c r="A3520" t="s">
        <v>4729</v>
      </c>
      <c r="B3520" t="str">
        <f>"002801"</f>
        <v>002801</v>
      </c>
      <c r="C3520" t="s">
        <v>7385</v>
      </c>
      <c r="D3520" t="s">
        <v>1171</v>
      </c>
      <c r="F3520">
        <v>173038361</v>
      </c>
      <c r="G3520">
        <v>170505580</v>
      </c>
      <c r="H3520">
        <v>171090884</v>
      </c>
      <c r="I3520">
        <v>166589246</v>
      </c>
      <c r="J3520">
        <v>101544012</v>
      </c>
      <c r="K3520">
        <v>80873208</v>
      </c>
      <c r="L3520">
        <v>78262596</v>
      </c>
      <c r="M3520">
        <v>68350120</v>
      </c>
      <c r="N3520">
        <v>56800384</v>
      </c>
      <c r="P3520">
        <v>201</v>
      </c>
      <c r="Q3520" t="s">
        <v>7386</v>
      </c>
    </row>
    <row r="3521" spans="1:17" x14ac:dyDescent="0.3">
      <c r="A3521" t="s">
        <v>4729</v>
      </c>
      <c r="B3521" t="str">
        <f>"002802"</f>
        <v>002802</v>
      </c>
      <c r="C3521" t="s">
        <v>7387</v>
      </c>
      <c r="D3521" t="s">
        <v>386</v>
      </c>
      <c r="F3521">
        <v>94859570</v>
      </c>
      <c r="G3521">
        <v>94928338</v>
      </c>
      <c r="H3521">
        <v>76548982</v>
      </c>
      <c r="I3521">
        <v>73790266</v>
      </c>
      <c r="J3521">
        <v>49544709</v>
      </c>
      <c r="K3521">
        <v>41921915</v>
      </c>
      <c r="L3521">
        <v>33315336</v>
      </c>
      <c r="M3521">
        <v>30268952</v>
      </c>
      <c r="N3521">
        <v>31824272</v>
      </c>
      <c r="P3521">
        <v>102</v>
      </c>
      <c r="Q3521" t="s">
        <v>7388</v>
      </c>
    </row>
    <row r="3522" spans="1:17" x14ac:dyDescent="0.3">
      <c r="A3522" t="s">
        <v>4729</v>
      </c>
      <c r="B3522" t="str">
        <f>"002803"</f>
        <v>002803</v>
      </c>
      <c r="C3522" t="s">
        <v>7389</v>
      </c>
      <c r="D3522" t="s">
        <v>2020</v>
      </c>
      <c r="F3522">
        <v>425685911</v>
      </c>
      <c r="G3522">
        <v>476602850</v>
      </c>
      <c r="H3522">
        <v>456749539</v>
      </c>
      <c r="I3522">
        <v>343892254</v>
      </c>
      <c r="J3522">
        <v>196142572</v>
      </c>
      <c r="K3522">
        <v>117135261</v>
      </c>
      <c r="L3522">
        <v>143940612</v>
      </c>
      <c r="M3522">
        <v>111881911</v>
      </c>
      <c r="N3522">
        <v>87355591</v>
      </c>
      <c r="P3522">
        <v>601</v>
      </c>
      <c r="Q3522" t="s">
        <v>7390</v>
      </c>
    </row>
    <row r="3523" spans="1:17" x14ac:dyDescent="0.3">
      <c r="A3523" t="s">
        <v>4729</v>
      </c>
      <c r="B3523" t="str">
        <f>"002805"</f>
        <v>002805</v>
      </c>
      <c r="C3523" t="s">
        <v>7391</v>
      </c>
      <c r="D3523" t="s">
        <v>1233</v>
      </c>
      <c r="F3523">
        <v>347619304</v>
      </c>
      <c r="G3523">
        <v>143723658</v>
      </c>
      <c r="H3523">
        <v>149850738</v>
      </c>
      <c r="I3523">
        <v>69283549</v>
      </c>
      <c r="J3523">
        <v>71924123</v>
      </c>
      <c r="K3523">
        <v>84339951</v>
      </c>
      <c r="L3523">
        <v>55378667</v>
      </c>
      <c r="M3523">
        <v>53693159</v>
      </c>
      <c r="N3523">
        <v>45971928</v>
      </c>
      <c r="P3523">
        <v>113</v>
      </c>
      <c r="Q3523" t="s">
        <v>7392</v>
      </c>
    </row>
    <row r="3524" spans="1:17" x14ac:dyDescent="0.3">
      <c r="A3524" t="s">
        <v>4729</v>
      </c>
      <c r="B3524" t="str">
        <f>"002806"</f>
        <v>002806</v>
      </c>
      <c r="C3524" t="s">
        <v>7393</v>
      </c>
      <c r="D3524" t="s">
        <v>504</v>
      </c>
      <c r="F3524">
        <v>277685644</v>
      </c>
      <c r="G3524">
        <v>233998317</v>
      </c>
      <c r="H3524">
        <v>412033862</v>
      </c>
      <c r="I3524">
        <v>326895970</v>
      </c>
      <c r="J3524">
        <v>138852261</v>
      </c>
      <c r="K3524">
        <v>153249105</v>
      </c>
      <c r="L3524">
        <v>112752745</v>
      </c>
      <c r="M3524">
        <v>97614613</v>
      </c>
      <c r="N3524">
        <v>99090362</v>
      </c>
      <c r="P3524">
        <v>100</v>
      </c>
      <c r="Q3524" t="s">
        <v>7394</v>
      </c>
    </row>
    <row r="3525" spans="1:17" x14ac:dyDescent="0.3">
      <c r="A3525" t="s">
        <v>4729</v>
      </c>
      <c r="B3525" t="str">
        <f>"002807"</f>
        <v>002807</v>
      </c>
      <c r="C3525" t="s">
        <v>7395</v>
      </c>
      <c r="D3525" t="s">
        <v>1831</v>
      </c>
      <c r="P3525">
        <v>571</v>
      </c>
      <c r="Q3525" t="s">
        <v>7396</v>
      </c>
    </row>
    <row r="3526" spans="1:17" x14ac:dyDescent="0.3">
      <c r="A3526" t="s">
        <v>4729</v>
      </c>
      <c r="B3526" t="str">
        <f>"002808"</f>
        <v>002808</v>
      </c>
      <c r="C3526" t="s">
        <v>7397</v>
      </c>
      <c r="D3526" t="s">
        <v>164</v>
      </c>
      <c r="F3526">
        <v>103552191</v>
      </c>
      <c r="G3526">
        <v>128851440</v>
      </c>
      <c r="H3526">
        <v>171472616</v>
      </c>
      <c r="I3526">
        <v>115708366</v>
      </c>
      <c r="J3526">
        <v>74362327</v>
      </c>
      <c r="K3526">
        <v>72149865</v>
      </c>
      <c r="L3526">
        <v>50826365</v>
      </c>
      <c r="M3526">
        <v>31070026</v>
      </c>
      <c r="N3526">
        <v>25744645</v>
      </c>
      <c r="P3526">
        <v>73</v>
      </c>
      <c r="Q3526" t="s">
        <v>7398</v>
      </c>
    </row>
    <row r="3527" spans="1:17" x14ac:dyDescent="0.3">
      <c r="A3527" t="s">
        <v>4729</v>
      </c>
      <c r="B3527" t="str">
        <f>"002809"</f>
        <v>002809</v>
      </c>
      <c r="C3527" t="s">
        <v>7399</v>
      </c>
      <c r="D3527" t="s">
        <v>386</v>
      </c>
      <c r="F3527">
        <v>1125372321</v>
      </c>
      <c r="G3527">
        <v>864794824</v>
      </c>
      <c r="H3527">
        <v>647696162</v>
      </c>
      <c r="I3527">
        <v>476440521</v>
      </c>
      <c r="J3527">
        <v>340099217</v>
      </c>
      <c r="K3527">
        <v>231306890</v>
      </c>
      <c r="L3527">
        <v>215237178</v>
      </c>
      <c r="M3527">
        <v>235184482</v>
      </c>
      <c r="N3527">
        <v>212768260</v>
      </c>
      <c r="P3527">
        <v>99</v>
      </c>
      <c r="Q3527" t="s">
        <v>7400</v>
      </c>
    </row>
    <row r="3528" spans="1:17" x14ac:dyDescent="0.3">
      <c r="A3528" t="s">
        <v>4729</v>
      </c>
      <c r="B3528" t="str">
        <f>"002810"</f>
        <v>002810</v>
      </c>
      <c r="C3528" t="s">
        <v>7401</v>
      </c>
      <c r="D3528" t="s">
        <v>386</v>
      </c>
      <c r="F3528">
        <v>298205660</v>
      </c>
      <c r="G3528">
        <v>219188926</v>
      </c>
      <c r="H3528">
        <v>204937002</v>
      </c>
      <c r="I3528">
        <v>179060888</v>
      </c>
      <c r="J3528">
        <v>121648057</v>
      </c>
      <c r="K3528">
        <v>107959998</v>
      </c>
      <c r="L3528">
        <v>82646997</v>
      </c>
      <c r="M3528">
        <v>68879474</v>
      </c>
      <c r="N3528">
        <v>40846003</v>
      </c>
      <c r="P3528">
        <v>419</v>
      </c>
      <c r="Q3528" t="s">
        <v>7402</v>
      </c>
    </row>
    <row r="3529" spans="1:17" x14ac:dyDescent="0.3">
      <c r="A3529" t="s">
        <v>4729</v>
      </c>
      <c r="B3529" t="str">
        <f>"002811"</f>
        <v>002811</v>
      </c>
      <c r="C3529" t="s">
        <v>7403</v>
      </c>
      <c r="D3529" t="s">
        <v>450</v>
      </c>
      <c r="F3529">
        <v>338990360</v>
      </c>
      <c r="G3529">
        <v>303370204</v>
      </c>
      <c r="H3529">
        <v>1730602448</v>
      </c>
      <c r="I3529">
        <v>1581964595</v>
      </c>
      <c r="J3529">
        <v>1551285589</v>
      </c>
      <c r="K3529">
        <v>1409571623</v>
      </c>
      <c r="L3529">
        <v>1096283268</v>
      </c>
      <c r="M3529">
        <v>958994127</v>
      </c>
      <c r="N3529">
        <v>647835261</v>
      </c>
      <c r="P3529">
        <v>95</v>
      </c>
      <c r="Q3529" t="s">
        <v>7404</v>
      </c>
    </row>
    <row r="3530" spans="1:17" x14ac:dyDescent="0.3">
      <c r="A3530" t="s">
        <v>4729</v>
      </c>
      <c r="B3530" t="str">
        <f>"002812"</f>
        <v>002812</v>
      </c>
      <c r="C3530" t="s">
        <v>7405</v>
      </c>
      <c r="D3530" t="s">
        <v>1790</v>
      </c>
      <c r="F3530">
        <v>4405436086</v>
      </c>
      <c r="G3530">
        <v>2328215706</v>
      </c>
      <c r="H3530">
        <v>1424354132</v>
      </c>
      <c r="I3530">
        <v>1230782697</v>
      </c>
      <c r="J3530">
        <v>428083935</v>
      </c>
      <c r="K3530">
        <v>383036254</v>
      </c>
      <c r="L3530">
        <v>303296858</v>
      </c>
      <c r="M3530">
        <v>250075790</v>
      </c>
      <c r="N3530">
        <v>212201515</v>
      </c>
      <c r="P3530">
        <v>1583</v>
      </c>
      <c r="Q3530" t="s">
        <v>7406</v>
      </c>
    </row>
    <row r="3531" spans="1:17" x14ac:dyDescent="0.3">
      <c r="A3531" t="s">
        <v>4729</v>
      </c>
      <c r="B3531" t="str">
        <f>"002813"</f>
        <v>002813</v>
      </c>
      <c r="C3531" t="s">
        <v>7407</v>
      </c>
      <c r="D3531" t="s">
        <v>1415</v>
      </c>
      <c r="F3531">
        <v>58415079</v>
      </c>
      <c r="G3531">
        <v>64475849</v>
      </c>
      <c r="H3531">
        <v>233571615</v>
      </c>
      <c r="I3531">
        <v>300077114</v>
      </c>
      <c r="J3531">
        <v>310394338</v>
      </c>
      <c r="K3531">
        <v>227524905</v>
      </c>
      <c r="L3531">
        <v>111985209</v>
      </c>
      <c r="M3531">
        <v>72388962</v>
      </c>
      <c r="N3531">
        <v>59148941</v>
      </c>
      <c r="P3531">
        <v>113</v>
      </c>
      <c r="Q3531" t="s">
        <v>7408</v>
      </c>
    </row>
    <row r="3532" spans="1:17" x14ac:dyDescent="0.3">
      <c r="A3532" t="s">
        <v>4729</v>
      </c>
      <c r="B3532" t="str">
        <f>"002815"</f>
        <v>002815</v>
      </c>
      <c r="C3532" t="s">
        <v>7409</v>
      </c>
      <c r="D3532" t="s">
        <v>425</v>
      </c>
      <c r="F3532">
        <v>1319346381</v>
      </c>
      <c r="G3532">
        <v>938839697</v>
      </c>
      <c r="H3532">
        <v>761084782</v>
      </c>
      <c r="I3532">
        <v>716252095</v>
      </c>
      <c r="J3532">
        <v>651706245</v>
      </c>
      <c r="K3532">
        <v>514236006</v>
      </c>
      <c r="L3532">
        <v>363230566</v>
      </c>
      <c r="M3532">
        <v>318245285</v>
      </c>
      <c r="N3532">
        <v>240411303</v>
      </c>
      <c r="P3532">
        <v>919</v>
      </c>
      <c r="Q3532" t="s">
        <v>7410</v>
      </c>
    </row>
    <row r="3533" spans="1:17" x14ac:dyDescent="0.3">
      <c r="A3533" t="s">
        <v>4729</v>
      </c>
      <c r="B3533" t="str">
        <f>"002816"</f>
        <v>002816</v>
      </c>
      <c r="C3533" t="s">
        <v>7411</v>
      </c>
      <c r="D3533" t="s">
        <v>741</v>
      </c>
      <c r="F3533">
        <v>156209408</v>
      </c>
      <c r="G3533">
        <v>146579306</v>
      </c>
      <c r="H3533">
        <v>155294886</v>
      </c>
      <c r="I3533">
        <v>259173990</v>
      </c>
      <c r="J3533">
        <v>262941313</v>
      </c>
      <c r="K3533">
        <v>228126363</v>
      </c>
      <c r="L3533">
        <v>188530154</v>
      </c>
      <c r="M3533">
        <v>205221351</v>
      </c>
      <c r="N3533">
        <v>152139463</v>
      </c>
      <c r="P3533">
        <v>46</v>
      </c>
      <c r="Q3533" t="s">
        <v>7412</v>
      </c>
    </row>
    <row r="3534" spans="1:17" x14ac:dyDescent="0.3">
      <c r="A3534" t="s">
        <v>4729</v>
      </c>
      <c r="B3534" t="str">
        <f>"002817"</f>
        <v>002817</v>
      </c>
      <c r="C3534" t="s">
        <v>7413</v>
      </c>
      <c r="D3534" t="s">
        <v>1077</v>
      </c>
      <c r="F3534">
        <v>80999748</v>
      </c>
      <c r="G3534">
        <v>81501807</v>
      </c>
      <c r="H3534">
        <v>68858912</v>
      </c>
      <c r="I3534">
        <v>68238533</v>
      </c>
      <c r="J3534">
        <v>56342572</v>
      </c>
      <c r="K3534">
        <v>53868573</v>
      </c>
      <c r="L3534">
        <v>39858665</v>
      </c>
      <c r="M3534">
        <v>42399910</v>
      </c>
      <c r="N3534">
        <v>37684866</v>
      </c>
      <c r="P3534">
        <v>126</v>
      </c>
      <c r="Q3534" t="s">
        <v>7414</v>
      </c>
    </row>
    <row r="3535" spans="1:17" x14ac:dyDescent="0.3">
      <c r="A3535" t="s">
        <v>4729</v>
      </c>
      <c r="B3535" t="str">
        <f>"002818"</f>
        <v>002818</v>
      </c>
      <c r="C3535" t="s">
        <v>7415</v>
      </c>
      <c r="D3535" t="s">
        <v>271</v>
      </c>
      <c r="F3535">
        <v>25214181</v>
      </c>
      <c r="G3535">
        <v>15709413</v>
      </c>
      <c r="H3535">
        <v>29151433</v>
      </c>
      <c r="I3535">
        <v>4646916</v>
      </c>
      <c r="J3535">
        <v>1346886</v>
      </c>
      <c r="K3535">
        <v>326134</v>
      </c>
      <c r="L3535">
        <v>140109</v>
      </c>
      <c r="M3535">
        <v>364646</v>
      </c>
      <c r="N3535">
        <v>823694</v>
      </c>
      <c r="P3535">
        <v>868</v>
      </c>
      <c r="Q3535" t="s">
        <v>7416</v>
      </c>
    </row>
    <row r="3536" spans="1:17" x14ac:dyDescent="0.3">
      <c r="A3536" t="s">
        <v>4729</v>
      </c>
      <c r="B3536" t="str">
        <f>"002819"</f>
        <v>002819</v>
      </c>
      <c r="C3536" t="s">
        <v>7417</v>
      </c>
      <c r="D3536" t="s">
        <v>2566</v>
      </c>
      <c r="F3536">
        <v>742169391</v>
      </c>
      <c r="G3536">
        <v>160708671</v>
      </c>
      <c r="H3536">
        <v>137667488</v>
      </c>
      <c r="I3536">
        <v>134496832</v>
      </c>
      <c r="J3536">
        <v>111049974</v>
      </c>
      <c r="K3536">
        <v>104302122</v>
      </c>
      <c r="L3536">
        <v>72842881</v>
      </c>
      <c r="M3536">
        <v>72970316</v>
      </c>
      <c r="N3536">
        <v>86571571</v>
      </c>
      <c r="P3536">
        <v>139</v>
      </c>
      <c r="Q3536" t="s">
        <v>7418</v>
      </c>
    </row>
    <row r="3537" spans="1:17" x14ac:dyDescent="0.3">
      <c r="A3537" t="s">
        <v>4729</v>
      </c>
      <c r="B3537" t="str">
        <f>"002820"</f>
        <v>002820</v>
      </c>
      <c r="C3537" t="s">
        <v>7419</v>
      </c>
      <c r="D3537" t="s">
        <v>2488</v>
      </c>
      <c r="F3537">
        <v>15062558</v>
      </c>
      <c r="G3537">
        <v>15562877</v>
      </c>
      <c r="H3537">
        <v>22858799</v>
      </c>
      <c r="I3537">
        <v>24991327</v>
      </c>
      <c r="J3537">
        <v>25782812</v>
      </c>
      <c r="K3537">
        <v>17885327</v>
      </c>
      <c r="L3537">
        <v>17297063</v>
      </c>
      <c r="M3537">
        <v>17707960</v>
      </c>
      <c r="N3537">
        <v>23178459</v>
      </c>
      <c r="P3537">
        <v>146</v>
      </c>
      <c r="Q3537" t="s">
        <v>7420</v>
      </c>
    </row>
    <row r="3538" spans="1:17" x14ac:dyDescent="0.3">
      <c r="A3538" t="s">
        <v>4729</v>
      </c>
      <c r="B3538" t="str">
        <f>"002821"</f>
        <v>002821</v>
      </c>
      <c r="C3538" t="s">
        <v>7421</v>
      </c>
      <c r="D3538" t="s">
        <v>1461</v>
      </c>
      <c r="F3538">
        <v>1816200714</v>
      </c>
      <c r="G3538">
        <v>986113901</v>
      </c>
      <c r="H3538">
        <v>658505042</v>
      </c>
      <c r="I3538">
        <v>525239401</v>
      </c>
      <c r="J3538">
        <v>450609344</v>
      </c>
      <c r="K3538">
        <v>294939871</v>
      </c>
      <c r="L3538">
        <v>211945147</v>
      </c>
      <c r="M3538">
        <v>237199614</v>
      </c>
      <c r="N3538">
        <v>151691004</v>
      </c>
      <c r="P3538">
        <v>2412</v>
      </c>
      <c r="Q3538" t="s">
        <v>7422</v>
      </c>
    </row>
    <row r="3539" spans="1:17" x14ac:dyDescent="0.3">
      <c r="A3539" t="s">
        <v>4729</v>
      </c>
      <c r="B3539" t="str">
        <f>"002822"</f>
        <v>002822</v>
      </c>
      <c r="C3539" t="s">
        <v>7423</v>
      </c>
      <c r="D3539" t="s">
        <v>450</v>
      </c>
      <c r="F3539">
        <v>2565717249</v>
      </c>
      <c r="G3539">
        <v>2584765092</v>
      </c>
      <c r="H3539">
        <v>3555003769</v>
      </c>
      <c r="I3539">
        <v>2789106942</v>
      </c>
      <c r="J3539">
        <v>2338030746</v>
      </c>
      <c r="K3539">
        <v>1753029741</v>
      </c>
      <c r="L3539">
        <v>1422794068</v>
      </c>
      <c r="M3539">
        <v>1213867634</v>
      </c>
      <c r="N3539">
        <v>913053130</v>
      </c>
      <c r="P3539">
        <v>134</v>
      </c>
      <c r="Q3539" t="s">
        <v>7424</v>
      </c>
    </row>
    <row r="3540" spans="1:17" x14ac:dyDescent="0.3">
      <c r="A3540" t="s">
        <v>4729</v>
      </c>
      <c r="B3540" t="str">
        <f>"002823"</f>
        <v>002823</v>
      </c>
      <c r="C3540" t="s">
        <v>7425</v>
      </c>
      <c r="D3540" t="s">
        <v>1171</v>
      </c>
      <c r="F3540">
        <v>460709817</v>
      </c>
      <c r="G3540">
        <v>498834714</v>
      </c>
      <c r="H3540">
        <v>439529192</v>
      </c>
      <c r="I3540">
        <v>354186362</v>
      </c>
      <c r="J3540">
        <v>294590451</v>
      </c>
      <c r="K3540">
        <v>259366806</v>
      </c>
      <c r="L3540">
        <v>217078914</v>
      </c>
      <c r="M3540">
        <v>188983381</v>
      </c>
      <c r="N3540">
        <v>160913128</v>
      </c>
      <c r="P3540">
        <v>158</v>
      </c>
      <c r="Q3540" t="s">
        <v>7426</v>
      </c>
    </row>
    <row r="3541" spans="1:17" x14ac:dyDescent="0.3">
      <c r="A3541" t="s">
        <v>4729</v>
      </c>
      <c r="B3541" t="str">
        <f>"002824"</f>
        <v>002824</v>
      </c>
      <c r="C3541" t="s">
        <v>7427</v>
      </c>
      <c r="D3541" t="s">
        <v>504</v>
      </c>
      <c r="F3541">
        <v>843198192</v>
      </c>
      <c r="G3541">
        <v>468473736</v>
      </c>
      <c r="H3541">
        <v>361217070</v>
      </c>
      <c r="I3541">
        <v>287421894</v>
      </c>
      <c r="J3541">
        <v>172667427</v>
      </c>
      <c r="K3541">
        <v>160421042</v>
      </c>
      <c r="L3541">
        <v>114539690</v>
      </c>
      <c r="M3541">
        <v>100850784</v>
      </c>
      <c r="N3541">
        <v>91327071</v>
      </c>
      <c r="P3541">
        <v>167</v>
      </c>
      <c r="Q3541" t="s">
        <v>7428</v>
      </c>
    </row>
    <row r="3542" spans="1:17" x14ac:dyDescent="0.3">
      <c r="A3542" t="s">
        <v>4729</v>
      </c>
      <c r="B3542" t="str">
        <f>"002825"</f>
        <v>002825</v>
      </c>
      <c r="C3542" t="s">
        <v>7429</v>
      </c>
      <c r="D3542" t="s">
        <v>1192</v>
      </c>
      <c r="F3542">
        <v>203628344</v>
      </c>
      <c r="G3542">
        <v>136894803</v>
      </c>
      <c r="H3542">
        <v>140144818</v>
      </c>
      <c r="I3542">
        <v>72086499</v>
      </c>
      <c r="J3542">
        <v>62674565</v>
      </c>
      <c r="K3542">
        <v>51836764</v>
      </c>
      <c r="L3542">
        <v>49572065</v>
      </c>
      <c r="M3542">
        <v>35604411</v>
      </c>
      <c r="N3542">
        <v>31292108</v>
      </c>
      <c r="P3542">
        <v>100</v>
      </c>
      <c r="Q3542" t="s">
        <v>7430</v>
      </c>
    </row>
    <row r="3543" spans="1:17" x14ac:dyDescent="0.3">
      <c r="A3543" t="s">
        <v>4729</v>
      </c>
      <c r="B3543" t="str">
        <f>"002826"</f>
        <v>002826</v>
      </c>
      <c r="C3543" t="s">
        <v>7431</v>
      </c>
      <c r="D3543" t="s">
        <v>143</v>
      </c>
      <c r="F3543">
        <v>36622989</v>
      </c>
      <c r="G3543">
        <v>57891594</v>
      </c>
      <c r="H3543">
        <v>68433205</v>
      </c>
      <c r="I3543">
        <v>82581781</v>
      </c>
      <c r="J3543">
        <v>81225548</v>
      </c>
      <c r="K3543">
        <v>78845335</v>
      </c>
      <c r="L3543">
        <v>50558418</v>
      </c>
      <c r="M3543">
        <v>24743945</v>
      </c>
      <c r="N3543">
        <v>4547405</v>
      </c>
      <c r="P3543">
        <v>127</v>
      </c>
      <c r="Q3543" t="s">
        <v>7432</v>
      </c>
    </row>
    <row r="3544" spans="1:17" x14ac:dyDescent="0.3">
      <c r="A3544" t="s">
        <v>4729</v>
      </c>
      <c r="B3544" t="str">
        <f>"002827"</f>
        <v>002827</v>
      </c>
      <c r="C3544" t="s">
        <v>7433</v>
      </c>
      <c r="D3544" t="s">
        <v>2736</v>
      </c>
      <c r="F3544">
        <v>369704585</v>
      </c>
      <c r="G3544">
        <v>254873023</v>
      </c>
      <c r="H3544">
        <v>210487154</v>
      </c>
      <c r="I3544">
        <v>51273901</v>
      </c>
      <c r="J3544">
        <v>39181790</v>
      </c>
      <c r="K3544">
        <v>27536359</v>
      </c>
      <c r="L3544">
        <v>20741856</v>
      </c>
      <c r="M3544">
        <v>12147258</v>
      </c>
      <c r="N3544">
        <v>8493641</v>
      </c>
      <c r="P3544">
        <v>89</v>
      </c>
      <c r="Q3544" t="s">
        <v>7434</v>
      </c>
    </row>
    <row r="3545" spans="1:17" x14ac:dyDescent="0.3">
      <c r="A3545" t="s">
        <v>4729</v>
      </c>
      <c r="B3545" t="str">
        <f>"002828"</f>
        <v>002828</v>
      </c>
      <c r="C3545" t="s">
        <v>7435</v>
      </c>
      <c r="D3545" t="s">
        <v>1762</v>
      </c>
      <c r="F3545">
        <v>589198298</v>
      </c>
      <c r="G3545">
        <v>550555061</v>
      </c>
      <c r="H3545">
        <v>792643529</v>
      </c>
      <c r="I3545">
        <v>266676925</v>
      </c>
      <c r="J3545">
        <v>338442862</v>
      </c>
      <c r="K3545">
        <v>257346454</v>
      </c>
      <c r="L3545">
        <v>301062864</v>
      </c>
      <c r="M3545">
        <v>232511839</v>
      </c>
      <c r="N3545">
        <v>370264918</v>
      </c>
      <c r="P3545">
        <v>73</v>
      </c>
      <c r="Q3545" t="s">
        <v>7436</v>
      </c>
    </row>
    <row r="3546" spans="1:17" x14ac:dyDescent="0.3">
      <c r="A3546" t="s">
        <v>4729</v>
      </c>
      <c r="B3546" t="str">
        <f>"002829"</f>
        <v>002829</v>
      </c>
      <c r="C3546" t="s">
        <v>7437</v>
      </c>
      <c r="D3546" t="s">
        <v>284</v>
      </c>
      <c r="F3546">
        <v>413394183</v>
      </c>
      <c r="G3546">
        <v>334176645</v>
      </c>
      <c r="H3546">
        <v>324991828</v>
      </c>
      <c r="I3546">
        <v>393397627</v>
      </c>
      <c r="J3546">
        <v>303366554</v>
      </c>
      <c r="K3546">
        <v>137490494</v>
      </c>
      <c r="L3546">
        <v>122846248</v>
      </c>
      <c r="M3546">
        <v>49983484</v>
      </c>
      <c r="N3546">
        <v>35407174</v>
      </c>
      <c r="P3546">
        <v>132</v>
      </c>
      <c r="Q3546" t="s">
        <v>7438</v>
      </c>
    </row>
    <row r="3547" spans="1:17" x14ac:dyDescent="0.3">
      <c r="A3547" t="s">
        <v>4729</v>
      </c>
      <c r="B3547" t="str">
        <f>"002830"</f>
        <v>002830</v>
      </c>
      <c r="C3547" t="s">
        <v>7439</v>
      </c>
      <c r="D3547" t="s">
        <v>450</v>
      </c>
      <c r="F3547">
        <v>3479227</v>
      </c>
      <c r="G3547">
        <v>1040026</v>
      </c>
      <c r="H3547">
        <v>4571049</v>
      </c>
      <c r="I3547">
        <v>3616716</v>
      </c>
      <c r="J3547">
        <v>4601793</v>
      </c>
      <c r="K3547">
        <v>2901236</v>
      </c>
      <c r="L3547">
        <v>3269933</v>
      </c>
      <c r="M3547">
        <v>3592731</v>
      </c>
      <c r="N3547">
        <v>2879809</v>
      </c>
      <c r="P3547">
        <v>78</v>
      </c>
      <c r="Q3547" t="s">
        <v>7440</v>
      </c>
    </row>
    <row r="3548" spans="1:17" x14ac:dyDescent="0.3">
      <c r="A3548" t="s">
        <v>4729</v>
      </c>
      <c r="B3548" t="str">
        <f>"002831"</f>
        <v>002831</v>
      </c>
      <c r="C3548" t="s">
        <v>7441</v>
      </c>
      <c r="D3548" t="s">
        <v>2165</v>
      </c>
      <c r="F3548">
        <v>5593858896</v>
      </c>
      <c r="G3548">
        <v>5223130111</v>
      </c>
      <c r="H3548">
        <v>4069257039</v>
      </c>
      <c r="I3548">
        <v>3896553939</v>
      </c>
      <c r="J3548">
        <v>3237486025</v>
      </c>
      <c r="K3548">
        <v>2874794322</v>
      </c>
      <c r="L3548">
        <v>1759455917</v>
      </c>
      <c r="M3548">
        <v>1400820980</v>
      </c>
      <c r="N3548">
        <v>975797267</v>
      </c>
      <c r="P3548">
        <v>663</v>
      </c>
      <c r="Q3548" t="s">
        <v>7442</v>
      </c>
    </row>
    <row r="3549" spans="1:17" x14ac:dyDescent="0.3">
      <c r="A3549" t="s">
        <v>4729</v>
      </c>
      <c r="B3549" t="str">
        <f>"002832"</f>
        <v>002832</v>
      </c>
      <c r="C3549" t="s">
        <v>7443</v>
      </c>
      <c r="D3549" t="s">
        <v>255</v>
      </c>
      <c r="F3549">
        <v>279717057</v>
      </c>
      <c r="G3549">
        <v>152877036</v>
      </c>
      <c r="H3549">
        <v>140836228</v>
      </c>
      <c r="I3549">
        <v>104377363</v>
      </c>
      <c r="J3549">
        <v>53711659</v>
      </c>
      <c r="K3549">
        <v>48116420</v>
      </c>
      <c r="L3549">
        <v>41380587</v>
      </c>
      <c r="M3549">
        <v>33533686</v>
      </c>
      <c r="N3549">
        <v>26425783</v>
      </c>
      <c r="P3549">
        <v>636</v>
      </c>
      <c r="Q3549" t="s">
        <v>7444</v>
      </c>
    </row>
    <row r="3550" spans="1:17" x14ac:dyDescent="0.3">
      <c r="A3550" t="s">
        <v>4729</v>
      </c>
      <c r="B3550" t="str">
        <f>"002833"</f>
        <v>002833</v>
      </c>
      <c r="C3550" t="s">
        <v>7445</v>
      </c>
      <c r="D3550" t="s">
        <v>741</v>
      </c>
      <c r="F3550">
        <v>53583096</v>
      </c>
      <c r="G3550">
        <v>65769270</v>
      </c>
      <c r="H3550">
        <v>57553698</v>
      </c>
      <c r="I3550">
        <v>37189288</v>
      </c>
      <c r="J3550">
        <v>29988885</v>
      </c>
      <c r="K3550">
        <v>23530460</v>
      </c>
      <c r="L3550">
        <v>20711012</v>
      </c>
      <c r="M3550">
        <v>19682849</v>
      </c>
      <c r="N3550">
        <v>16339272</v>
      </c>
      <c r="P3550">
        <v>2869</v>
      </c>
      <c r="Q3550" t="s">
        <v>7446</v>
      </c>
    </row>
    <row r="3551" spans="1:17" x14ac:dyDescent="0.3">
      <c r="A3551" t="s">
        <v>4729</v>
      </c>
      <c r="B3551" t="str">
        <f>"002835"</f>
        <v>002835</v>
      </c>
      <c r="C3551" t="s">
        <v>7447</v>
      </c>
      <c r="D3551" t="s">
        <v>2980</v>
      </c>
      <c r="F3551">
        <v>286588264</v>
      </c>
      <c r="G3551">
        <v>186155031</v>
      </c>
      <c r="H3551">
        <v>143160110</v>
      </c>
      <c r="I3551">
        <v>156065319</v>
      </c>
      <c r="J3551">
        <v>92998944</v>
      </c>
      <c r="K3551">
        <v>80241199</v>
      </c>
      <c r="L3551">
        <v>51947476</v>
      </c>
      <c r="M3551">
        <v>32634109</v>
      </c>
      <c r="N3551">
        <v>27258831</v>
      </c>
      <c r="P3551">
        <v>94</v>
      </c>
      <c r="Q3551" t="s">
        <v>7448</v>
      </c>
    </row>
    <row r="3552" spans="1:17" x14ac:dyDescent="0.3">
      <c r="A3552" t="s">
        <v>4729</v>
      </c>
      <c r="B3552" t="str">
        <f>"002836"</f>
        <v>002836</v>
      </c>
      <c r="C3552" t="s">
        <v>7449</v>
      </c>
      <c r="D3552" t="s">
        <v>2165</v>
      </c>
      <c r="F3552">
        <v>12301942</v>
      </c>
      <c r="G3552">
        <v>35976780</v>
      </c>
      <c r="H3552">
        <v>87698834</v>
      </c>
      <c r="I3552">
        <v>81541397</v>
      </c>
      <c r="J3552">
        <v>114134112</v>
      </c>
      <c r="K3552">
        <v>97297011</v>
      </c>
      <c r="L3552">
        <v>105320685</v>
      </c>
      <c r="M3552">
        <v>40418686</v>
      </c>
      <c r="N3552">
        <v>35215801</v>
      </c>
      <c r="P3552">
        <v>63</v>
      </c>
      <c r="Q3552" t="s">
        <v>7450</v>
      </c>
    </row>
    <row r="3553" spans="1:17" x14ac:dyDescent="0.3">
      <c r="A3553" t="s">
        <v>4729</v>
      </c>
      <c r="B3553" t="str">
        <f>"002837"</f>
        <v>002837</v>
      </c>
      <c r="C3553" t="s">
        <v>7451</v>
      </c>
      <c r="D3553" t="s">
        <v>741</v>
      </c>
      <c r="F3553">
        <v>1108242120</v>
      </c>
      <c r="G3553">
        <v>689892347</v>
      </c>
      <c r="H3553">
        <v>622233150</v>
      </c>
      <c r="I3553">
        <v>602909842</v>
      </c>
      <c r="J3553">
        <v>447719336</v>
      </c>
      <c r="K3553">
        <v>225775171</v>
      </c>
      <c r="L3553">
        <v>163438758</v>
      </c>
      <c r="M3553">
        <v>116762213</v>
      </c>
      <c r="N3553">
        <v>101022906</v>
      </c>
      <c r="P3553">
        <v>396</v>
      </c>
      <c r="Q3553" t="s">
        <v>7452</v>
      </c>
    </row>
    <row r="3554" spans="1:17" x14ac:dyDescent="0.3">
      <c r="A3554" t="s">
        <v>4729</v>
      </c>
      <c r="B3554" t="str">
        <f>"002838"</f>
        <v>002838</v>
      </c>
      <c r="C3554" t="s">
        <v>7453</v>
      </c>
      <c r="D3554" t="s">
        <v>341</v>
      </c>
      <c r="F3554">
        <v>778537264</v>
      </c>
      <c r="G3554">
        <v>624535698</v>
      </c>
      <c r="H3554">
        <v>473665713</v>
      </c>
      <c r="I3554">
        <v>410304807</v>
      </c>
      <c r="J3554">
        <v>235650533</v>
      </c>
      <c r="K3554">
        <v>218503073</v>
      </c>
      <c r="L3554">
        <v>145761625</v>
      </c>
      <c r="M3554">
        <v>129060706</v>
      </c>
      <c r="N3554">
        <v>103867300</v>
      </c>
      <c r="P3554">
        <v>614</v>
      </c>
      <c r="Q3554" t="s">
        <v>7454</v>
      </c>
    </row>
    <row r="3555" spans="1:17" x14ac:dyDescent="0.3">
      <c r="A3555" t="s">
        <v>4729</v>
      </c>
      <c r="B3555" t="str">
        <f>"002839"</f>
        <v>002839</v>
      </c>
      <c r="C3555" t="s">
        <v>7455</v>
      </c>
      <c r="D3555" t="s">
        <v>1831</v>
      </c>
      <c r="P3555">
        <v>474</v>
      </c>
      <c r="Q3555" t="s">
        <v>7456</v>
      </c>
    </row>
    <row r="3556" spans="1:17" x14ac:dyDescent="0.3">
      <c r="A3556" t="s">
        <v>4729</v>
      </c>
      <c r="B3556" t="str">
        <f>"002840"</f>
        <v>002840</v>
      </c>
      <c r="C3556" t="s">
        <v>7457</v>
      </c>
      <c r="D3556" t="s">
        <v>170</v>
      </c>
      <c r="F3556">
        <v>26355315</v>
      </c>
      <c r="G3556">
        <v>29395852</v>
      </c>
      <c r="H3556">
        <v>18792890</v>
      </c>
      <c r="I3556">
        <v>14551954</v>
      </c>
      <c r="J3556">
        <v>20163632</v>
      </c>
      <c r="K3556">
        <v>18654356</v>
      </c>
      <c r="L3556">
        <v>29079313</v>
      </c>
      <c r="M3556">
        <v>23846168</v>
      </c>
      <c r="N3556">
        <v>34482484</v>
      </c>
      <c r="P3556">
        <v>600</v>
      </c>
      <c r="Q3556" t="s">
        <v>7458</v>
      </c>
    </row>
    <row r="3557" spans="1:17" x14ac:dyDescent="0.3">
      <c r="A3557" t="s">
        <v>4729</v>
      </c>
      <c r="B3557" t="str">
        <f>"002841"</f>
        <v>002841</v>
      </c>
      <c r="C3557" t="s">
        <v>7459</v>
      </c>
      <c r="D3557" t="s">
        <v>1285</v>
      </c>
      <c r="F3557">
        <v>166731001</v>
      </c>
      <c r="G3557">
        <v>128009019</v>
      </c>
      <c r="H3557">
        <v>93247739</v>
      </c>
      <c r="I3557">
        <v>104392167</v>
      </c>
      <c r="J3557">
        <v>42552585</v>
      </c>
      <c r="K3557">
        <v>52231668</v>
      </c>
      <c r="L3557">
        <v>2396164</v>
      </c>
      <c r="M3557">
        <v>1734227</v>
      </c>
      <c r="N3557">
        <v>9520934</v>
      </c>
      <c r="P3557">
        <v>3102</v>
      </c>
      <c r="Q3557" t="s">
        <v>7460</v>
      </c>
    </row>
    <row r="3558" spans="1:17" x14ac:dyDescent="0.3">
      <c r="A3558" t="s">
        <v>4729</v>
      </c>
      <c r="B3558" t="str">
        <f>"002842"</f>
        <v>002842</v>
      </c>
      <c r="C3558" t="s">
        <v>7461</v>
      </c>
      <c r="D3558" t="s">
        <v>1110</v>
      </c>
      <c r="F3558">
        <v>193849373</v>
      </c>
      <c r="G3558">
        <v>190763923</v>
      </c>
      <c r="H3558">
        <v>272345654</v>
      </c>
      <c r="I3558">
        <v>187618597</v>
      </c>
      <c r="J3558">
        <v>107589706</v>
      </c>
      <c r="K3558">
        <v>94258723</v>
      </c>
      <c r="L3558">
        <v>91037691</v>
      </c>
      <c r="M3558">
        <v>74344486</v>
      </c>
      <c r="N3558">
        <v>62215435</v>
      </c>
      <c r="P3558">
        <v>99</v>
      </c>
      <c r="Q3558" t="s">
        <v>7462</v>
      </c>
    </row>
    <row r="3559" spans="1:17" x14ac:dyDescent="0.3">
      <c r="A3559" t="s">
        <v>4729</v>
      </c>
      <c r="B3559" t="str">
        <f>"002843"</f>
        <v>002843</v>
      </c>
      <c r="C3559" t="s">
        <v>7463</v>
      </c>
      <c r="D3559" t="s">
        <v>274</v>
      </c>
      <c r="F3559">
        <v>70605196</v>
      </c>
      <c r="G3559">
        <v>42032350</v>
      </c>
      <c r="H3559">
        <v>63194570</v>
      </c>
      <c r="I3559">
        <v>39016716</v>
      </c>
      <c r="J3559">
        <v>38645038</v>
      </c>
      <c r="K3559">
        <v>48931246</v>
      </c>
      <c r="L3559">
        <v>49674981</v>
      </c>
      <c r="M3559">
        <v>37303633</v>
      </c>
      <c r="N3559">
        <v>30704618</v>
      </c>
      <c r="P3559">
        <v>74</v>
      </c>
      <c r="Q3559" t="s">
        <v>7464</v>
      </c>
    </row>
    <row r="3560" spans="1:17" x14ac:dyDescent="0.3">
      <c r="A3560" t="s">
        <v>4729</v>
      </c>
      <c r="B3560" t="str">
        <f>"002845"</f>
        <v>002845</v>
      </c>
      <c r="C3560" t="s">
        <v>7465</v>
      </c>
      <c r="D3560" t="s">
        <v>1117</v>
      </c>
      <c r="F3560">
        <v>3682249542</v>
      </c>
      <c r="G3560">
        <v>2968198618</v>
      </c>
      <c r="H3560">
        <v>2187257988</v>
      </c>
      <c r="I3560">
        <v>1180271281</v>
      </c>
      <c r="J3560">
        <v>742062916</v>
      </c>
      <c r="K3560">
        <v>525174147</v>
      </c>
      <c r="L3560">
        <v>315265860</v>
      </c>
      <c r="M3560">
        <v>454367119</v>
      </c>
      <c r="N3560">
        <v>167414613</v>
      </c>
      <c r="P3560">
        <v>222</v>
      </c>
      <c r="Q3560" t="s">
        <v>7466</v>
      </c>
    </row>
    <row r="3561" spans="1:17" x14ac:dyDescent="0.3">
      <c r="A3561" t="s">
        <v>4729</v>
      </c>
      <c r="B3561" t="str">
        <f>"002846"</f>
        <v>002846</v>
      </c>
      <c r="C3561" t="s">
        <v>7467</v>
      </c>
      <c r="D3561" t="s">
        <v>2373</v>
      </c>
      <c r="F3561">
        <v>263337653</v>
      </c>
      <c r="G3561">
        <v>229887164</v>
      </c>
      <c r="H3561">
        <v>211402687</v>
      </c>
      <c r="I3561">
        <v>198875484</v>
      </c>
      <c r="J3561">
        <v>102389036</v>
      </c>
      <c r="K3561">
        <v>69393417</v>
      </c>
      <c r="L3561">
        <v>56727379</v>
      </c>
      <c r="M3561">
        <v>48484307</v>
      </c>
      <c r="N3561">
        <v>34243489</v>
      </c>
      <c r="P3561">
        <v>109</v>
      </c>
      <c r="Q3561" t="s">
        <v>7468</v>
      </c>
    </row>
    <row r="3562" spans="1:17" x14ac:dyDescent="0.3">
      <c r="A3562" t="s">
        <v>4729</v>
      </c>
      <c r="B3562" t="str">
        <f>"002847"</f>
        <v>002847</v>
      </c>
      <c r="C3562" t="s">
        <v>7469</v>
      </c>
      <c r="D3562" t="s">
        <v>3194</v>
      </c>
      <c r="F3562">
        <v>198099602</v>
      </c>
      <c r="G3562">
        <v>156077846</v>
      </c>
      <c r="H3562">
        <v>129204425</v>
      </c>
      <c r="I3562">
        <v>88962309</v>
      </c>
      <c r="J3562">
        <v>68539548</v>
      </c>
      <c r="K3562">
        <v>35047674</v>
      </c>
      <c r="L3562">
        <v>43232034</v>
      </c>
      <c r="M3562">
        <v>52439445</v>
      </c>
      <c r="N3562">
        <v>34677831</v>
      </c>
      <c r="P3562">
        <v>742</v>
      </c>
      <c r="Q3562" t="s">
        <v>7470</v>
      </c>
    </row>
    <row r="3563" spans="1:17" x14ac:dyDescent="0.3">
      <c r="A3563" t="s">
        <v>4729</v>
      </c>
      <c r="B3563" t="str">
        <f>"002848"</f>
        <v>002848</v>
      </c>
      <c r="C3563" t="s">
        <v>7471</v>
      </c>
      <c r="D3563" t="s">
        <v>4467</v>
      </c>
      <c r="F3563">
        <v>217258637</v>
      </c>
      <c r="G3563">
        <v>295964460</v>
      </c>
      <c r="H3563">
        <v>484473762</v>
      </c>
      <c r="I3563">
        <v>487176245</v>
      </c>
      <c r="J3563">
        <v>564371517</v>
      </c>
      <c r="K3563">
        <v>551288333</v>
      </c>
      <c r="L3563">
        <v>411533496</v>
      </c>
      <c r="M3563">
        <v>451154787</v>
      </c>
      <c r="N3563">
        <v>462263452</v>
      </c>
      <c r="P3563">
        <v>189</v>
      </c>
      <c r="Q3563" t="s">
        <v>7472</v>
      </c>
    </row>
    <row r="3564" spans="1:17" x14ac:dyDescent="0.3">
      <c r="A3564" t="s">
        <v>4729</v>
      </c>
      <c r="B3564" t="str">
        <f>"002849"</f>
        <v>002849</v>
      </c>
      <c r="C3564" t="s">
        <v>7473</v>
      </c>
      <c r="D3564" t="s">
        <v>2566</v>
      </c>
      <c r="F3564">
        <v>553545310</v>
      </c>
      <c r="G3564">
        <v>696054494</v>
      </c>
      <c r="H3564">
        <v>606102408</v>
      </c>
      <c r="I3564">
        <v>407934236</v>
      </c>
      <c r="J3564">
        <v>233919784</v>
      </c>
      <c r="K3564">
        <v>138472778</v>
      </c>
      <c r="L3564">
        <v>118638204</v>
      </c>
      <c r="M3564">
        <v>72538101</v>
      </c>
      <c r="P3564">
        <v>177</v>
      </c>
      <c r="Q3564" t="s">
        <v>7474</v>
      </c>
    </row>
    <row r="3565" spans="1:17" x14ac:dyDescent="0.3">
      <c r="A3565" t="s">
        <v>4729</v>
      </c>
      <c r="B3565" t="str">
        <f>"002850"</f>
        <v>002850</v>
      </c>
      <c r="C3565" t="s">
        <v>7475</v>
      </c>
      <c r="D3565" t="s">
        <v>359</v>
      </c>
      <c r="F3565">
        <v>1550384527</v>
      </c>
      <c r="G3565">
        <v>807720740</v>
      </c>
      <c r="H3565">
        <v>590105728</v>
      </c>
      <c r="I3565">
        <v>731912083</v>
      </c>
      <c r="J3565">
        <v>360940392</v>
      </c>
      <c r="K3565">
        <v>353929168</v>
      </c>
      <c r="L3565">
        <v>363554368</v>
      </c>
      <c r="M3565">
        <v>209821971</v>
      </c>
      <c r="P3565">
        <v>379</v>
      </c>
      <c r="Q3565" t="s">
        <v>7476</v>
      </c>
    </row>
    <row r="3566" spans="1:17" x14ac:dyDescent="0.3">
      <c r="A3566" t="s">
        <v>4729</v>
      </c>
      <c r="B3566" t="str">
        <f>"002851"</f>
        <v>002851</v>
      </c>
      <c r="C3566" t="s">
        <v>7477</v>
      </c>
      <c r="D3566" t="s">
        <v>880</v>
      </c>
      <c r="F3566">
        <v>1239954851</v>
      </c>
      <c r="G3566">
        <v>846445299</v>
      </c>
      <c r="H3566">
        <v>679630603</v>
      </c>
      <c r="I3566">
        <v>690343034</v>
      </c>
      <c r="J3566">
        <v>426213777</v>
      </c>
      <c r="K3566">
        <v>308631585</v>
      </c>
      <c r="L3566">
        <v>245200101</v>
      </c>
      <c r="M3566">
        <v>189486348</v>
      </c>
      <c r="P3566">
        <v>565</v>
      </c>
      <c r="Q3566" t="s">
        <v>7478</v>
      </c>
    </row>
    <row r="3567" spans="1:17" x14ac:dyDescent="0.3">
      <c r="A3567" t="s">
        <v>4729</v>
      </c>
      <c r="B3567" t="str">
        <f>"002852"</f>
        <v>002852</v>
      </c>
      <c r="C3567" t="s">
        <v>7479</v>
      </c>
      <c r="D3567" t="s">
        <v>306</v>
      </c>
      <c r="F3567">
        <v>83275403</v>
      </c>
      <c r="G3567">
        <v>85921750</v>
      </c>
      <c r="H3567">
        <v>38221418</v>
      </c>
      <c r="I3567">
        <v>25471147</v>
      </c>
      <c r="J3567">
        <v>27016375</v>
      </c>
      <c r="K3567">
        <v>6936765</v>
      </c>
      <c r="L3567">
        <v>3200967</v>
      </c>
      <c r="M3567">
        <v>1438177</v>
      </c>
      <c r="P3567">
        <v>141</v>
      </c>
      <c r="Q3567" t="s">
        <v>7480</v>
      </c>
    </row>
    <row r="3568" spans="1:17" x14ac:dyDescent="0.3">
      <c r="A3568" t="s">
        <v>4729</v>
      </c>
      <c r="B3568" t="str">
        <f>"002853"</f>
        <v>002853</v>
      </c>
      <c r="C3568" t="s">
        <v>7481</v>
      </c>
      <c r="D3568" t="s">
        <v>2664</v>
      </c>
      <c r="F3568">
        <v>301334230</v>
      </c>
      <c r="G3568">
        <v>114947300</v>
      </c>
      <c r="H3568">
        <v>325723428</v>
      </c>
      <c r="I3568">
        <v>76411916</v>
      </c>
      <c r="J3568">
        <v>86378709</v>
      </c>
      <c r="K3568">
        <v>44509377</v>
      </c>
      <c r="L3568">
        <v>37479143</v>
      </c>
      <c r="M3568">
        <v>39438758</v>
      </c>
      <c r="P3568">
        <v>379</v>
      </c>
      <c r="Q3568" t="s">
        <v>7482</v>
      </c>
    </row>
    <row r="3569" spans="1:17" x14ac:dyDescent="0.3">
      <c r="A3569" t="s">
        <v>4729</v>
      </c>
      <c r="B3569" t="str">
        <f>"002855"</f>
        <v>002855</v>
      </c>
      <c r="C3569" t="s">
        <v>7483</v>
      </c>
      <c r="D3569" t="s">
        <v>313</v>
      </c>
      <c r="F3569">
        <v>523070744</v>
      </c>
      <c r="G3569">
        <v>512522445</v>
      </c>
      <c r="H3569">
        <v>426250578</v>
      </c>
      <c r="I3569">
        <v>561220573</v>
      </c>
      <c r="J3569">
        <v>358951289</v>
      </c>
      <c r="K3569">
        <v>373434724</v>
      </c>
      <c r="L3569">
        <v>551538290</v>
      </c>
      <c r="M3569">
        <v>481262236</v>
      </c>
      <c r="P3569">
        <v>138</v>
      </c>
      <c r="Q3569" t="s">
        <v>7484</v>
      </c>
    </row>
    <row r="3570" spans="1:17" x14ac:dyDescent="0.3">
      <c r="A3570" t="s">
        <v>4729</v>
      </c>
      <c r="B3570" t="str">
        <f>"002856"</f>
        <v>002856</v>
      </c>
      <c r="C3570" t="s">
        <v>7485</v>
      </c>
      <c r="D3570" t="s">
        <v>450</v>
      </c>
      <c r="F3570">
        <v>774302196</v>
      </c>
      <c r="G3570">
        <v>1007369358</v>
      </c>
      <c r="H3570">
        <v>879295667</v>
      </c>
      <c r="I3570">
        <v>830637820</v>
      </c>
      <c r="J3570">
        <v>646455667</v>
      </c>
      <c r="K3570">
        <v>554032071</v>
      </c>
      <c r="L3570">
        <v>550839209</v>
      </c>
      <c r="M3570">
        <v>505436373</v>
      </c>
      <c r="P3570">
        <v>51</v>
      </c>
      <c r="Q3570" t="s">
        <v>7486</v>
      </c>
    </row>
    <row r="3571" spans="1:17" x14ac:dyDescent="0.3">
      <c r="A3571" t="s">
        <v>4729</v>
      </c>
      <c r="B3571" t="str">
        <f>"002857"</f>
        <v>002857</v>
      </c>
      <c r="C3571" t="s">
        <v>7487</v>
      </c>
      <c r="D3571" t="s">
        <v>2180</v>
      </c>
      <c r="F3571">
        <v>118284500</v>
      </c>
      <c r="G3571">
        <v>136175801</v>
      </c>
      <c r="H3571">
        <v>199938369</v>
      </c>
      <c r="I3571">
        <v>216355083</v>
      </c>
      <c r="J3571">
        <v>168818138</v>
      </c>
      <c r="K3571">
        <v>143728600</v>
      </c>
      <c r="L3571">
        <v>105664056</v>
      </c>
      <c r="M3571">
        <v>86455481</v>
      </c>
      <c r="N3571">
        <v>78777126</v>
      </c>
      <c r="P3571">
        <v>45</v>
      </c>
      <c r="Q3571" t="s">
        <v>7488</v>
      </c>
    </row>
    <row r="3572" spans="1:17" x14ac:dyDescent="0.3">
      <c r="A3572" t="s">
        <v>4729</v>
      </c>
      <c r="B3572" t="str">
        <f>"002858"</f>
        <v>002858</v>
      </c>
      <c r="C3572" t="s">
        <v>7489</v>
      </c>
      <c r="D3572" t="s">
        <v>327</v>
      </c>
      <c r="F3572">
        <v>75860191</v>
      </c>
      <c r="G3572">
        <v>98532820</v>
      </c>
      <c r="H3572">
        <v>206960334</v>
      </c>
      <c r="I3572">
        <v>180177881</v>
      </c>
      <c r="J3572">
        <v>115066507</v>
      </c>
      <c r="K3572">
        <v>74699256</v>
      </c>
      <c r="L3572">
        <v>76838581</v>
      </c>
      <c r="M3572">
        <v>70428716</v>
      </c>
      <c r="P3572">
        <v>75</v>
      </c>
      <c r="Q3572" t="s">
        <v>7490</v>
      </c>
    </row>
    <row r="3573" spans="1:17" x14ac:dyDescent="0.3">
      <c r="A3573" t="s">
        <v>4729</v>
      </c>
      <c r="B3573" t="str">
        <f>"002859"</f>
        <v>002859</v>
      </c>
      <c r="C3573" t="s">
        <v>7491</v>
      </c>
      <c r="D3573" t="s">
        <v>651</v>
      </c>
      <c r="F3573">
        <v>500185491</v>
      </c>
      <c r="G3573">
        <v>457670734</v>
      </c>
      <c r="H3573">
        <v>336178353</v>
      </c>
      <c r="I3573">
        <v>415695643</v>
      </c>
      <c r="J3573">
        <v>368401542</v>
      </c>
      <c r="K3573">
        <v>260266157</v>
      </c>
      <c r="L3573">
        <v>192463797</v>
      </c>
      <c r="M3573">
        <v>174790053</v>
      </c>
      <c r="P3573">
        <v>2969</v>
      </c>
      <c r="Q3573" t="s">
        <v>7492</v>
      </c>
    </row>
    <row r="3574" spans="1:17" x14ac:dyDescent="0.3">
      <c r="A3574" t="s">
        <v>4729</v>
      </c>
      <c r="B3574" t="str">
        <f>"002860"</f>
        <v>002860</v>
      </c>
      <c r="C3574" t="s">
        <v>7493</v>
      </c>
      <c r="D3574" t="s">
        <v>1253</v>
      </c>
      <c r="F3574">
        <v>328401521</v>
      </c>
      <c r="G3574">
        <v>279875545</v>
      </c>
      <c r="H3574">
        <v>180010668</v>
      </c>
      <c r="I3574">
        <v>123803784</v>
      </c>
      <c r="J3574">
        <v>116125241</v>
      </c>
      <c r="K3574">
        <v>77922995</v>
      </c>
      <c r="L3574">
        <v>69980126</v>
      </c>
      <c r="M3574">
        <v>60458587</v>
      </c>
      <c r="P3574">
        <v>249</v>
      </c>
      <c r="Q3574" t="s">
        <v>7494</v>
      </c>
    </row>
    <row r="3575" spans="1:17" x14ac:dyDescent="0.3">
      <c r="A3575" t="s">
        <v>4729</v>
      </c>
      <c r="B3575" t="str">
        <f>"002861"</f>
        <v>002861</v>
      </c>
      <c r="C3575" t="s">
        <v>7495</v>
      </c>
      <c r="D3575" t="s">
        <v>313</v>
      </c>
      <c r="F3575">
        <v>227083243</v>
      </c>
      <c r="G3575">
        <v>268373796</v>
      </c>
      <c r="H3575">
        <v>289606814</v>
      </c>
      <c r="I3575">
        <v>321910373</v>
      </c>
      <c r="J3575">
        <v>206246694</v>
      </c>
      <c r="K3575">
        <v>192401099</v>
      </c>
      <c r="L3575">
        <v>189508671</v>
      </c>
      <c r="M3575">
        <v>185690123</v>
      </c>
      <c r="P3575">
        <v>155</v>
      </c>
      <c r="Q3575" t="s">
        <v>7496</v>
      </c>
    </row>
    <row r="3576" spans="1:17" x14ac:dyDescent="0.3">
      <c r="A3576" t="s">
        <v>4729</v>
      </c>
      <c r="B3576" t="str">
        <f>"002862"</f>
        <v>002862</v>
      </c>
      <c r="C3576" t="s">
        <v>7497</v>
      </c>
      <c r="D3576" t="s">
        <v>2931</v>
      </c>
      <c r="F3576">
        <v>99524148</v>
      </c>
      <c r="G3576">
        <v>57480622</v>
      </c>
      <c r="H3576">
        <v>110786277</v>
      </c>
      <c r="I3576">
        <v>108163973</v>
      </c>
      <c r="J3576">
        <v>87937884</v>
      </c>
      <c r="K3576">
        <v>77725935</v>
      </c>
      <c r="L3576">
        <v>85090326</v>
      </c>
      <c r="M3576">
        <v>79722633</v>
      </c>
      <c r="P3576">
        <v>66</v>
      </c>
      <c r="Q3576" t="s">
        <v>7498</v>
      </c>
    </row>
    <row r="3577" spans="1:17" x14ac:dyDescent="0.3">
      <c r="A3577" t="s">
        <v>4729</v>
      </c>
      <c r="B3577" t="str">
        <f>"002863"</f>
        <v>002863</v>
      </c>
      <c r="C3577" t="s">
        <v>7499</v>
      </c>
      <c r="D3577" t="s">
        <v>422</v>
      </c>
      <c r="F3577">
        <v>512859519</v>
      </c>
      <c r="G3577">
        <v>415269875</v>
      </c>
      <c r="H3577">
        <v>401472217</v>
      </c>
      <c r="I3577">
        <v>460774154</v>
      </c>
      <c r="J3577">
        <v>469723254</v>
      </c>
      <c r="K3577">
        <v>342659415</v>
      </c>
      <c r="L3577">
        <v>325021103</v>
      </c>
      <c r="M3577">
        <v>334834422</v>
      </c>
      <c r="P3577">
        <v>104</v>
      </c>
      <c r="Q3577" t="s">
        <v>7500</v>
      </c>
    </row>
    <row r="3578" spans="1:17" x14ac:dyDescent="0.3">
      <c r="A3578" t="s">
        <v>4729</v>
      </c>
      <c r="B3578" t="str">
        <f>"002864"</f>
        <v>002864</v>
      </c>
      <c r="C3578" t="s">
        <v>7501</v>
      </c>
      <c r="D3578" t="s">
        <v>188</v>
      </c>
      <c r="F3578">
        <v>361350459</v>
      </c>
      <c r="G3578">
        <v>320551762</v>
      </c>
      <c r="H3578">
        <v>202750922</v>
      </c>
      <c r="I3578">
        <v>165557917</v>
      </c>
      <c r="J3578">
        <v>147368589</v>
      </c>
      <c r="K3578">
        <v>111364896</v>
      </c>
      <c r="L3578">
        <v>95708468</v>
      </c>
      <c r="M3578">
        <v>83566259</v>
      </c>
      <c r="P3578">
        <v>184</v>
      </c>
      <c r="Q3578" t="s">
        <v>7502</v>
      </c>
    </row>
    <row r="3579" spans="1:17" x14ac:dyDescent="0.3">
      <c r="A3579" t="s">
        <v>4729</v>
      </c>
      <c r="B3579" t="str">
        <f>"002865"</f>
        <v>002865</v>
      </c>
      <c r="C3579" t="s">
        <v>7503</v>
      </c>
      <c r="D3579" t="s">
        <v>191</v>
      </c>
      <c r="F3579">
        <v>166480389</v>
      </c>
      <c r="G3579">
        <v>214458051</v>
      </c>
      <c r="H3579">
        <v>290044117</v>
      </c>
      <c r="I3579">
        <v>243597310</v>
      </c>
      <c r="J3579">
        <v>264952377</v>
      </c>
      <c r="K3579">
        <v>193841267</v>
      </c>
      <c r="L3579">
        <v>162302293</v>
      </c>
      <c r="M3579">
        <v>176716727</v>
      </c>
      <c r="P3579">
        <v>111</v>
      </c>
      <c r="Q3579" t="s">
        <v>7504</v>
      </c>
    </row>
    <row r="3580" spans="1:17" x14ac:dyDescent="0.3">
      <c r="A3580" t="s">
        <v>4729</v>
      </c>
      <c r="B3580" t="str">
        <f>"002866"</f>
        <v>002866</v>
      </c>
      <c r="C3580" t="s">
        <v>7505</v>
      </c>
      <c r="D3580" t="s">
        <v>313</v>
      </c>
      <c r="F3580">
        <v>644143581</v>
      </c>
      <c r="G3580">
        <v>699916942</v>
      </c>
      <c r="H3580">
        <v>549381546</v>
      </c>
      <c r="I3580">
        <v>485747216</v>
      </c>
      <c r="J3580">
        <v>270791611</v>
      </c>
      <c r="K3580">
        <v>237719496</v>
      </c>
      <c r="L3580">
        <v>176465301</v>
      </c>
      <c r="M3580">
        <v>120554037</v>
      </c>
      <c r="P3580">
        <v>161</v>
      </c>
      <c r="Q3580" t="s">
        <v>7506</v>
      </c>
    </row>
    <row r="3581" spans="1:17" x14ac:dyDescent="0.3">
      <c r="A3581" t="s">
        <v>4729</v>
      </c>
      <c r="B3581" t="str">
        <f>"002867"</f>
        <v>002867</v>
      </c>
      <c r="C3581" t="s">
        <v>7507</v>
      </c>
      <c r="D3581" t="s">
        <v>1238</v>
      </c>
      <c r="F3581">
        <v>682243233</v>
      </c>
      <c r="G3581">
        <v>135704110</v>
      </c>
      <c r="H3581">
        <v>74366357</v>
      </c>
      <c r="I3581">
        <v>82964794</v>
      </c>
      <c r="J3581">
        <v>95981043</v>
      </c>
      <c r="K3581">
        <v>66619151</v>
      </c>
      <c r="L3581">
        <v>82135479</v>
      </c>
      <c r="M3581">
        <v>79176520</v>
      </c>
      <c r="P3581">
        <v>1635</v>
      </c>
      <c r="Q3581" t="s">
        <v>7508</v>
      </c>
    </row>
    <row r="3582" spans="1:17" x14ac:dyDescent="0.3">
      <c r="A3582" t="s">
        <v>4729</v>
      </c>
      <c r="B3582" t="str">
        <f>"002868"</f>
        <v>002868</v>
      </c>
      <c r="C3582" t="s">
        <v>7509</v>
      </c>
      <c r="D3582" t="s">
        <v>453</v>
      </c>
      <c r="F3582">
        <v>44031828</v>
      </c>
      <c r="G3582">
        <v>30469248</v>
      </c>
      <c r="H3582">
        <v>49022979</v>
      </c>
      <c r="I3582">
        <v>55739822</v>
      </c>
      <c r="J3582">
        <v>56352945</v>
      </c>
      <c r="K3582">
        <v>47314821</v>
      </c>
      <c r="L3582">
        <v>51743935</v>
      </c>
      <c r="M3582">
        <v>47369787</v>
      </c>
      <c r="P3582">
        <v>88</v>
      </c>
      <c r="Q3582" t="s">
        <v>7510</v>
      </c>
    </row>
    <row r="3583" spans="1:17" x14ac:dyDescent="0.3">
      <c r="A3583" t="s">
        <v>4729</v>
      </c>
      <c r="B3583" t="str">
        <f>"002869"</f>
        <v>002869</v>
      </c>
      <c r="C3583" t="s">
        <v>7511</v>
      </c>
      <c r="D3583" t="s">
        <v>651</v>
      </c>
      <c r="F3583">
        <v>293807669</v>
      </c>
      <c r="G3583">
        <v>447984244</v>
      </c>
      <c r="H3583">
        <v>752426474</v>
      </c>
      <c r="I3583">
        <v>302533159</v>
      </c>
      <c r="J3583">
        <v>232493751</v>
      </c>
      <c r="K3583">
        <v>205166343</v>
      </c>
      <c r="L3583">
        <v>206317187</v>
      </c>
      <c r="M3583">
        <v>167706303</v>
      </c>
      <c r="P3583">
        <v>600</v>
      </c>
      <c r="Q3583" t="s">
        <v>7512</v>
      </c>
    </row>
    <row r="3584" spans="1:17" x14ac:dyDescent="0.3">
      <c r="A3584" t="s">
        <v>4729</v>
      </c>
      <c r="B3584" t="str">
        <f>"002870"</f>
        <v>002870</v>
      </c>
      <c r="C3584" t="s">
        <v>7513</v>
      </c>
      <c r="D3584" t="s">
        <v>2566</v>
      </c>
      <c r="F3584">
        <v>798987457</v>
      </c>
      <c r="G3584">
        <v>751201482</v>
      </c>
      <c r="H3584">
        <v>86758562</v>
      </c>
      <c r="I3584">
        <v>72779660</v>
      </c>
      <c r="J3584">
        <v>60863606</v>
      </c>
      <c r="K3584">
        <v>55162277</v>
      </c>
      <c r="L3584">
        <v>35809070</v>
      </c>
      <c r="M3584">
        <v>41470096</v>
      </c>
      <c r="P3584">
        <v>91</v>
      </c>
      <c r="Q3584" t="s">
        <v>7514</v>
      </c>
    </row>
    <row r="3585" spans="1:17" x14ac:dyDescent="0.3">
      <c r="A3585" t="s">
        <v>4729</v>
      </c>
      <c r="B3585" t="str">
        <f>"002871"</f>
        <v>002871</v>
      </c>
      <c r="C3585" t="s">
        <v>7515</v>
      </c>
      <c r="D3585" t="s">
        <v>274</v>
      </c>
      <c r="F3585">
        <v>71854563</v>
      </c>
      <c r="G3585">
        <v>50843941</v>
      </c>
      <c r="H3585">
        <v>67182917</v>
      </c>
      <c r="I3585">
        <v>80711263</v>
      </c>
      <c r="J3585">
        <v>50280288</v>
      </c>
      <c r="K3585">
        <v>51471257</v>
      </c>
      <c r="L3585">
        <v>50739833</v>
      </c>
      <c r="M3585">
        <v>44141272</v>
      </c>
      <c r="P3585">
        <v>66</v>
      </c>
      <c r="Q3585" t="s">
        <v>7516</v>
      </c>
    </row>
    <row r="3586" spans="1:17" x14ac:dyDescent="0.3">
      <c r="A3586" t="s">
        <v>4729</v>
      </c>
      <c r="B3586" t="str">
        <f>"002872"</f>
        <v>002872</v>
      </c>
      <c r="C3586" t="s">
        <v>7517</v>
      </c>
      <c r="D3586" t="s">
        <v>125</v>
      </c>
      <c r="F3586">
        <v>167320974</v>
      </c>
      <c r="G3586">
        <v>578076734</v>
      </c>
      <c r="H3586">
        <v>778959736</v>
      </c>
      <c r="I3586">
        <v>852197764</v>
      </c>
      <c r="J3586">
        <v>784053358</v>
      </c>
      <c r="K3586">
        <v>502277004</v>
      </c>
      <c r="L3586">
        <v>548168169</v>
      </c>
      <c r="M3586">
        <v>451793874</v>
      </c>
      <c r="P3586">
        <v>69</v>
      </c>
      <c r="Q3586" t="s">
        <v>7518</v>
      </c>
    </row>
    <row r="3587" spans="1:17" x14ac:dyDescent="0.3">
      <c r="A3587" t="s">
        <v>4729</v>
      </c>
      <c r="B3587" t="str">
        <f>"002873"</f>
        <v>002873</v>
      </c>
      <c r="C3587" t="s">
        <v>7519</v>
      </c>
      <c r="D3587" t="s">
        <v>188</v>
      </c>
      <c r="F3587">
        <v>222775436</v>
      </c>
      <c r="G3587">
        <v>178806443</v>
      </c>
      <c r="H3587">
        <v>194917843</v>
      </c>
      <c r="I3587">
        <v>174629789</v>
      </c>
      <c r="J3587">
        <v>147936050</v>
      </c>
      <c r="K3587">
        <v>143346948</v>
      </c>
      <c r="L3587">
        <v>111935992</v>
      </c>
      <c r="M3587">
        <v>98104587</v>
      </c>
      <c r="P3587">
        <v>166</v>
      </c>
      <c r="Q3587" t="s">
        <v>7520</v>
      </c>
    </row>
    <row r="3588" spans="1:17" x14ac:dyDescent="0.3">
      <c r="A3588" t="s">
        <v>4729</v>
      </c>
      <c r="B3588" t="str">
        <f>"002875"</f>
        <v>002875</v>
      </c>
      <c r="C3588" t="s">
        <v>7521</v>
      </c>
      <c r="D3588" t="s">
        <v>255</v>
      </c>
      <c r="F3588">
        <v>49128217</v>
      </c>
      <c r="G3588">
        <v>60440407</v>
      </c>
      <c r="H3588">
        <v>86175168</v>
      </c>
      <c r="I3588">
        <v>69363898</v>
      </c>
      <c r="J3588">
        <v>66810661</v>
      </c>
      <c r="K3588">
        <v>51802404</v>
      </c>
      <c r="L3588">
        <v>48394012</v>
      </c>
      <c r="M3588">
        <v>42713635</v>
      </c>
      <c r="P3588">
        <v>92</v>
      </c>
      <c r="Q3588" t="s">
        <v>7522</v>
      </c>
    </row>
    <row r="3589" spans="1:17" x14ac:dyDescent="0.3">
      <c r="A3589" t="s">
        <v>4729</v>
      </c>
      <c r="B3589" t="str">
        <f>"002876"</f>
        <v>002876</v>
      </c>
      <c r="C3589" t="s">
        <v>7523</v>
      </c>
      <c r="D3589" t="s">
        <v>1117</v>
      </c>
      <c r="F3589">
        <v>708521877</v>
      </c>
      <c r="G3589">
        <v>634097456</v>
      </c>
      <c r="H3589">
        <v>548543121</v>
      </c>
      <c r="I3589">
        <v>374952826</v>
      </c>
      <c r="J3589">
        <v>267900425</v>
      </c>
      <c r="K3589">
        <v>280274069</v>
      </c>
      <c r="L3589">
        <v>228277108</v>
      </c>
      <c r="M3589">
        <v>222210904</v>
      </c>
      <c r="P3589">
        <v>212</v>
      </c>
      <c r="Q3589" t="s">
        <v>7524</v>
      </c>
    </row>
    <row r="3590" spans="1:17" x14ac:dyDescent="0.3">
      <c r="A3590" t="s">
        <v>4729</v>
      </c>
      <c r="B3590" t="str">
        <f>"002877"</f>
        <v>002877</v>
      </c>
      <c r="C3590" t="s">
        <v>7525</v>
      </c>
      <c r="D3590" t="s">
        <v>274</v>
      </c>
      <c r="F3590">
        <v>293977725</v>
      </c>
      <c r="G3590">
        <v>185482806</v>
      </c>
      <c r="H3590">
        <v>202703748</v>
      </c>
      <c r="I3590">
        <v>200663302</v>
      </c>
      <c r="J3590">
        <v>220483208</v>
      </c>
      <c r="K3590">
        <v>169688491</v>
      </c>
      <c r="L3590">
        <v>163792408</v>
      </c>
      <c r="M3590">
        <v>134816238</v>
      </c>
      <c r="P3590">
        <v>100</v>
      </c>
      <c r="Q3590" t="s">
        <v>7526</v>
      </c>
    </row>
    <row r="3591" spans="1:17" x14ac:dyDescent="0.3">
      <c r="A3591" t="s">
        <v>4729</v>
      </c>
      <c r="B3591" t="str">
        <f>"002878"</f>
        <v>002878</v>
      </c>
      <c r="C3591" t="s">
        <v>7527</v>
      </c>
      <c r="D3591" t="s">
        <v>1673</v>
      </c>
      <c r="F3591">
        <v>696815726</v>
      </c>
      <c r="G3591">
        <v>540822704</v>
      </c>
      <c r="H3591">
        <v>576305335</v>
      </c>
      <c r="I3591">
        <v>502124757</v>
      </c>
      <c r="J3591">
        <v>268762507</v>
      </c>
      <c r="K3591">
        <v>268358724</v>
      </c>
      <c r="L3591">
        <v>191430288</v>
      </c>
      <c r="M3591">
        <v>183206954</v>
      </c>
      <c r="P3591">
        <v>345</v>
      </c>
      <c r="Q3591" t="s">
        <v>7528</v>
      </c>
    </row>
    <row r="3592" spans="1:17" x14ac:dyDescent="0.3">
      <c r="A3592" t="s">
        <v>4729</v>
      </c>
      <c r="B3592" t="str">
        <f>"002879"</f>
        <v>002879</v>
      </c>
      <c r="C3592" t="s">
        <v>7529</v>
      </c>
      <c r="D3592" t="s">
        <v>1164</v>
      </c>
      <c r="F3592">
        <v>584152620</v>
      </c>
      <c r="G3592">
        <v>537508105</v>
      </c>
      <c r="H3592">
        <v>477435241</v>
      </c>
      <c r="I3592">
        <v>436171051</v>
      </c>
      <c r="J3592">
        <v>384236354</v>
      </c>
      <c r="K3592">
        <v>310770301</v>
      </c>
      <c r="L3592">
        <v>284966002</v>
      </c>
      <c r="M3592">
        <v>260229927</v>
      </c>
      <c r="P3592">
        <v>266</v>
      </c>
      <c r="Q3592" t="s">
        <v>7530</v>
      </c>
    </row>
    <row r="3593" spans="1:17" x14ac:dyDescent="0.3">
      <c r="A3593" t="s">
        <v>4729</v>
      </c>
      <c r="B3593" t="str">
        <f>"002880"</f>
        <v>002880</v>
      </c>
      <c r="C3593" t="s">
        <v>7531</v>
      </c>
      <c r="D3593" t="s">
        <v>378</v>
      </c>
      <c r="F3593">
        <v>128390823</v>
      </c>
      <c r="G3593">
        <v>107262706</v>
      </c>
      <c r="H3593">
        <v>133520769</v>
      </c>
      <c r="I3593">
        <v>66848117</v>
      </c>
      <c r="J3593">
        <v>49635180</v>
      </c>
      <c r="K3593">
        <v>3516930</v>
      </c>
      <c r="L3593">
        <v>1811138</v>
      </c>
      <c r="M3593">
        <v>2635110</v>
      </c>
      <c r="P3593">
        <v>214</v>
      </c>
      <c r="Q3593" t="s">
        <v>7532</v>
      </c>
    </row>
    <row r="3594" spans="1:17" x14ac:dyDescent="0.3">
      <c r="A3594" t="s">
        <v>4729</v>
      </c>
      <c r="B3594" t="str">
        <f>"002881"</f>
        <v>002881</v>
      </c>
      <c r="C3594" t="s">
        <v>7533</v>
      </c>
      <c r="D3594" t="s">
        <v>313</v>
      </c>
      <c r="F3594">
        <v>321182718</v>
      </c>
      <c r="G3594">
        <v>232160233</v>
      </c>
      <c r="H3594">
        <v>212950058</v>
      </c>
      <c r="I3594">
        <v>248137023</v>
      </c>
      <c r="J3594">
        <v>195887374</v>
      </c>
      <c r="K3594">
        <v>139901551</v>
      </c>
      <c r="L3594">
        <v>107178740</v>
      </c>
      <c r="M3594">
        <v>79279325</v>
      </c>
      <c r="P3594">
        <v>240</v>
      </c>
      <c r="Q3594" t="s">
        <v>7534</v>
      </c>
    </row>
    <row r="3595" spans="1:17" x14ac:dyDescent="0.3">
      <c r="A3595" t="s">
        <v>4729</v>
      </c>
      <c r="B3595" t="str">
        <f>"002882"</f>
        <v>002882</v>
      </c>
      <c r="C3595" t="s">
        <v>7535</v>
      </c>
      <c r="D3595" t="s">
        <v>1164</v>
      </c>
      <c r="F3595">
        <v>1221571827</v>
      </c>
      <c r="G3595">
        <v>779708402</v>
      </c>
      <c r="H3595">
        <v>780711408</v>
      </c>
      <c r="I3595">
        <v>590233945</v>
      </c>
      <c r="J3595">
        <v>578981114</v>
      </c>
      <c r="K3595">
        <v>364423107</v>
      </c>
      <c r="L3595">
        <v>407958071</v>
      </c>
      <c r="M3595">
        <v>364937182</v>
      </c>
      <c r="P3595">
        <v>118</v>
      </c>
      <c r="Q3595" t="s">
        <v>7536</v>
      </c>
    </row>
    <row r="3596" spans="1:17" x14ac:dyDescent="0.3">
      <c r="A3596" t="s">
        <v>4729</v>
      </c>
      <c r="B3596" t="str">
        <f>"002883"</f>
        <v>002883</v>
      </c>
      <c r="C3596" t="s">
        <v>7537</v>
      </c>
      <c r="D3596" t="s">
        <v>1272</v>
      </c>
      <c r="F3596">
        <v>267298641</v>
      </c>
      <c r="G3596">
        <v>207057088</v>
      </c>
      <c r="H3596">
        <v>379658029</v>
      </c>
      <c r="I3596">
        <v>294793086</v>
      </c>
      <c r="J3596">
        <v>208400407</v>
      </c>
      <c r="K3596">
        <v>175661234</v>
      </c>
      <c r="L3596">
        <v>105177393</v>
      </c>
      <c r="M3596">
        <v>82621607</v>
      </c>
      <c r="P3596">
        <v>102</v>
      </c>
      <c r="Q3596" t="s">
        <v>7538</v>
      </c>
    </row>
    <row r="3597" spans="1:17" x14ac:dyDescent="0.3">
      <c r="A3597" t="s">
        <v>4729</v>
      </c>
      <c r="B3597" t="str">
        <f>"002884"</f>
        <v>002884</v>
      </c>
      <c r="C3597" t="s">
        <v>7539</v>
      </c>
      <c r="D3597" t="s">
        <v>560</v>
      </c>
      <c r="F3597">
        <v>208243671</v>
      </c>
      <c r="G3597">
        <v>107863392</v>
      </c>
      <c r="H3597">
        <v>63961171</v>
      </c>
      <c r="I3597">
        <v>80127108</v>
      </c>
      <c r="J3597">
        <v>61317144</v>
      </c>
      <c r="K3597">
        <v>50780014</v>
      </c>
      <c r="L3597">
        <v>44200141</v>
      </c>
      <c r="M3597">
        <v>46522607</v>
      </c>
      <c r="P3597">
        <v>995</v>
      </c>
      <c r="Q3597" t="s">
        <v>7540</v>
      </c>
    </row>
    <row r="3598" spans="1:17" x14ac:dyDescent="0.3">
      <c r="A3598" t="s">
        <v>4729</v>
      </c>
      <c r="B3598" t="str">
        <f>"002885"</f>
        <v>002885</v>
      </c>
      <c r="C3598" t="s">
        <v>7541</v>
      </c>
      <c r="D3598" t="s">
        <v>313</v>
      </c>
      <c r="F3598">
        <v>643668305</v>
      </c>
      <c r="G3598">
        <v>422974238</v>
      </c>
      <c r="H3598">
        <v>375438185</v>
      </c>
      <c r="I3598">
        <v>323827329</v>
      </c>
      <c r="J3598">
        <v>422749363</v>
      </c>
      <c r="K3598">
        <v>232653856</v>
      </c>
      <c r="L3598">
        <v>202733563</v>
      </c>
      <c r="M3598">
        <v>155609941</v>
      </c>
      <c r="P3598">
        <v>199</v>
      </c>
      <c r="Q3598" t="s">
        <v>7542</v>
      </c>
    </row>
    <row r="3599" spans="1:17" x14ac:dyDescent="0.3">
      <c r="A3599" t="s">
        <v>4729</v>
      </c>
      <c r="B3599" t="str">
        <f>"002886"</f>
        <v>002886</v>
      </c>
      <c r="C3599" t="s">
        <v>7543</v>
      </c>
      <c r="D3599" t="s">
        <v>341</v>
      </c>
      <c r="F3599">
        <v>366021844</v>
      </c>
      <c r="G3599">
        <v>311257138</v>
      </c>
      <c r="H3599">
        <v>239940285</v>
      </c>
      <c r="I3599">
        <v>265481973</v>
      </c>
      <c r="J3599">
        <v>243394474</v>
      </c>
      <c r="K3599">
        <v>168776113</v>
      </c>
      <c r="L3599">
        <v>145561269</v>
      </c>
      <c r="M3599">
        <v>124841736</v>
      </c>
      <c r="P3599">
        <v>190</v>
      </c>
      <c r="Q3599" t="s">
        <v>7544</v>
      </c>
    </row>
    <row r="3600" spans="1:17" x14ac:dyDescent="0.3">
      <c r="A3600" t="s">
        <v>4729</v>
      </c>
      <c r="B3600" t="str">
        <f>"002887"</f>
        <v>002887</v>
      </c>
      <c r="C3600" t="s">
        <v>7545</v>
      </c>
      <c r="D3600" t="s">
        <v>3575</v>
      </c>
      <c r="F3600">
        <v>729900851</v>
      </c>
      <c r="G3600">
        <v>602233766</v>
      </c>
      <c r="H3600">
        <v>765992336</v>
      </c>
      <c r="I3600">
        <v>677330298</v>
      </c>
      <c r="J3600">
        <v>809849216</v>
      </c>
      <c r="K3600">
        <v>568442350</v>
      </c>
      <c r="L3600">
        <v>444209246</v>
      </c>
      <c r="M3600">
        <v>483315830</v>
      </c>
      <c r="P3600">
        <v>167</v>
      </c>
      <c r="Q3600" t="s">
        <v>7546</v>
      </c>
    </row>
    <row r="3601" spans="1:17" x14ac:dyDescent="0.3">
      <c r="A3601" t="s">
        <v>4729</v>
      </c>
      <c r="B3601" t="str">
        <f>"002888"</f>
        <v>002888</v>
      </c>
      <c r="C3601" t="s">
        <v>7547</v>
      </c>
      <c r="D3601" t="s">
        <v>3526</v>
      </c>
      <c r="F3601">
        <v>12822195</v>
      </c>
      <c r="G3601">
        <v>14248105</v>
      </c>
      <c r="H3601">
        <v>8018197</v>
      </c>
      <c r="I3601">
        <v>10612103</v>
      </c>
      <c r="J3601">
        <v>6946931</v>
      </c>
      <c r="K3601">
        <v>9432642</v>
      </c>
      <c r="L3601">
        <v>6637272</v>
      </c>
      <c r="M3601">
        <v>1398403</v>
      </c>
      <c r="P3601">
        <v>80</v>
      </c>
      <c r="Q3601" t="s">
        <v>7548</v>
      </c>
    </row>
    <row r="3602" spans="1:17" x14ac:dyDescent="0.3">
      <c r="A3602" t="s">
        <v>4729</v>
      </c>
      <c r="B3602" t="str">
        <f>"002889"</f>
        <v>002889</v>
      </c>
      <c r="C3602" t="s">
        <v>7549</v>
      </c>
      <c r="D3602" t="s">
        <v>3125</v>
      </c>
      <c r="F3602">
        <v>449881831</v>
      </c>
      <c r="G3602">
        <v>516627382</v>
      </c>
      <c r="H3602">
        <v>4158230975</v>
      </c>
      <c r="I3602">
        <v>4292820857</v>
      </c>
      <c r="J3602">
        <v>3056386431</v>
      </c>
      <c r="K3602">
        <v>2773720398</v>
      </c>
      <c r="L3602">
        <v>1391667575</v>
      </c>
      <c r="M3602">
        <v>978737515</v>
      </c>
      <c r="P3602">
        <v>123</v>
      </c>
      <c r="Q3602" t="s">
        <v>7550</v>
      </c>
    </row>
    <row r="3603" spans="1:17" x14ac:dyDescent="0.3">
      <c r="A3603" t="s">
        <v>4729</v>
      </c>
      <c r="B3603" t="str">
        <f>"002890"</f>
        <v>002890</v>
      </c>
      <c r="C3603" t="s">
        <v>7551</v>
      </c>
      <c r="D3603" t="s">
        <v>1985</v>
      </c>
      <c r="F3603">
        <v>116047121</v>
      </c>
      <c r="G3603">
        <v>95838708</v>
      </c>
      <c r="H3603">
        <v>88503101</v>
      </c>
      <c r="I3603">
        <v>84456187</v>
      </c>
      <c r="J3603">
        <v>71722919</v>
      </c>
      <c r="K3603">
        <v>69782790</v>
      </c>
      <c r="L3603">
        <v>68036972</v>
      </c>
      <c r="M3603">
        <v>72819288</v>
      </c>
      <c r="P3603">
        <v>70</v>
      </c>
      <c r="Q3603" t="s">
        <v>7552</v>
      </c>
    </row>
    <row r="3604" spans="1:17" x14ac:dyDescent="0.3">
      <c r="A3604" t="s">
        <v>4729</v>
      </c>
      <c r="B3604" t="str">
        <f>"002891"</f>
        <v>002891</v>
      </c>
      <c r="C3604" t="s">
        <v>7553</v>
      </c>
      <c r="D3604" t="s">
        <v>7554</v>
      </c>
      <c r="F3604">
        <v>345354403</v>
      </c>
      <c r="G3604">
        <v>274285968</v>
      </c>
      <c r="H3604">
        <v>233958539</v>
      </c>
      <c r="I3604">
        <v>183132059</v>
      </c>
      <c r="J3604">
        <v>128811218</v>
      </c>
      <c r="K3604">
        <v>104452019</v>
      </c>
      <c r="L3604">
        <v>95825496</v>
      </c>
      <c r="M3604">
        <v>43905690</v>
      </c>
      <c r="P3604">
        <v>649</v>
      </c>
      <c r="Q3604" t="s">
        <v>7555</v>
      </c>
    </row>
    <row r="3605" spans="1:17" x14ac:dyDescent="0.3">
      <c r="A3605" t="s">
        <v>4729</v>
      </c>
      <c r="B3605" t="str">
        <f>"002892"</f>
        <v>002892</v>
      </c>
      <c r="C3605" t="s">
        <v>7556</v>
      </c>
      <c r="D3605" t="s">
        <v>1171</v>
      </c>
      <c r="F3605">
        <v>334097107</v>
      </c>
      <c r="G3605">
        <v>231062709</v>
      </c>
      <c r="H3605">
        <v>145111977</v>
      </c>
      <c r="I3605">
        <v>131352652</v>
      </c>
      <c r="J3605">
        <v>93011232</v>
      </c>
      <c r="K3605">
        <v>82760878</v>
      </c>
      <c r="L3605">
        <v>66234360</v>
      </c>
      <c r="M3605">
        <v>70323988</v>
      </c>
      <c r="P3605">
        <v>145</v>
      </c>
      <c r="Q3605" t="s">
        <v>7557</v>
      </c>
    </row>
    <row r="3606" spans="1:17" x14ac:dyDescent="0.3">
      <c r="A3606" t="s">
        <v>4729</v>
      </c>
      <c r="B3606" t="str">
        <f>"002893"</f>
        <v>002893</v>
      </c>
      <c r="C3606" t="s">
        <v>7558</v>
      </c>
      <c r="D3606" t="s">
        <v>351</v>
      </c>
      <c r="F3606">
        <v>263604180</v>
      </c>
      <c r="G3606">
        <v>274603514</v>
      </c>
      <c r="H3606">
        <v>237311983</v>
      </c>
      <c r="I3606">
        <v>298363837</v>
      </c>
      <c r="J3606">
        <v>280875495</v>
      </c>
      <c r="K3606">
        <v>231622321</v>
      </c>
      <c r="L3606">
        <v>246074357</v>
      </c>
      <c r="M3606">
        <v>235094129</v>
      </c>
      <c r="P3606">
        <v>92</v>
      </c>
      <c r="Q3606" t="s">
        <v>7559</v>
      </c>
    </row>
    <row r="3607" spans="1:17" x14ac:dyDescent="0.3">
      <c r="A3607" t="s">
        <v>4729</v>
      </c>
      <c r="B3607" t="str">
        <f>"002895"</f>
        <v>002895</v>
      </c>
      <c r="C3607" t="s">
        <v>7560</v>
      </c>
      <c r="D3607" t="s">
        <v>183</v>
      </c>
      <c r="F3607">
        <v>156823859</v>
      </c>
      <c r="G3607">
        <v>72817378</v>
      </c>
      <c r="H3607">
        <v>64530136</v>
      </c>
      <c r="I3607">
        <v>52301946</v>
      </c>
      <c r="J3607">
        <v>36914833</v>
      </c>
      <c r="K3607">
        <v>39301237</v>
      </c>
      <c r="L3607">
        <v>35028314</v>
      </c>
      <c r="M3607">
        <v>16774608</v>
      </c>
      <c r="P3607">
        <v>148</v>
      </c>
      <c r="Q3607" t="s">
        <v>7561</v>
      </c>
    </row>
    <row r="3608" spans="1:17" x14ac:dyDescent="0.3">
      <c r="A3608" t="s">
        <v>4729</v>
      </c>
      <c r="B3608" t="str">
        <f>"002896"</f>
        <v>002896</v>
      </c>
      <c r="C3608" t="s">
        <v>7562</v>
      </c>
      <c r="D3608" t="s">
        <v>274</v>
      </c>
      <c r="F3608">
        <v>93710341</v>
      </c>
      <c r="G3608">
        <v>98711081</v>
      </c>
      <c r="H3608">
        <v>122634893</v>
      </c>
      <c r="I3608">
        <v>86673286</v>
      </c>
      <c r="J3608">
        <v>69502127</v>
      </c>
      <c r="K3608">
        <v>65064665</v>
      </c>
      <c r="L3608">
        <v>64592025</v>
      </c>
      <c r="M3608">
        <v>56166689</v>
      </c>
      <c r="P3608">
        <v>137</v>
      </c>
      <c r="Q3608" t="s">
        <v>7563</v>
      </c>
    </row>
    <row r="3609" spans="1:17" x14ac:dyDescent="0.3">
      <c r="A3609" t="s">
        <v>4729</v>
      </c>
      <c r="B3609" t="str">
        <f>"002897"</f>
        <v>002897</v>
      </c>
      <c r="C3609" t="s">
        <v>7564</v>
      </c>
      <c r="D3609" t="s">
        <v>1019</v>
      </c>
      <c r="F3609">
        <v>672408877</v>
      </c>
      <c r="G3609">
        <v>541998820</v>
      </c>
      <c r="H3609">
        <v>541429512</v>
      </c>
      <c r="I3609">
        <v>399130987</v>
      </c>
      <c r="J3609">
        <v>334112277</v>
      </c>
      <c r="K3609">
        <v>261083723</v>
      </c>
      <c r="L3609">
        <v>240849629</v>
      </c>
      <c r="M3609">
        <v>252374519</v>
      </c>
      <c r="P3609">
        <v>234</v>
      </c>
      <c r="Q3609" t="s">
        <v>7565</v>
      </c>
    </row>
    <row r="3610" spans="1:17" x14ac:dyDescent="0.3">
      <c r="A3610" t="s">
        <v>4729</v>
      </c>
      <c r="B3610" t="str">
        <f>"002898"</f>
        <v>002898</v>
      </c>
      <c r="C3610" t="s">
        <v>7566</v>
      </c>
      <c r="D3610" t="s">
        <v>143</v>
      </c>
      <c r="F3610">
        <v>58773123</v>
      </c>
      <c r="G3610">
        <v>45999680</v>
      </c>
      <c r="H3610">
        <v>110689342</v>
      </c>
      <c r="I3610">
        <v>84008341</v>
      </c>
      <c r="J3610">
        <v>29143152</v>
      </c>
      <c r="K3610">
        <v>86220</v>
      </c>
      <c r="L3610">
        <v>98577</v>
      </c>
      <c r="M3610">
        <v>96206</v>
      </c>
      <c r="P3610">
        <v>90</v>
      </c>
      <c r="Q3610" t="s">
        <v>7567</v>
      </c>
    </row>
    <row r="3611" spans="1:17" x14ac:dyDescent="0.3">
      <c r="A3611" t="s">
        <v>4729</v>
      </c>
      <c r="B3611" t="str">
        <f>"002899"</f>
        <v>002899</v>
      </c>
      <c r="C3611" t="s">
        <v>7568</v>
      </c>
      <c r="D3611" t="s">
        <v>2931</v>
      </c>
      <c r="F3611">
        <v>127387705</v>
      </c>
      <c r="G3611">
        <v>133473289</v>
      </c>
      <c r="H3611">
        <v>240659982</v>
      </c>
      <c r="I3611">
        <v>197913679</v>
      </c>
      <c r="J3611">
        <v>176290106</v>
      </c>
      <c r="K3611">
        <v>152679106</v>
      </c>
      <c r="L3611">
        <v>115484422</v>
      </c>
      <c r="M3611">
        <v>108132801</v>
      </c>
      <c r="P3611">
        <v>65</v>
      </c>
      <c r="Q3611" t="s">
        <v>7569</v>
      </c>
    </row>
    <row r="3612" spans="1:17" x14ac:dyDescent="0.3">
      <c r="A3612" t="s">
        <v>4729</v>
      </c>
      <c r="B3612" t="str">
        <f>"002900"</f>
        <v>002900</v>
      </c>
      <c r="C3612" t="s">
        <v>7570</v>
      </c>
      <c r="D3612" t="s">
        <v>143</v>
      </c>
      <c r="F3612">
        <v>127564804</v>
      </c>
      <c r="G3612">
        <v>155086098</v>
      </c>
      <c r="H3612">
        <v>199829495</v>
      </c>
      <c r="I3612">
        <v>209301687</v>
      </c>
      <c r="J3612">
        <v>165836217</v>
      </c>
      <c r="K3612">
        <v>76453197</v>
      </c>
      <c r="L3612">
        <v>70791838</v>
      </c>
      <c r="M3612">
        <v>84974560</v>
      </c>
      <c r="P3612">
        <v>196</v>
      </c>
      <c r="Q3612" t="s">
        <v>7571</v>
      </c>
    </row>
    <row r="3613" spans="1:17" x14ac:dyDescent="0.3">
      <c r="A3613" t="s">
        <v>4729</v>
      </c>
      <c r="B3613" t="str">
        <f>"002901"</f>
        <v>002901</v>
      </c>
      <c r="C3613" t="s">
        <v>7572</v>
      </c>
      <c r="D3613" t="s">
        <v>1077</v>
      </c>
      <c r="F3613">
        <v>444187591</v>
      </c>
      <c r="G3613">
        <v>290865346</v>
      </c>
      <c r="H3613">
        <v>237408636</v>
      </c>
      <c r="I3613">
        <v>79213792</v>
      </c>
      <c r="J3613">
        <v>61364997</v>
      </c>
      <c r="K3613">
        <v>56023364</v>
      </c>
      <c r="L3613">
        <v>63329809</v>
      </c>
      <c r="M3613">
        <v>36261250</v>
      </c>
      <c r="P3613">
        <v>1702</v>
      </c>
      <c r="Q3613" t="s">
        <v>7573</v>
      </c>
    </row>
    <row r="3614" spans="1:17" x14ac:dyDescent="0.3">
      <c r="A3614" t="s">
        <v>4729</v>
      </c>
      <c r="B3614" t="str">
        <f>"002902"</f>
        <v>002902</v>
      </c>
      <c r="C3614" t="s">
        <v>7574</v>
      </c>
      <c r="D3614" t="s">
        <v>1019</v>
      </c>
      <c r="F3614">
        <v>711519105</v>
      </c>
      <c r="G3614">
        <v>629709225</v>
      </c>
      <c r="H3614">
        <v>477652131</v>
      </c>
      <c r="I3614">
        <v>557849150</v>
      </c>
      <c r="J3614">
        <v>524679147</v>
      </c>
      <c r="K3614">
        <v>369696505</v>
      </c>
      <c r="L3614">
        <v>338031766</v>
      </c>
      <c r="M3614">
        <v>313389038</v>
      </c>
      <c r="P3614">
        <v>216</v>
      </c>
      <c r="Q3614" t="s">
        <v>7575</v>
      </c>
    </row>
    <row r="3615" spans="1:17" x14ac:dyDescent="0.3">
      <c r="A3615" t="s">
        <v>4729</v>
      </c>
      <c r="B3615" t="str">
        <f>"002903"</f>
        <v>002903</v>
      </c>
      <c r="C3615" t="s">
        <v>7576</v>
      </c>
      <c r="D3615" t="s">
        <v>2321</v>
      </c>
      <c r="F3615">
        <v>77598898</v>
      </c>
      <c r="G3615">
        <v>60367295</v>
      </c>
      <c r="H3615">
        <v>68259484</v>
      </c>
      <c r="I3615">
        <v>132279700</v>
      </c>
      <c r="J3615">
        <v>64638105</v>
      </c>
      <c r="K3615">
        <v>99269447</v>
      </c>
      <c r="L3615">
        <v>32530372</v>
      </c>
      <c r="M3615">
        <v>37913854</v>
      </c>
      <c r="P3615">
        <v>143</v>
      </c>
      <c r="Q3615" t="s">
        <v>7577</v>
      </c>
    </row>
    <row r="3616" spans="1:17" x14ac:dyDescent="0.3">
      <c r="A3616" t="s">
        <v>4729</v>
      </c>
      <c r="B3616" t="str">
        <f>"002905"</f>
        <v>002905</v>
      </c>
      <c r="C3616" t="s">
        <v>7578</v>
      </c>
      <c r="D3616" t="s">
        <v>2573</v>
      </c>
      <c r="F3616">
        <v>80581575</v>
      </c>
      <c r="G3616">
        <v>130597486</v>
      </c>
      <c r="H3616">
        <v>134908765</v>
      </c>
      <c r="I3616">
        <v>142441209</v>
      </c>
      <c r="J3616">
        <v>185690505</v>
      </c>
      <c r="K3616">
        <v>84868330</v>
      </c>
      <c r="L3616">
        <v>126951587</v>
      </c>
      <c r="M3616">
        <v>78172746</v>
      </c>
      <c r="P3616">
        <v>133</v>
      </c>
      <c r="Q3616" t="s">
        <v>7579</v>
      </c>
    </row>
    <row r="3617" spans="1:17" x14ac:dyDescent="0.3">
      <c r="A3617" t="s">
        <v>4729</v>
      </c>
      <c r="B3617" t="str">
        <f>"002906"</f>
        <v>002906</v>
      </c>
      <c r="C3617" t="s">
        <v>7580</v>
      </c>
      <c r="D3617" t="s">
        <v>1415</v>
      </c>
      <c r="F3617">
        <v>1536584261</v>
      </c>
      <c r="G3617">
        <v>1301625208</v>
      </c>
      <c r="H3617">
        <v>1081806036</v>
      </c>
      <c r="I3617">
        <v>1133995499</v>
      </c>
      <c r="J3617">
        <v>1113639716</v>
      </c>
      <c r="K3617">
        <v>1389843393</v>
      </c>
      <c r="L3617">
        <v>892119462</v>
      </c>
      <c r="M3617">
        <v>962610308</v>
      </c>
      <c r="P3617">
        <v>228</v>
      </c>
      <c r="Q3617" t="s">
        <v>7581</v>
      </c>
    </row>
    <row r="3618" spans="1:17" x14ac:dyDescent="0.3">
      <c r="A3618" t="s">
        <v>4729</v>
      </c>
      <c r="B3618" t="str">
        <f>"002907"</f>
        <v>002907</v>
      </c>
      <c r="C3618" t="s">
        <v>7582</v>
      </c>
      <c r="D3618" t="s">
        <v>188</v>
      </c>
      <c r="F3618">
        <v>163579223</v>
      </c>
      <c r="G3618">
        <v>167121509</v>
      </c>
      <c r="H3618">
        <v>191665757</v>
      </c>
      <c r="I3618">
        <v>207115907</v>
      </c>
      <c r="J3618">
        <v>153204063</v>
      </c>
      <c r="K3618">
        <v>165862097</v>
      </c>
      <c r="L3618">
        <v>128886283</v>
      </c>
      <c r="M3618">
        <v>119462113</v>
      </c>
      <c r="P3618">
        <v>286</v>
      </c>
      <c r="Q3618" t="s">
        <v>7583</v>
      </c>
    </row>
    <row r="3619" spans="1:17" x14ac:dyDescent="0.3">
      <c r="A3619" t="s">
        <v>4729</v>
      </c>
      <c r="B3619" t="str">
        <f>"002908"</f>
        <v>002908</v>
      </c>
      <c r="C3619" t="s">
        <v>7584</v>
      </c>
      <c r="D3619" t="s">
        <v>786</v>
      </c>
      <c r="F3619">
        <v>530360317</v>
      </c>
      <c r="G3619">
        <v>355281418</v>
      </c>
      <c r="H3619">
        <v>301124301</v>
      </c>
      <c r="I3619">
        <v>271335156</v>
      </c>
      <c r="J3619">
        <v>225599686</v>
      </c>
      <c r="K3619">
        <v>173088631</v>
      </c>
      <c r="L3619">
        <v>148253937</v>
      </c>
      <c r="M3619">
        <v>148184769</v>
      </c>
      <c r="P3619">
        <v>126</v>
      </c>
      <c r="Q3619" t="s">
        <v>7585</v>
      </c>
    </row>
    <row r="3620" spans="1:17" x14ac:dyDescent="0.3">
      <c r="A3620" t="s">
        <v>4729</v>
      </c>
      <c r="B3620" t="str">
        <f>"002909"</f>
        <v>002909</v>
      </c>
      <c r="C3620" t="s">
        <v>7586</v>
      </c>
      <c r="D3620" t="s">
        <v>1205</v>
      </c>
      <c r="F3620">
        <v>429969853</v>
      </c>
      <c r="G3620">
        <v>322789648</v>
      </c>
      <c r="H3620">
        <v>232489444</v>
      </c>
      <c r="I3620">
        <v>188240582</v>
      </c>
      <c r="J3620">
        <v>233418877</v>
      </c>
      <c r="K3620">
        <v>181807088</v>
      </c>
      <c r="L3620">
        <v>135438019</v>
      </c>
      <c r="M3620">
        <v>191711579</v>
      </c>
      <c r="P3620">
        <v>87</v>
      </c>
      <c r="Q3620" t="s">
        <v>7587</v>
      </c>
    </row>
    <row r="3621" spans="1:17" x14ac:dyDescent="0.3">
      <c r="A3621" t="s">
        <v>4729</v>
      </c>
      <c r="B3621" t="str">
        <f>"002910"</f>
        <v>002910</v>
      </c>
      <c r="C3621" t="s">
        <v>7588</v>
      </c>
      <c r="D3621" t="s">
        <v>900</v>
      </c>
      <c r="F3621">
        <v>38980803</v>
      </c>
      <c r="G3621">
        <v>41585884</v>
      </c>
      <c r="H3621">
        <v>29649223</v>
      </c>
      <c r="I3621">
        <v>36474293</v>
      </c>
      <c r="J3621">
        <v>24403066</v>
      </c>
      <c r="K3621">
        <v>14036182</v>
      </c>
      <c r="L3621">
        <v>28537715</v>
      </c>
      <c r="M3621">
        <v>21783241</v>
      </c>
      <c r="P3621">
        <v>147</v>
      </c>
      <c r="Q3621" t="s">
        <v>7589</v>
      </c>
    </row>
    <row r="3622" spans="1:17" x14ac:dyDescent="0.3">
      <c r="A3622" t="s">
        <v>4729</v>
      </c>
      <c r="B3622" t="str">
        <f>"002911"</f>
        <v>002911</v>
      </c>
      <c r="C3622" t="s">
        <v>7590</v>
      </c>
      <c r="D3622" t="s">
        <v>749</v>
      </c>
      <c r="F3622">
        <v>816403512</v>
      </c>
      <c r="G3622">
        <v>511760499</v>
      </c>
      <c r="H3622">
        <v>351969462</v>
      </c>
      <c r="I3622">
        <v>288400366</v>
      </c>
      <c r="J3622">
        <v>263183126</v>
      </c>
      <c r="K3622">
        <v>223935212</v>
      </c>
      <c r="L3622">
        <v>225424595</v>
      </c>
      <c r="M3622">
        <v>257872552</v>
      </c>
      <c r="P3622">
        <v>183</v>
      </c>
      <c r="Q3622" t="s">
        <v>7591</v>
      </c>
    </row>
    <row r="3623" spans="1:17" x14ac:dyDescent="0.3">
      <c r="A3623" t="s">
        <v>4729</v>
      </c>
      <c r="B3623" t="str">
        <f>"002912"</f>
        <v>002912</v>
      </c>
      <c r="C3623" t="s">
        <v>7592</v>
      </c>
      <c r="D3623" t="s">
        <v>236</v>
      </c>
      <c r="F3623">
        <v>269652818</v>
      </c>
      <c r="G3623">
        <v>268996091</v>
      </c>
      <c r="H3623">
        <v>272134197</v>
      </c>
      <c r="I3623">
        <v>343967185</v>
      </c>
      <c r="J3623">
        <v>149664998</v>
      </c>
      <c r="K3623">
        <v>167489386</v>
      </c>
      <c r="L3623">
        <v>132716494</v>
      </c>
      <c r="M3623">
        <v>117162534</v>
      </c>
      <c r="P3623">
        <v>586</v>
      </c>
      <c r="Q3623" t="s">
        <v>7593</v>
      </c>
    </row>
    <row r="3624" spans="1:17" x14ac:dyDescent="0.3">
      <c r="A3624" t="s">
        <v>4729</v>
      </c>
      <c r="B3624" t="str">
        <f>"002913"</f>
        <v>002913</v>
      </c>
      <c r="C3624" t="s">
        <v>7594</v>
      </c>
      <c r="D3624" t="s">
        <v>425</v>
      </c>
      <c r="F3624">
        <v>1233007210</v>
      </c>
      <c r="G3624">
        <v>889060361</v>
      </c>
      <c r="H3624">
        <v>662569955</v>
      </c>
      <c r="I3624">
        <v>689140228</v>
      </c>
      <c r="J3624">
        <v>570698580</v>
      </c>
      <c r="K3624">
        <v>439465730</v>
      </c>
      <c r="L3624">
        <v>340122457</v>
      </c>
      <c r="M3624">
        <v>245681119</v>
      </c>
      <c r="P3624">
        <v>205</v>
      </c>
      <c r="Q3624" t="s">
        <v>7595</v>
      </c>
    </row>
    <row r="3625" spans="1:17" x14ac:dyDescent="0.3">
      <c r="A3625" t="s">
        <v>4729</v>
      </c>
      <c r="B3625" t="str">
        <f>"002915"</f>
        <v>002915</v>
      </c>
      <c r="C3625" t="s">
        <v>7596</v>
      </c>
      <c r="D3625" t="s">
        <v>375</v>
      </c>
      <c r="F3625">
        <v>180452835</v>
      </c>
      <c r="G3625">
        <v>146448859</v>
      </c>
      <c r="H3625">
        <v>121660461</v>
      </c>
      <c r="I3625">
        <v>96307969</v>
      </c>
      <c r="J3625">
        <v>82463409</v>
      </c>
      <c r="K3625">
        <v>69188996</v>
      </c>
      <c r="L3625">
        <v>37497886</v>
      </c>
      <c r="M3625">
        <v>40556685</v>
      </c>
      <c r="P3625">
        <v>90</v>
      </c>
      <c r="Q3625" t="s">
        <v>7597</v>
      </c>
    </row>
    <row r="3626" spans="1:17" x14ac:dyDescent="0.3">
      <c r="A3626" t="s">
        <v>4729</v>
      </c>
      <c r="B3626" t="str">
        <f>"002916"</f>
        <v>002916</v>
      </c>
      <c r="C3626" t="s">
        <v>7598</v>
      </c>
      <c r="D3626" t="s">
        <v>425</v>
      </c>
      <c r="F3626">
        <v>2731577854</v>
      </c>
      <c r="G3626">
        <v>2053051638</v>
      </c>
      <c r="H3626">
        <v>2091660220</v>
      </c>
      <c r="I3626">
        <v>1576514663</v>
      </c>
      <c r="J3626">
        <v>838018751</v>
      </c>
      <c r="K3626">
        <v>730009437</v>
      </c>
      <c r="L3626">
        <v>663482281</v>
      </c>
      <c r="M3626">
        <v>692530995</v>
      </c>
      <c r="P3626">
        <v>2552</v>
      </c>
      <c r="Q3626" t="s">
        <v>7599</v>
      </c>
    </row>
    <row r="3627" spans="1:17" x14ac:dyDescent="0.3">
      <c r="A3627" t="s">
        <v>4729</v>
      </c>
      <c r="B3627" t="str">
        <f>"002917"</f>
        <v>002917</v>
      </c>
      <c r="C3627" t="s">
        <v>7600</v>
      </c>
      <c r="D3627" t="s">
        <v>2736</v>
      </c>
      <c r="F3627">
        <v>310040539</v>
      </c>
      <c r="G3627">
        <v>206646847</v>
      </c>
      <c r="H3627">
        <v>159821689</v>
      </c>
      <c r="I3627">
        <v>120142855</v>
      </c>
      <c r="J3627">
        <v>111220112</v>
      </c>
      <c r="K3627">
        <v>97633892</v>
      </c>
      <c r="L3627">
        <v>53599402</v>
      </c>
      <c r="M3627">
        <v>49059982</v>
      </c>
      <c r="P3627">
        <v>67</v>
      </c>
      <c r="Q3627" t="s">
        <v>7601</v>
      </c>
    </row>
    <row r="3628" spans="1:17" x14ac:dyDescent="0.3">
      <c r="A3628" t="s">
        <v>4729</v>
      </c>
      <c r="B3628" t="str">
        <f>"002918"</f>
        <v>002918</v>
      </c>
      <c r="C3628" t="s">
        <v>7602</v>
      </c>
      <c r="D3628" t="s">
        <v>178</v>
      </c>
      <c r="F3628">
        <v>1274414270</v>
      </c>
      <c r="G3628">
        <v>815811158</v>
      </c>
      <c r="H3628">
        <v>608869428</v>
      </c>
      <c r="I3628">
        <v>555753657</v>
      </c>
      <c r="J3628">
        <v>476909148</v>
      </c>
      <c r="K3628">
        <v>328555670</v>
      </c>
      <c r="L3628">
        <v>235679179</v>
      </c>
      <c r="M3628">
        <v>214011999</v>
      </c>
      <c r="P3628">
        <v>529</v>
      </c>
      <c r="Q3628" t="s">
        <v>7603</v>
      </c>
    </row>
    <row r="3629" spans="1:17" x14ac:dyDescent="0.3">
      <c r="A3629" t="s">
        <v>4729</v>
      </c>
      <c r="B3629" t="str">
        <f>"002919"</f>
        <v>002919</v>
      </c>
      <c r="C3629" t="s">
        <v>7604</v>
      </c>
      <c r="D3629" t="s">
        <v>569</v>
      </c>
      <c r="F3629">
        <v>209736138</v>
      </c>
      <c r="G3629">
        <v>188091477</v>
      </c>
      <c r="H3629">
        <v>19078453</v>
      </c>
      <c r="I3629">
        <v>26276354</v>
      </c>
      <c r="J3629">
        <v>22661770</v>
      </c>
      <c r="K3629">
        <v>11402239</v>
      </c>
      <c r="L3629">
        <v>31774212</v>
      </c>
      <c r="M3629">
        <v>27595191</v>
      </c>
      <c r="P3629">
        <v>146</v>
      </c>
      <c r="Q3629" t="s">
        <v>7605</v>
      </c>
    </row>
    <row r="3630" spans="1:17" x14ac:dyDescent="0.3">
      <c r="A3630" t="s">
        <v>4729</v>
      </c>
      <c r="B3630" t="str">
        <f>"002920"</f>
        <v>002920</v>
      </c>
      <c r="C3630" t="s">
        <v>7606</v>
      </c>
      <c r="D3630" t="s">
        <v>945</v>
      </c>
      <c r="F3630">
        <v>2588292102</v>
      </c>
      <c r="G3630">
        <v>1926719398</v>
      </c>
      <c r="H3630">
        <v>1487546672</v>
      </c>
      <c r="I3630">
        <v>1292805525</v>
      </c>
      <c r="J3630">
        <v>1157380711</v>
      </c>
      <c r="K3630">
        <v>1219784717</v>
      </c>
      <c r="L3630">
        <v>701908349</v>
      </c>
      <c r="M3630">
        <v>614442322</v>
      </c>
      <c r="P3630">
        <v>688</v>
      </c>
      <c r="Q3630" t="s">
        <v>7607</v>
      </c>
    </row>
    <row r="3631" spans="1:17" x14ac:dyDescent="0.3">
      <c r="A3631" t="s">
        <v>4729</v>
      </c>
      <c r="B3631" t="str">
        <f>"002921"</f>
        <v>002921</v>
      </c>
      <c r="C3631" t="s">
        <v>7608</v>
      </c>
      <c r="D3631" t="s">
        <v>985</v>
      </c>
      <c r="F3631">
        <v>258646134</v>
      </c>
      <c r="G3631">
        <v>241577663</v>
      </c>
      <c r="H3631">
        <v>169660450</v>
      </c>
      <c r="I3631">
        <v>137270462</v>
      </c>
      <c r="J3631">
        <v>127289288</v>
      </c>
      <c r="K3631">
        <v>103929723</v>
      </c>
      <c r="L3631">
        <v>103923152</v>
      </c>
      <c r="M3631">
        <v>130152183</v>
      </c>
      <c r="P3631">
        <v>95</v>
      </c>
      <c r="Q3631" t="s">
        <v>7609</v>
      </c>
    </row>
    <row r="3632" spans="1:17" x14ac:dyDescent="0.3">
      <c r="A3632" t="s">
        <v>4729</v>
      </c>
      <c r="B3632" t="str">
        <f>"002922"</f>
        <v>002922</v>
      </c>
      <c r="C3632" t="s">
        <v>7610</v>
      </c>
      <c r="D3632" t="s">
        <v>651</v>
      </c>
      <c r="F3632">
        <v>648893059</v>
      </c>
      <c r="G3632">
        <v>452485307</v>
      </c>
      <c r="H3632">
        <v>339101098</v>
      </c>
      <c r="I3632">
        <v>202140771</v>
      </c>
      <c r="J3632">
        <v>226205307</v>
      </c>
      <c r="K3632">
        <v>147728388</v>
      </c>
      <c r="L3632">
        <v>161897218</v>
      </c>
      <c r="M3632">
        <v>143005608</v>
      </c>
      <c r="P3632">
        <v>170</v>
      </c>
      <c r="Q3632" t="s">
        <v>7611</v>
      </c>
    </row>
    <row r="3633" spans="1:17" x14ac:dyDescent="0.3">
      <c r="A3633" t="s">
        <v>4729</v>
      </c>
      <c r="B3633" t="str">
        <f>"002923"</f>
        <v>002923</v>
      </c>
      <c r="C3633" t="s">
        <v>7612</v>
      </c>
      <c r="D3633" t="s">
        <v>143</v>
      </c>
      <c r="F3633">
        <v>114536539</v>
      </c>
      <c r="G3633">
        <v>98128759</v>
      </c>
      <c r="H3633">
        <v>115556490</v>
      </c>
      <c r="I3633">
        <v>70222458</v>
      </c>
      <c r="J3633">
        <v>62061808</v>
      </c>
      <c r="K3633">
        <v>48594304</v>
      </c>
      <c r="L3633">
        <v>43402271</v>
      </c>
      <c r="M3633">
        <v>47626438</v>
      </c>
      <c r="P3633">
        <v>165</v>
      </c>
      <c r="Q3633" t="s">
        <v>7613</v>
      </c>
    </row>
    <row r="3634" spans="1:17" x14ac:dyDescent="0.3">
      <c r="A3634" t="s">
        <v>4729</v>
      </c>
      <c r="B3634" t="str">
        <f>"002925"</f>
        <v>002925</v>
      </c>
      <c r="C3634" t="s">
        <v>7614</v>
      </c>
      <c r="D3634" t="s">
        <v>313</v>
      </c>
      <c r="F3634">
        <v>1495686395</v>
      </c>
      <c r="G3634">
        <v>1848840836</v>
      </c>
      <c r="H3634">
        <v>1223592720</v>
      </c>
      <c r="I3634">
        <v>724704530</v>
      </c>
      <c r="J3634">
        <v>819601349</v>
      </c>
      <c r="K3634">
        <v>444156207</v>
      </c>
      <c r="L3634">
        <v>220845379</v>
      </c>
      <c r="M3634">
        <v>170388430</v>
      </c>
      <c r="P3634">
        <v>1061</v>
      </c>
      <c r="Q3634" t="s">
        <v>7615</v>
      </c>
    </row>
    <row r="3635" spans="1:17" x14ac:dyDescent="0.3">
      <c r="A3635" t="s">
        <v>4729</v>
      </c>
      <c r="B3635" t="str">
        <f>"002926"</f>
        <v>002926</v>
      </c>
      <c r="C3635" t="s">
        <v>7616</v>
      </c>
      <c r="D3635" t="s">
        <v>80</v>
      </c>
      <c r="F3635">
        <v>358295692</v>
      </c>
      <c r="G3635">
        <v>181423731</v>
      </c>
      <c r="H3635">
        <v>56846574</v>
      </c>
      <c r="I3635">
        <v>108976635</v>
      </c>
      <c r="J3635">
        <v>78059035</v>
      </c>
      <c r="K3635">
        <v>74777163</v>
      </c>
      <c r="L3635">
        <v>215757056</v>
      </c>
      <c r="M3635">
        <v>141385306</v>
      </c>
      <c r="N3635">
        <v>24531800</v>
      </c>
      <c r="O3635">
        <v>16858500</v>
      </c>
      <c r="P3635">
        <v>921</v>
      </c>
      <c r="Q3635" t="s">
        <v>7617</v>
      </c>
    </row>
    <row r="3636" spans="1:17" x14ac:dyDescent="0.3">
      <c r="A3636" t="s">
        <v>4729</v>
      </c>
      <c r="B3636" t="str">
        <f>"002927"</f>
        <v>002927</v>
      </c>
      <c r="C3636" t="s">
        <v>7618</v>
      </c>
      <c r="D3636" t="s">
        <v>657</v>
      </c>
      <c r="F3636">
        <v>472297501</v>
      </c>
      <c r="G3636">
        <v>374338450</v>
      </c>
      <c r="H3636">
        <v>320980764</v>
      </c>
      <c r="I3636">
        <v>196858916</v>
      </c>
      <c r="J3636">
        <v>150070289</v>
      </c>
      <c r="K3636">
        <v>110786360</v>
      </c>
      <c r="L3636">
        <v>87377441</v>
      </c>
      <c r="M3636">
        <v>58239861</v>
      </c>
      <c r="P3636">
        <v>117</v>
      </c>
      <c r="Q3636" t="s">
        <v>7619</v>
      </c>
    </row>
    <row r="3637" spans="1:17" x14ac:dyDescent="0.3">
      <c r="A3637" t="s">
        <v>4729</v>
      </c>
      <c r="B3637" t="str">
        <f>"002928"</f>
        <v>002928</v>
      </c>
      <c r="C3637" t="s">
        <v>7620</v>
      </c>
      <c r="D3637" t="s">
        <v>77</v>
      </c>
      <c r="F3637">
        <v>1123849446</v>
      </c>
      <c r="G3637">
        <v>1120117070</v>
      </c>
      <c r="H3637">
        <v>987771618</v>
      </c>
      <c r="I3637">
        <v>803754487</v>
      </c>
      <c r="J3637">
        <v>486781773</v>
      </c>
      <c r="K3637">
        <v>321330690</v>
      </c>
      <c r="L3637">
        <v>236625327</v>
      </c>
      <c r="P3637">
        <v>333</v>
      </c>
      <c r="Q3637" t="s">
        <v>7621</v>
      </c>
    </row>
    <row r="3638" spans="1:17" x14ac:dyDescent="0.3">
      <c r="A3638" t="s">
        <v>4729</v>
      </c>
      <c r="B3638" t="str">
        <f>"002929"</f>
        <v>002929</v>
      </c>
      <c r="C3638" t="s">
        <v>7622</v>
      </c>
      <c r="D3638" t="s">
        <v>654</v>
      </c>
      <c r="F3638">
        <v>2992566475</v>
      </c>
      <c r="G3638">
        <v>1326928886</v>
      </c>
      <c r="H3638">
        <v>1834667503</v>
      </c>
      <c r="I3638">
        <v>1468850517</v>
      </c>
      <c r="J3638">
        <v>1291677503</v>
      </c>
      <c r="K3638">
        <v>784258964</v>
      </c>
      <c r="L3638">
        <v>379261675</v>
      </c>
      <c r="P3638">
        <v>270</v>
      </c>
      <c r="Q3638" t="s">
        <v>7623</v>
      </c>
    </row>
    <row r="3639" spans="1:17" x14ac:dyDescent="0.3">
      <c r="A3639" t="s">
        <v>4729</v>
      </c>
      <c r="B3639" t="str">
        <f>"002930"</f>
        <v>002930</v>
      </c>
      <c r="C3639" t="s">
        <v>7624</v>
      </c>
      <c r="D3639" t="s">
        <v>1592</v>
      </c>
      <c r="F3639">
        <v>110276418</v>
      </c>
      <c r="G3639">
        <v>112772810</v>
      </c>
      <c r="H3639">
        <v>61391154</v>
      </c>
      <c r="I3639">
        <v>46934925</v>
      </c>
      <c r="J3639">
        <v>37490382</v>
      </c>
      <c r="K3639">
        <v>35553485</v>
      </c>
      <c r="L3639">
        <v>59297431</v>
      </c>
      <c r="P3639">
        <v>160</v>
      </c>
      <c r="Q3639" t="s">
        <v>7625</v>
      </c>
    </row>
    <row r="3640" spans="1:17" x14ac:dyDescent="0.3">
      <c r="A3640" t="s">
        <v>4729</v>
      </c>
      <c r="B3640" t="str">
        <f>"002931"</f>
        <v>002931</v>
      </c>
      <c r="C3640" t="s">
        <v>7626</v>
      </c>
      <c r="D3640" t="s">
        <v>274</v>
      </c>
      <c r="F3640">
        <v>176419269</v>
      </c>
      <c r="G3640">
        <v>150315822</v>
      </c>
      <c r="H3640">
        <v>105359135</v>
      </c>
      <c r="I3640">
        <v>65397457</v>
      </c>
      <c r="J3640">
        <v>75083019</v>
      </c>
      <c r="K3640">
        <v>69242732</v>
      </c>
      <c r="L3640">
        <v>60239165</v>
      </c>
      <c r="P3640">
        <v>107</v>
      </c>
      <c r="Q3640" t="s">
        <v>7627</v>
      </c>
    </row>
    <row r="3641" spans="1:17" x14ac:dyDescent="0.3">
      <c r="A3641" t="s">
        <v>4729</v>
      </c>
      <c r="B3641" t="str">
        <f>"002932"</f>
        <v>002932</v>
      </c>
      <c r="C3641" t="s">
        <v>7628</v>
      </c>
      <c r="D3641" t="s">
        <v>1305</v>
      </c>
      <c r="F3641">
        <v>738757459</v>
      </c>
      <c r="G3641">
        <v>180678454</v>
      </c>
      <c r="H3641">
        <v>31633389</v>
      </c>
      <c r="I3641">
        <v>29087945</v>
      </c>
      <c r="J3641">
        <v>16958327</v>
      </c>
      <c r="K3641">
        <v>7276679</v>
      </c>
      <c r="L3641">
        <v>4031342</v>
      </c>
      <c r="P3641">
        <v>423</v>
      </c>
      <c r="Q3641" t="s">
        <v>7629</v>
      </c>
    </row>
    <row r="3642" spans="1:17" x14ac:dyDescent="0.3">
      <c r="A3642" t="s">
        <v>4729</v>
      </c>
      <c r="B3642" t="str">
        <f>"002933"</f>
        <v>002933</v>
      </c>
      <c r="C3642" t="s">
        <v>7630</v>
      </c>
      <c r="D3642" t="s">
        <v>98</v>
      </c>
      <c r="F3642">
        <v>167330775</v>
      </c>
      <c r="G3642">
        <v>243046503</v>
      </c>
      <c r="H3642">
        <v>246815378</v>
      </c>
      <c r="I3642">
        <v>280140006</v>
      </c>
      <c r="J3642">
        <v>238722705</v>
      </c>
      <c r="K3642">
        <v>0</v>
      </c>
      <c r="L3642">
        <v>0</v>
      </c>
      <c r="P3642">
        <v>314</v>
      </c>
      <c r="Q3642" t="s">
        <v>7631</v>
      </c>
    </row>
    <row r="3643" spans="1:17" x14ac:dyDescent="0.3">
      <c r="A3643" t="s">
        <v>4729</v>
      </c>
      <c r="B3643" t="str">
        <f>"002935"</f>
        <v>002935</v>
      </c>
      <c r="C3643" t="s">
        <v>7632</v>
      </c>
      <c r="D3643" t="s">
        <v>1136</v>
      </c>
      <c r="F3643">
        <v>434913099</v>
      </c>
      <c r="G3643">
        <v>398851342</v>
      </c>
      <c r="H3643">
        <v>326368820</v>
      </c>
      <c r="I3643">
        <v>293828611</v>
      </c>
      <c r="J3643">
        <v>231272253</v>
      </c>
      <c r="K3643">
        <v>276740520</v>
      </c>
      <c r="L3643">
        <v>228674299</v>
      </c>
      <c r="P3643">
        <v>203</v>
      </c>
      <c r="Q3643" t="s">
        <v>7633</v>
      </c>
    </row>
    <row r="3644" spans="1:17" x14ac:dyDescent="0.3">
      <c r="A3644" t="s">
        <v>4729</v>
      </c>
      <c r="B3644" t="str">
        <f>"002936"</f>
        <v>002936</v>
      </c>
      <c r="C3644" t="s">
        <v>7634</v>
      </c>
      <c r="D3644" t="s">
        <v>1842</v>
      </c>
      <c r="P3644">
        <v>469</v>
      </c>
      <c r="Q3644" t="s">
        <v>7635</v>
      </c>
    </row>
    <row r="3645" spans="1:17" x14ac:dyDescent="0.3">
      <c r="A3645" t="s">
        <v>4729</v>
      </c>
      <c r="B3645" t="str">
        <f>"002937"</f>
        <v>002937</v>
      </c>
      <c r="C3645" t="s">
        <v>7636</v>
      </c>
      <c r="D3645" t="s">
        <v>313</v>
      </c>
      <c r="F3645">
        <v>349565844</v>
      </c>
      <c r="G3645">
        <v>262764504</v>
      </c>
      <c r="H3645">
        <v>259629584</v>
      </c>
      <c r="I3645">
        <v>283783651</v>
      </c>
      <c r="J3645">
        <v>0</v>
      </c>
      <c r="K3645">
        <v>0</v>
      </c>
      <c r="L3645">
        <v>0</v>
      </c>
      <c r="P3645">
        <v>209</v>
      </c>
      <c r="Q3645" t="s">
        <v>7637</v>
      </c>
    </row>
    <row r="3646" spans="1:17" x14ac:dyDescent="0.3">
      <c r="A3646" t="s">
        <v>4729</v>
      </c>
      <c r="B3646" t="str">
        <f>"002938"</f>
        <v>002938</v>
      </c>
      <c r="C3646" t="s">
        <v>7638</v>
      </c>
      <c r="D3646" t="s">
        <v>425</v>
      </c>
      <c r="F3646">
        <v>7969921325</v>
      </c>
      <c r="G3646">
        <v>7163149769</v>
      </c>
      <c r="H3646">
        <v>6183179208</v>
      </c>
      <c r="I3646">
        <v>5385982521</v>
      </c>
      <c r="J3646">
        <v>6640215145</v>
      </c>
      <c r="K3646">
        <v>4072226108</v>
      </c>
      <c r="L3646">
        <v>3172397501</v>
      </c>
      <c r="P3646">
        <v>961</v>
      </c>
      <c r="Q3646" t="s">
        <v>7639</v>
      </c>
    </row>
    <row r="3647" spans="1:17" x14ac:dyDescent="0.3">
      <c r="A3647" t="s">
        <v>4729</v>
      </c>
      <c r="B3647" t="str">
        <f>"002939"</f>
        <v>002939</v>
      </c>
      <c r="C3647" t="s">
        <v>7640</v>
      </c>
      <c r="D3647" t="s">
        <v>80</v>
      </c>
      <c r="F3647">
        <v>360468283</v>
      </c>
      <c r="G3647">
        <v>729317081</v>
      </c>
      <c r="H3647">
        <v>182110002</v>
      </c>
      <c r="I3647">
        <v>415728603</v>
      </c>
      <c r="J3647">
        <v>275074513</v>
      </c>
      <c r="K3647">
        <v>36298014</v>
      </c>
      <c r="L3647">
        <v>87991636</v>
      </c>
      <c r="M3647">
        <v>43302321</v>
      </c>
      <c r="N3647">
        <v>41057213</v>
      </c>
      <c r="O3647">
        <v>0</v>
      </c>
      <c r="P3647">
        <v>832</v>
      </c>
      <c r="Q3647" t="s">
        <v>7641</v>
      </c>
    </row>
    <row r="3648" spans="1:17" x14ac:dyDescent="0.3">
      <c r="A3648" t="s">
        <v>4729</v>
      </c>
      <c r="B3648" t="str">
        <f>"002940"</f>
        <v>002940</v>
      </c>
      <c r="C3648" t="s">
        <v>7642</v>
      </c>
      <c r="D3648" t="s">
        <v>143</v>
      </c>
      <c r="F3648">
        <v>258768192</v>
      </c>
      <c r="G3648">
        <v>211615428</v>
      </c>
      <c r="H3648">
        <v>154982876</v>
      </c>
      <c r="I3648">
        <v>192120730</v>
      </c>
      <c r="J3648">
        <v>183540906</v>
      </c>
      <c r="K3648">
        <v>81070259</v>
      </c>
      <c r="L3648">
        <v>103509541</v>
      </c>
      <c r="P3648">
        <v>148</v>
      </c>
      <c r="Q3648" t="s">
        <v>7643</v>
      </c>
    </row>
    <row r="3649" spans="1:17" x14ac:dyDescent="0.3">
      <c r="A3649" t="s">
        <v>4729</v>
      </c>
      <c r="B3649" t="str">
        <f>"002941"</f>
        <v>002941</v>
      </c>
      <c r="C3649" t="s">
        <v>7644</v>
      </c>
      <c r="D3649" t="s">
        <v>101</v>
      </c>
      <c r="F3649">
        <v>3626688865</v>
      </c>
      <c r="G3649">
        <v>1857958170</v>
      </c>
      <c r="H3649">
        <v>2765911848</v>
      </c>
      <c r="I3649">
        <v>3431369757</v>
      </c>
      <c r="J3649">
        <v>0</v>
      </c>
      <c r="K3649">
        <v>0</v>
      </c>
      <c r="L3649">
        <v>0</v>
      </c>
      <c r="P3649">
        <v>145</v>
      </c>
      <c r="Q3649" t="s">
        <v>7645</v>
      </c>
    </row>
    <row r="3650" spans="1:17" x14ac:dyDescent="0.3">
      <c r="A3650" t="s">
        <v>4729</v>
      </c>
      <c r="B3650" t="str">
        <f>"002942"</f>
        <v>002942</v>
      </c>
      <c r="C3650" t="s">
        <v>7646</v>
      </c>
      <c r="D3650" t="s">
        <v>853</v>
      </c>
      <c r="F3650">
        <v>107779711</v>
      </c>
      <c r="G3650">
        <v>112623047</v>
      </c>
      <c r="H3650">
        <v>106097928</v>
      </c>
      <c r="I3650">
        <v>113810707</v>
      </c>
      <c r="J3650">
        <v>110217550</v>
      </c>
      <c r="K3650">
        <v>78001932</v>
      </c>
      <c r="L3650">
        <v>80790588</v>
      </c>
      <c r="P3650">
        <v>414</v>
      </c>
      <c r="Q3650" t="s">
        <v>7647</v>
      </c>
    </row>
    <row r="3651" spans="1:17" x14ac:dyDescent="0.3">
      <c r="A3651" t="s">
        <v>4729</v>
      </c>
      <c r="B3651" t="str">
        <f>"002943"</f>
        <v>002943</v>
      </c>
      <c r="C3651" t="s">
        <v>7648</v>
      </c>
      <c r="D3651" t="s">
        <v>2321</v>
      </c>
      <c r="F3651">
        <v>191553925</v>
      </c>
      <c r="G3651">
        <v>164018025</v>
      </c>
      <c r="H3651">
        <v>153837118</v>
      </c>
      <c r="I3651">
        <v>186637592</v>
      </c>
      <c r="J3651">
        <v>0</v>
      </c>
      <c r="K3651">
        <v>0</v>
      </c>
      <c r="L3651">
        <v>0</v>
      </c>
      <c r="P3651">
        <v>74</v>
      </c>
      <c r="Q3651" t="s">
        <v>7649</v>
      </c>
    </row>
    <row r="3652" spans="1:17" x14ac:dyDescent="0.3">
      <c r="A3652" t="s">
        <v>4729</v>
      </c>
      <c r="B3652" t="str">
        <f>"002945"</f>
        <v>002945</v>
      </c>
      <c r="C3652" t="s">
        <v>7650</v>
      </c>
      <c r="D3652" t="s">
        <v>80</v>
      </c>
      <c r="F3652">
        <v>7046442</v>
      </c>
      <c r="G3652">
        <v>4530675</v>
      </c>
      <c r="H3652">
        <v>15449336</v>
      </c>
      <c r="I3652">
        <v>4453365</v>
      </c>
      <c r="J3652">
        <v>0</v>
      </c>
      <c r="K3652">
        <v>0</v>
      </c>
      <c r="L3652">
        <v>0</v>
      </c>
      <c r="M3652">
        <v>489521</v>
      </c>
      <c r="N3652">
        <v>1463015</v>
      </c>
      <c r="O3652">
        <v>0</v>
      </c>
      <c r="P3652">
        <v>913</v>
      </c>
      <c r="Q3652" t="s">
        <v>7651</v>
      </c>
    </row>
    <row r="3653" spans="1:17" x14ac:dyDescent="0.3">
      <c r="A3653" t="s">
        <v>4729</v>
      </c>
      <c r="B3653" t="str">
        <f>"002946"</f>
        <v>002946</v>
      </c>
      <c r="C3653" t="s">
        <v>7652</v>
      </c>
      <c r="D3653" t="s">
        <v>900</v>
      </c>
      <c r="F3653">
        <v>616815720</v>
      </c>
      <c r="G3653">
        <v>533879973</v>
      </c>
      <c r="H3653">
        <v>431121026</v>
      </c>
      <c r="I3653">
        <v>359245674</v>
      </c>
      <c r="J3653">
        <v>0</v>
      </c>
      <c r="K3653">
        <v>0</v>
      </c>
      <c r="L3653">
        <v>0</v>
      </c>
      <c r="P3653">
        <v>342</v>
      </c>
      <c r="Q3653" t="s">
        <v>7653</v>
      </c>
    </row>
    <row r="3654" spans="1:17" x14ac:dyDescent="0.3">
      <c r="A3654" t="s">
        <v>4729</v>
      </c>
      <c r="B3654" t="str">
        <f>"002947"</f>
        <v>002947</v>
      </c>
      <c r="C3654" t="s">
        <v>7654</v>
      </c>
      <c r="D3654" t="s">
        <v>313</v>
      </c>
      <c r="F3654">
        <v>591475038</v>
      </c>
      <c r="G3654">
        <v>313751360</v>
      </c>
      <c r="H3654">
        <v>295420819</v>
      </c>
      <c r="I3654">
        <v>260217781</v>
      </c>
      <c r="J3654">
        <v>231456067</v>
      </c>
      <c r="K3654">
        <v>209532112</v>
      </c>
      <c r="L3654">
        <v>129338441</v>
      </c>
      <c r="P3654">
        <v>266</v>
      </c>
      <c r="Q3654" t="s">
        <v>7655</v>
      </c>
    </row>
    <row r="3655" spans="1:17" x14ac:dyDescent="0.3">
      <c r="A3655" t="s">
        <v>4729</v>
      </c>
      <c r="B3655" t="str">
        <f>"002948"</f>
        <v>002948</v>
      </c>
      <c r="C3655" t="s">
        <v>7656</v>
      </c>
      <c r="D3655" t="s">
        <v>1842</v>
      </c>
      <c r="P3655">
        <v>458</v>
      </c>
      <c r="Q3655" t="s">
        <v>7657</v>
      </c>
    </row>
    <row r="3656" spans="1:17" x14ac:dyDescent="0.3">
      <c r="A3656" t="s">
        <v>4729</v>
      </c>
      <c r="B3656" t="str">
        <f>"002949"</f>
        <v>002949</v>
      </c>
      <c r="C3656" t="s">
        <v>7658</v>
      </c>
      <c r="D3656" t="s">
        <v>1272</v>
      </c>
      <c r="F3656">
        <v>511697154</v>
      </c>
      <c r="G3656">
        <v>402604899</v>
      </c>
      <c r="H3656">
        <v>430344302</v>
      </c>
      <c r="I3656">
        <v>270278564</v>
      </c>
      <c r="J3656">
        <v>0</v>
      </c>
      <c r="K3656">
        <v>0</v>
      </c>
      <c r="L3656">
        <v>0</v>
      </c>
      <c r="P3656">
        <v>158</v>
      </c>
      <c r="Q3656" t="s">
        <v>7659</v>
      </c>
    </row>
    <row r="3657" spans="1:17" x14ac:dyDescent="0.3">
      <c r="A3657" t="s">
        <v>4729</v>
      </c>
      <c r="B3657" t="str">
        <f>"002950"</f>
        <v>002950</v>
      </c>
      <c r="C3657" t="s">
        <v>7660</v>
      </c>
      <c r="D3657" t="s">
        <v>1077</v>
      </c>
      <c r="F3657">
        <v>425145128</v>
      </c>
      <c r="G3657">
        <v>238546277</v>
      </c>
      <c r="H3657">
        <v>216645764</v>
      </c>
      <c r="I3657">
        <v>207698918</v>
      </c>
      <c r="J3657">
        <v>0</v>
      </c>
      <c r="K3657">
        <v>0</v>
      </c>
      <c r="L3657">
        <v>0</v>
      </c>
      <c r="P3657">
        <v>1080</v>
      </c>
      <c r="Q3657" t="s">
        <v>7661</v>
      </c>
    </row>
    <row r="3658" spans="1:17" x14ac:dyDescent="0.3">
      <c r="A3658" t="s">
        <v>4729</v>
      </c>
      <c r="B3658" t="str">
        <f>"002951"</f>
        <v>002951</v>
      </c>
      <c r="C3658" t="s">
        <v>7662</v>
      </c>
      <c r="D3658" t="s">
        <v>2165</v>
      </c>
      <c r="F3658">
        <v>32079895</v>
      </c>
      <c r="G3658">
        <v>104779332</v>
      </c>
      <c r="H3658">
        <v>118981481</v>
      </c>
      <c r="I3658">
        <v>0</v>
      </c>
      <c r="J3658">
        <v>0</v>
      </c>
      <c r="K3658">
        <v>0</v>
      </c>
      <c r="P3658">
        <v>93</v>
      </c>
      <c r="Q3658" t="s">
        <v>7663</v>
      </c>
    </row>
    <row r="3659" spans="1:17" x14ac:dyDescent="0.3">
      <c r="A3659" t="s">
        <v>4729</v>
      </c>
      <c r="B3659" t="str">
        <f>"002952"</f>
        <v>002952</v>
      </c>
      <c r="C3659" t="s">
        <v>7664</v>
      </c>
      <c r="D3659" t="s">
        <v>1117</v>
      </c>
      <c r="F3659">
        <v>130956071</v>
      </c>
      <c r="G3659">
        <v>76497502</v>
      </c>
      <c r="H3659">
        <v>96127437</v>
      </c>
      <c r="I3659">
        <v>0</v>
      </c>
      <c r="J3659">
        <v>0</v>
      </c>
      <c r="K3659">
        <v>0</v>
      </c>
      <c r="P3659">
        <v>79</v>
      </c>
      <c r="Q3659" t="s">
        <v>7665</v>
      </c>
    </row>
    <row r="3660" spans="1:17" x14ac:dyDescent="0.3">
      <c r="A3660" t="s">
        <v>4729</v>
      </c>
      <c r="B3660" t="str">
        <f>"002953"</f>
        <v>002953</v>
      </c>
      <c r="C3660" t="s">
        <v>7666</v>
      </c>
      <c r="D3660" t="s">
        <v>1164</v>
      </c>
      <c r="F3660">
        <v>913359727</v>
      </c>
      <c r="G3660">
        <v>476257423</v>
      </c>
      <c r="H3660">
        <v>363262534</v>
      </c>
      <c r="I3660">
        <v>369999571</v>
      </c>
      <c r="J3660">
        <v>292090161</v>
      </c>
      <c r="K3660">
        <v>258949235</v>
      </c>
      <c r="P3660">
        <v>99</v>
      </c>
      <c r="Q3660" t="s">
        <v>7667</v>
      </c>
    </row>
    <row r="3661" spans="1:17" x14ac:dyDescent="0.3">
      <c r="A3661" t="s">
        <v>4729</v>
      </c>
      <c r="B3661" t="str">
        <f>"002955"</f>
        <v>002955</v>
      </c>
      <c r="C3661" t="s">
        <v>7668</v>
      </c>
      <c r="D3661" t="s">
        <v>1117</v>
      </c>
      <c r="F3661">
        <v>762264285</v>
      </c>
      <c r="G3661">
        <v>606915860</v>
      </c>
      <c r="H3661">
        <v>833247613</v>
      </c>
      <c r="I3661">
        <v>301685061</v>
      </c>
      <c r="J3661">
        <v>242108538</v>
      </c>
      <c r="K3661">
        <v>148552957</v>
      </c>
      <c r="P3661">
        <v>167</v>
      </c>
      <c r="Q3661" t="s">
        <v>7669</v>
      </c>
    </row>
    <row r="3662" spans="1:17" x14ac:dyDescent="0.3">
      <c r="A3662" t="s">
        <v>4729</v>
      </c>
      <c r="B3662" t="str">
        <f>"002956"</f>
        <v>002956</v>
      </c>
      <c r="C3662" t="s">
        <v>7670</v>
      </c>
      <c r="D3662" t="s">
        <v>2488</v>
      </c>
      <c r="F3662">
        <v>67160913</v>
      </c>
      <c r="G3662">
        <v>59670276</v>
      </c>
      <c r="H3662">
        <v>55071046</v>
      </c>
      <c r="I3662">
        <v>0</v>
      </c>
      <c r="J3662">
        <v>0</v>
      </c>
      <c r="K3662">
        <v>0</v>
      </c>
      <c r="P3662">
        <v>281</v>
      </c>
      <c r="Q3662" t="s">
        <v>7671</v>
      </c>
    </row>
    <row r="3663" spans="1:17" x14ac:dyDescent="0.3">
      <c r="A3663" t="s">
        <v>4729</v>
      </c>
      <c r="B3663" t="str">
        <f>"002957"</f>
        <v>002957</v>
      </c>
      <c r="C3663" t="s">
        <v>7672</v>
      </c>
      <c r="D3663" t="s">
        <v>2432</v>
      </c>
      <c r="F3663">
        <v>1006332259</v>
      </c>
      <c r="G3663">
        <v>890157665</v>
      </c>
      <c r="H3663">
        <v>796824577</v>
      </c>
      <c r="I3663">
        <v>0</v>
      </c>
      <c r="J3663">
        <v>0</v>
      </c>
      <c r="K3663">
        <v>0</v>
      </c>
      <c r="P3663">
        <v>182</v>
      </c>
      <c r="Q3663" t="s">
        <v>7673</v>
      </c>
    </row>
    <row r="3664" spans="1:17" x14ac:dyDescent="0.3">
      <c r="A3664" t="s">
        <v>4729</v>
      </c>
      <c r="B3664" t="str">
        <f>"002958"</f>
        <v>002958</v>
      </c>
      <c r="C3664" t="s">
        <v>7674</v>
      </c>
      <c r="D3664" t="s">
        <v>1831</v>
      </c>
      <c r="P3664">
        <v>416</v>
      </c>
      <c r="Q3664" t="s">
        <v>7675</v>
      </c>
    </row>
    <row r="3665" spans="1:17" x14ac:dyDescent="0.3">
      <c r="A3665" t="s">
        <v>4729</v>
      </c>
      <c r="B3665" t="str">
        <f>"002959"</f>
        <v>002959</v>
      </c>
      <c r="C3665" t="s">
        <v>7676</v>
      </c>
      <c r="D3665" t="s">
        <v>5799</v>
      </c>
      <c r="F3665">
        <v>126718321</v>
      </c>
      <c r="G3665">
        <v>118853848</v>
      </c>
      <c r="H3665">
        <v>105030385</v>
      </c>
      <c r="I3665">
        <v>68229658</v>
      </c>
      <c r="J3665">
        <v>35044221</v>
      </c>
      <c r="K3665">
        <v>49655394</v>
      </c>
      <c r="P3665">
        <v>1479</v>
      </c>
      <c r="Q3665" t="s">
        <v>7677</v>
      </c>
    </row>
    <row r="3666" spans="1:17" x14ac:dyDescent="0.3">
      <c r="A3666" t="s">
        <v>4729</v>
      </c>
      <c r="B3666" t="str">
        <f>"002960"</f>
        <v>002960</v>
      </c>
      <c r="C3666" t="s">
        <v>7678</v>
      </c>
      <c r="D3666" t="s">
        <v>1691</v>
      </c>
      <c r="F3666">
        <v>1562665067</v>
      </c>
      <c r="G3666">
        <v>1116998943</v>
      </c>
      <c r="H3666">
        <v>870780033</v>
      </c>
      <c r="I3666">
        <v>602825528</v>
      </c>
      <c r="J3666">
        <v>405424970</v>
      </c>
      <c r="K3666">
        <v>333744749</v>
      </c>
      <c r="P3666">
        <v>389</v>
      </c>
      <c r="Q3666" t="s">
        <v>7679</v>
      </c>
    </row>
    <row r="3667" spans="1:17" x14ac:dyDescent="0.3">
      <c r="A3667" t="s">
        <v>4729</v>
      </c>
      <c r="B3667" t="str">
        <f>"002961"</f>
        <v>002961</v>
      </c>
      <c r="C3667" t="s">
        <v>7680</v>
      </c>
      <c r="D3667" t="s">
        <v>1847</v>
      </c>
      <c r="F3667">
        <v>5741478898</v>
      </c>
      <c r="G3667">
        <v>4010497729</v>
      </c>
      <c r="H3667">
        <v>0</v>
      </c>
      <c r="I3667">
        <v>1137820210</v>
      </c>
      <c r="J3667">
        <v>1361529920</v>
      </c>
      <c r="K3667">
        <v>1209931791</v>
      </c>
      <c r="L3667">
        <v>0</v>
      </c>
      <c r="M3667">
        <v>0</v>
      </c>
      <c r="N3667">
        <v>0</v>
      </c>
      <c r="O3667">
        <v>0</v>
      </c>
      <c r="P3667">
        <v>121</v>
      </c>
      <c r="Q3667" t="s">
        <v>7681</v>
      </c>
    </row>
    <row r="3668" spans="1:17" x14ac:dyDescent="0.3">
      <c r="A3668" t="s">
        <v>4729</v>
      </c>
      <c r="B3668" t="str">
        <f>"002962"</f>
        <v>002962</v>
      </c>
      <c r="C3668" t="s">
        <v>7682</v>
      </c>
      <c r="D3668" t="s">
        <v>164</v>
      </c>
      <c r="F3668">
        <v>182562589</v>
      </c>
      <c r="G3668">
        <v>198190057</v>
      </c>
      <c r="H3668">
        <v>249747334</v>
      </c>
      <c r="I3668">
        <v>195087443</v>
      </c>
      <c r="J3668">
        <v>187800481</v>
      </c>
      <c r="K3668">
        <v>175080266</v>
      </c>
      <c r="P3668">
        <v>137</v>
      </c>
      <c r="Q3668" t="s">
        <v>7683</v>
      </c>
    </row>
    <row r="3669" spans="1:17" x14ac:dyDescent="0.3">
      <c r="A3669" t="s">
        <v>4729</v>
      </c>
      <c r="B3669" t="str">
        <f>"002963"</f>
        <v>002963</v>
      </c>
      <c r="C3669" t="s">
        <v>7684</v>
      </c>
      <c r="D3669" t="s">
        <v>450</v>
      </c>
      <c r="F3669">
        <v>336730368</v>
      </c>
      <c r="G3669">
        <v>520342185</v>
      </c>
      <c r="H3669">
        <v>702315936</v>
      </c>
      <c r="I3669">
        <v>593925621</v>
      </c>
      <c r="J3669">
        <v>282590660</v>
      </c>
      <c r="K3669">
        <v>206842416</v>
      </c>
      <c r="P3669">
        <v>75</v>
      </c>
      <c r="Q3669" t="s">
        <v>7685</v>
      </c>
    </row>
    <row r="3670" spans="1:17" x14ac:dyDescent="0.3">
      <c r="A3670" t="s">
        <v>4729</v>
      </c>
      <c r="B3670" t="str">
        <f>"002965"</f>
        <v>002965</v>
      </c>
      <c r="C3670" t="s">
        <v>7686</v>
      </c>
      <c r="D3670" t="s">
        <v>274</v>
      </c>
      <c r="F3670">
        <v>709751737</v>
      </c>
      <c r="G3670">
        <v>507758116</v>
      </c>
      <c r="H3670">
        <v>486913374</v>
      </c>
      <c r="I3670">
        <v>370826994</v>
      </c>
      <c r="J3670">
        <v>295021454</v>
      </c>
      <c r="K3670">
        <v>255513249</v>
      </c>
      <c r="P3670">
        <v>400</v>
      </c>
      <c r="Q3670" t="s">
        <v>7687</v>
      </c>
    </row>
    <row r="3671" spans="1:17" x14ac:dyDescent="0.3">
      <c r="A3671" t="s">
        <v>4729</v>
      </c>
      <c r="B3671" t="str">
        <f>"002966"</f>
        <v>002966</v>
      </c>
      <c r="C3671" t="s">
        <v>7688</v>
      </c>
      <c r="D3671" t="s">
        <v>1842</v>
      </c>
      <c r="P3671">
        <v>365</v>
      </c>
      <c r="Q3671" t="s">
        <v>7689</v>
      </c>
    </row>
    <row r="3672" spans="1:17" x14ac:dyDescent="0.3">
      <c r="A3672" t="s">
        <v>4729</v>
      </c>
      <c r="B3672" t="str">
        <f>"002967"</f>
        <v>002967</v>
      </c>
      <c r="C3672" t="s">
        <v>7690</v>
      </c>
      <c r="D3672" t="s">
        <v>2510</v>
      </c>
      <c r="F3672">
        <v>972277568</v>
      </c>
      <c r="G3672">
        <v>921137484</v>
      </c>
      <c r="H3672">
        <v>770540547</v>
      </c>
      <c r="I3672">
        <v>494193172</v>
      </c>
      <c r="J3672">
        <v>301334891</v>
      </c>
      <c r="K3672">
        <v>190931124</v>
      </c>
      <c r="P3672">
        <v>236</v>
      </c>
      <c r="Q3672" t="s">
        <v>7691</v>
      </c>
    </row>
    <row r="3673" spans="1:17" x14ac:dyDescent="0.3">
      <c r="A3673" t="s">
        <v>4729</v>
      </c>
      <c r="B3673" t="str">
        <f>"002968"</f>
        <v>002968</v>
      </c>
      <c r="C3673" t="s">
        <v>7692</v>
      </c>
      <c r="D3673" t="s">
        <v>2975</v>
      </c>
      <c r="F3673">
        <v>321211121</v>
      </c>
      <c r="G3673">
        <v>202740087</v>
      </c>
      <c r="H3673">
        <v>139203665</v>
      </c>
      <c r="I3673">
        <v>69909800</v>
      </c>
      <c r="J3673">
        <v>64873528</v>
      </c>
      <c r="K3673">
        <v>48729114</v>
      </c>
      <c r="P3673">
        <v>234</v>
      </c>
      <c r="Q3673" t="s">
        <v>7693</v>
      </c>
    </row>
    <row r="3674" spans="1:17" x14ac:dyDescent="0.3">
      <c r="A3674" t="s">
        <v>4729</v>
      </c>
      <c r="B3674" t="str">
        <f>"002969"</f>
        <v>002969</v>
      </c>
      <c r="C3674" t="s">
        <v>7694</v>
      </c>
      <c r="D3674" t="s">
        <v>2373</v>
      </c>
      <c r="F3674">
        <v>351335145</v>
      </c>
      <c r="G3674">
        <v>325444011</v>
      </c>
      <c r="H3674">
        <v>335412530</v>
      </c>
      <c r="I3674">
        <v>230044126</v>
      </c>
      <c r="J3674">
        <v>254758046</v>
      </c>
      <c r="K3674">
        <v>322432839</v>
      </c>
      <c r="P3674">
        <v>78</v>
      </c>
      <c r="Q3674" t="s">
        <v>7695</v>
      </c>
    </row>
    <row r="3675" spans="1:17" x14ac:dyDescent="0.3">
      <c r="A3675" t="s">
        <v>4729</v>
      </c>
      <c r="B3675" t="str">
        <f>"002970"</f>
        <v>002970</v>
      </c>
      <c r="C3675" t="s">
        <v>7696</v>
      </c>
      <c r="D3675" t="s">
        <v>236</v>
      </c>
      <c r="F3675">
        <v>404018397</v>
      </c>
      <c r="G3675">
        <v>409158486</v>
      </c>
      <c r="H3675">
        <v>391270465</v>
      </c>
      <c r="I3675">
        <v>309832712</v>
      </c>
      <c r="J3675">
        <v>189858410</v>
      </c>
      <c r="K3675">
        <v>156856991</v>
      </c>
      <c r="P3675">
        <v>563</v>
      </c>
      <c r="Q3675" t="s">
        <v>7697</v>
      </c>
    </row>
    <row r="3676" spans="1:17" x14ac:dyDescent="0.3">
      <c r="A3676" t="s">
        <v>4729</v>
      </c>
      <c r="B3676" t="str">
        <f>"002971"</f>
        <v>002971</v>
      </c>
      <c r="C3676" t="s">
        <v>7698</v>
      </c>
      <c r="D3676" t="s">
        <v>386</v>
      </c>
      <c r="F3676">
        <v>204846281</v>
      </c>
      <c r="G3676">
        <v>125487939</v>
      </c>
      <c r="H3676">
        <v>83656779</v>
      </c>
      <c r="I3676">
        <v>85032328</v>
      </c>
      <c r="J3676">
        <v>91310240</v>
      </c>
      <c r="K3676">
        <v>114542248</v>
      </c>
      <c r="P3676">
        <v>70</v>
      </c>
      <c r="Q3676" t="s">
        <v>7699</v>
      </c>
    </row>
    <row r="3677" spans="1:17" x14ac:dyDescent="0.3">
      <c r="A3677" t="s">
        <v>4729</v>
      </c>
      <c r="B3677" t="str">
        <f>"002972"</f>
        <v>002972</v>
      </c>
      <c r="C3677" t="s">
        <v>7700</v>
      </c>
      <c r="D3677" t="s">
        <v>1012</v>
      </c>
      <c r="F3677">
        <v>386142533</v>
      </c>
      <c r="G3677">
        <v>312460292</v>
      </c>
      <c r="H3677">
        <v>255334548</v>
      </c>
      <c r="I3677">
        <v>248615817</v>
      </c>
      <c r="J3677">
        <v>165185564</v>
      </c>
      <c r="K3677">
        <v>136297449</v>
      </c>
      <c r="P3677">
        <v>188</v>
      </c>
      <c r="Q3677" t="s">
        <v>7701</v>
      </c>
    </row>
    <row r="3678" spans="1:17" x14ac:dyDescent="0.3">
      <c r="A3678" t="s">
        <v>4729</v>
      </c>
      <c r="B3678" t="str">
        <f>"002973"</f>
        <v>002973</v>
      </c>
      <c r="C3678" t="s">
        <v>7702</v>
      </c>
      <c r="D3678" t="s">
        <v>499</v>
      </c>
      <c r="F3678">
        <v>915074826</v>
      </c>
      <c r="G3678">
        <v>498680289</v>
      </c>
      <c r="H3678">
        <v>757535382</v>
      </c>
      <c r="I3678">
        <v>422911079</v>
      </c>
      <c r="J3678">
        <v>300281864</v>
      </c>
      <c r="K3678">
        <v>175312295</v>
      </c>
      <c r="P3678">
        <v>212</v>
      </c>
      <c r="Q3678" t="s">
        <v>7703</v>
      </c>
    </row>
    <row r="3679" spans="1:17" x14ac:dyDescent="0.3">
      <c r="A3679" t="s">
        <v>4729</v>
      </c>
      <c r="B3679" t="str">
        <f>"002975"</f>
        <v>002975</v>
      </c>
      <c r="C3679" t="s">
        <v>7704</v>
      </c>
      <c r="D3679" t="s">
        <v>2432</v>
      </c>
      <c r="F3679">
        <v>391174902</v>
      </c>
      <c r="G3679">
        <v>365735247</v>
      </c>
      <c r="H3679">
        <v>233642171</v>
      </c>
      <c r="I3679">
        <v>249742309</v>
      </c>
      <c r="J3679">
        <v>123006611</v>
      </c>
      <c r="K3679">
        <v>137183663</v>
      </c>
      <c r="P3679">
        <v>293</v>
      </c>
      <c r="Q3679" t="s">
        <v>7705</v>
      </c>
    </row>
    <row r="3680" spans="1:17" x14ac:dyDescent="0.3">
      <c r="A3680" t="s">
        <v>4729</v>
      </c>
      <c r="B3680" t="str">
        <f>"002976"</f>
        <v>002976</v>
      </c>
      <c r="C3680" t="s">
        <v>7706</v>
      </c>
      <c r="D3680" t="s">
        <v>313</v>
      </c>
      <c r="F3680">
        <v>239222162</v>
      </c>
      <c r="G3680">
        <v>221200088</v>
      </c>
      <c r="H3680">
        <v>196356471</v>
      </c>
      <c r="I3680">
        <v>178612795</v>
      </c>
      <c r="J3680">
        <v>187682819</v>
      </c>
      <c r="K3680">
        <v>164447181</v>
      </c>
      <c r="P3680">
        <v>104</v>
      </c>
      <c r="Q3680" t="s">
        <v>7707</v>
      </c>
    </row>
    <row r="3681" spans="1:17" x14ac:dyDescent="0.3">
      <c r="A3681" t="s">
        <v>4729</v>
      </c>
      <c r="B3681" t="str">
        <f>"002977"</f>
        <v>002977</v>
      </c>
      <c r="C3681" t="s">
        <v>7708</v>
      </c>
      <c r="D3681" t="s">
        <v>1136</v>
      </c>
      <c r="F3681">
        <v>335713655</v>
      </c>
      <c r="G3681">
        <v>343975524</v>
      </c>
      <c r="H3681">
        <v>320235775</v>
      </c>
      <c r="I3681">
        <v>228094825</v>
      </c>
      <c r="J3681">
        <v>138843130</v>
      </c>
      <c r="P3681">
        <v>126</v>
      </c>
      <c r="Q3681" t="s">
        <v>7709</v>
      </c>
    </row>
    <row r="3682" spans="1:17" x14ac:dyDescent="0.3">
      <c r="A3682" t="s">
        <v>4729</v>
      </c>
      <c r="B3682" t="str">
        <f>"002978"</f>
        <v>002978</v>
      </c>
      <c r="C3682" t="s">
        <v>7710</v>
      </c>
      <c r="D3682" t="s">
        <v>636</v>
      </c>
      <c r="F3682">
        <v>3656001</v>
      </c>
      <c r="G3682">
        <v>3552066</v>
      </c>
      <c r="H3682">
        <v>6665251</v>
      </c>
      <c r="I3682">
        <v>43398101</v>
      </c>
      <c r="J3682">
        <v>54054672</v>
      </c>
      <c r="P3682">
        <v>229</v>
      </c>
      <c r="Q3682" t="s">
        <v>7711</v>
      </c>
    </row>
    <row r="3683" spans="1:17" x14ac:dyDescent="0.3">
      <c r="A3683" t="s">
        <v>4729</v>
      </c>
      <c r="B3683" t="str">
        <f>"002979"</f>
        <v>002979</v>
      </c>
      <c r="C3683" t="s">
        <v>7712</v>
      </c>
      <c r="D3683" t="s">
        <v>2938</v>
      </c>
      <c r="F3683">
        <v>298702668</v>
      </c>
      <c r="G3683">
        <v>213586499</v>
      </c>
      <c r="H3683">
        <v>179180276</v>
      </c>
      <c r="I3683">
        <v>130350504</v>
      </c>
      <c r="J3683">
        <v>105459070</v>
      </c>
      <c r="P3683">
        <v>196</v>
      </c>
      <c r="Q3683" t="s">
        <v>7713</v>
      </c>
    </row>
    <row r="3684" spans="1:17" x14ac:dyDescent="0.3">
      <c r="A3684" t="s">
        <v>4729</v>
      </c>
      <c r="B3684" t="str">
        <f>"002980"</f>
        <v>002980</v>
      </c>
      <c r="C3684" t="s">
        <v>7714</v>
      </c>
      <c r="D3684" t="s">
        <v>2180</v>
      </c>
      <c r="F3684">
        <v>124545618</v>
      </c>
      <c r="G3684">
        <v>101379563</v>
      </c>
      <c r="H3684">
        <v>68079147</v>
      </c>
      <c r="I3684">
        <v>78132822</v>
      </c>
      <c r="J3684">
        <v>80384990</v>
      </c>
      <c r="P3684">
        <v>154</v>
      </c>
      <c r="Q3684" t="s">
        <v>7715</v>
      </c>
    </row>
    <row r="3685" spans="1:17" x14ac:dyDescent="0.3">
      <c r="A3685" t="s">
        <v>4729</v>
      </c>
      <c r="B3685" t="str">
        <f>"002981"</f>
        <v>002981</v>
      </c>
      <c r="C3685" t="s">
        <v>7716</v>
      </c>
      <c r="D3685" t="s">
        <v>313</v>
      </c>
      <c r="F3685">
        <v>302232676</v>
      </c>
      <c r="G3685">
        <v>293766179</v>
      </c>
      <c r="H3685">
        <v>280308048</v>
      </c>
      <c r="I3685">
        <v>166493721</v>
      </c>
      <c r="J3685">
        <v>184008868</v>
      </c>
      <c r="K3685">
        <v>141394902</v>
      </c>
      <c r="P3685">
        <v>73</v>
      </c>
      <c r="Q3685" t="s">
        <v>7717</v>
      </c>
    </row>
    <row r="3686" spans="1:17" x14ac:dyDescent="0.3">
      <c r="A3686" t="s">
        <v>4729</v>
      </c>
      <c r="B3686" t="str">
        <f>"002982"</f>
        <v>002982</v>
      </c>
      <c r="C3686" t="s">
        <v>7718</v>
      </c>
      <c r="D3686" t="s">
        <v>6260</v>
      </c>
      <c r="F3686">
        <v>205819316</v>
      </c>
      <c r="G3686">
        <v>185299247</v>
      </c>
      <c r="H3686">
        <v>157008902</v>
      </c>
      <c r="I3686">
        <v>142506173</v>
      </c>
      <c r="J3686">
        <v>100256650</v>
      </c>
      <c r="P3686">
        <v>131</v>
      </c>
      <c r="Q3686" t="s">
        <v>7719</v>
      </c>
    </row>
    <row r="3687" spans="1:17" x14ac:dyDescent="0.3">
      <c r="A3687" t="s">
        <v>4729</v>
      </c>
      <c r="B3687" t="str">
        <f>"002983"</f>
        <v>002983</v>
      </c>
      <c r="C3687" t="s">
        <v>7720</v>
      </c>
      <c r="D3687" t="s">
        <v>803</v>
      </c>
      <c r="F3687">
        <v>317676449</v>
      </c>
      <c r="G3687">
        <v>252231680</v>
      </c>
      <c r="H3687">
        <v>180447421</v>
      </c>
      <c r="I3687">
        <v>174254678</v>
      </c>
      <c r="J3687">
        <v>210704242</v>
      </c>
      <c r="P3687">
        <v>109</v>
      </c>
      <c r="Q3687" t="s">
        <v>7721</v>
      </c>
    </row>
    <row r="3688" spans="1:17" x14ac:dyDescent="0.3">
      <c r="A3688" t="s">
        <v>4729</v>
      </c>
      <c r="B3688" t="str">
        <f>"002984"</f>
        <v>002984</v>
      </c>
      <c r="C3688" t="s">
        <v>7722</v>
      </c>
      <c r="D3688" t="s">
        <v>422</v>
      </c>
      <c r="F3688">
        <v>631964137</v>
      </c>
      <c r="G3688">
        <v>462023171</v>
      </c>
      <c r="H3688">
        <v>445963118</v>
      </c>
      <c r="I3688">
        <v>556612880</v>
      </c>
      <c r="J3688">
        <v>563618136</v>
      </c>
      <c r="P3688">
        <v>203</v>
      </c>
      <c r="Q3688" t="s">
        <v>7723</v>
      </c>
    </row>
    <row r="3689" spans="1:17" x14ac:dyDescent="0.3">
      <c r="A3689" t="s">
        <v>4729</v>
      </c>
      <c r="B3689" t="str">
        <f>"002985"</f>
        <v>002985</v>
      </c>
      <c r="C3689" t="s">
        <v>7724</v>
      </c>
      <c r="D3689" t="s">
        <v>98</v>
      </c>
      <c r="F3689">
        <v>1483053788</v>
      </c>
      <c r="G3689">
        <v>1067194620</v>
      </c>
      <c r="H3689">
        <v>450685879</v>
      </c>
      <c r="I3689">
        <v>381557410</v>
      </c>
      <c r="J3689">
        <v>307478074</v>
      </c>
      <c r="P3689">
        <v>548</v>
      </c>
      <c r="Q3689" t="s">
        <v>7725</v>
      </c>
    </row>
    <row r="3690" spans="1:17" x14ac:dyDescent="0.3">
      <c r="A3690" t="s">
        <v>4729</v>
      </c>
      <c r="B3690" t="str">
        <f>"002986"</f>
        <v>002986</v>
      </c>
      <c r="C3690" t="s">
        <v>7726</v>
      </c>
      <c r="D3690" t="s">
        <v>1617</v>
      </c>
      <c r="F3690">
        <v>6707217</v>
      </c>
      <c r="G3690">
        <v>2912883</v>
      </c>
      <c r="H3690">
        <v>25663918</v>
      </c>
      <c r="I3690">
        <v>32295910</v>
      </c>
      <c r="J3690">
        <v>795048</v>
      </c>
      <c r="P3690">
        <v>58</v>
      </c>
      <c r="Q3690" t="s">
        <v>7727</v>
      </c>
    </row>
    <row r="3691" spans="1:17" x14ac:dyDescent="0.3">
      <c r="A3691" t="s">
        <v>4729</v>
      </c>
      <c r="B3691" t="str">
        <f>"002987"</f>
        <v>002987</v>
      </c>
      <c r="C3691" t="s">
        <v>7728</v>
      </c>
      <c r="D3691" t="s">
        <v>945</v>
      </c>
      <c r="F3691">
        <v>772554315</v>
      </c>
      <c r="G3691">
        <v>563481756</v>
      </c>
      <c r="H3691">
        <v>421186030</v>
      </c>
      <c r="I3691">
        <v>336010367</v>
      </c>
      <c r="J3691">
        <v>258032447</v>
      </c>
      <c r="P3691">
        <v>127</v>
      </c>
      <c r="Q3691" t="s">
        <v>7729</v>
      </c>
    </row>
    <row r="3692" spans="1:17" x14ac:dyDescent="0.3">
      <c r="A3692" t="s">
        <v>4729</v>
      </c>
      <c r="B3692" t="str">
        <f>"002988"</f>
        <v>002988</v>
      </c>
      <c r="C3692" t="s">
        <v>7730</v>
      </c>
      <c r="D3692" t="s">
        <v>504</v>
      </c>
      <c r="F3692">
        <v>1324351334</v>
      </c>
      <c r="G3692">
        <v>863925638</v>
      </c>
      <c r="H3692">
        <v>729322783</v>
      </c>
      <c r="I3692">
        <v>668376249</v>
      </c>
      <c r="J3692">
        <v>590452739</v>
      </c>
      <c r="P3692">
        <v>61</v>
      </c>
      <c r="Q3692" t="s">
        <v>7731</v>
      </c>
    </row>
    <row r="3693" spans="1:17" x14ac:dyDescent="0.3">
      <c r="A3693" t="s">
        <v>4729</v>
      </c>
      <c r="B3693" t="str">
        <f>"002989"</f>
        <v>002989</v>
      </c>
      <c r="C3693" t="s">
        <v>7732</v>
      </c>
      <c r="D3693" t="s">
        <v>450</v>
      </c>
      <c r="F3693">
        <v>0</v>
      </c>
      <c r="G3693">
        <v>0</v>
      </c>
      <c r="H3693">
        <v>0</v>
      </c>
      <c r="I3693">
        <v>613545883</v>
      </c>
      <c r="J3693">
        <v>479376818</v>
      </c>
      <c r="P3693">
        <v>137</v>
      </c>
      <c r="Q3693" t="s">
        <v>7733</v>
      </c>
    </row>
    <row r="3694" spans="1:17" x14ac:dyDescent="0.3">
      <c r="A3694" t="s">
        <v>4729</v>
      </c>
      <c r="B3694" t="str">
        <f>"002990"</f>
        <v>002990</v>
      </c>
      <c r="C3694" t="s">
        <v>7734</v>
      </c>
      <c r="D3694" t="s">
        <v>236</v>
      </c>
      <c r="F3694">
        <v>694055420</v>
      </c>
      <c r="G3694">
        <v>480353048</v>
      </c>
      <c r="H3694">
        <v>312625253</v>
      </c>
      <c r="I3694">
        <v>158853336</v>
      </c>
      <c r="J3694">
        <v>141346485</v>
      </c>
      <c r="P3694">
        <v>109</v>
      </c>
      <c r="Q3694" t="s">
        <v>7735</v>
      </c>
    </row>
    <row r="3695" spans="1:17" x14ac:dyDescent="0.3">
      <c r="A3695" t="s">
        <v>4729</v>
      </c>
      <c r="B3695" t="str">
        <f>"002991"</f>
        <v>002991</v>
      </c>
      <c r="C3695" t="s">
        <v>7736</v>
      </c>
      <c r="D3695" t="s">
        <v>3194</v>
      </c>
      <c r="F3695">
        <v>13823780</v>
      </c>
      <c r="G3695">
        <v>8617050</v>
      </c>
      <c r="H3695">
        <v>11120347</v>
      </c>
      <c r="I3695">
        <v>7932610</v>
      </c>
      <c r="J3695">
        <v>6812568</v>
      </c>
      <c r="P3695">
        <v>211</v>
      </c>
      <c r="Q3695" t="s">
        <v>7737</v>
      </c>
    </row>
    <row r="3696" spans="1:17" x14ac:dyDescent="0.3">
      <c r="A3696" t="s">
        <v>4729</v>
      </c>
      <c r="B3696" t="str">
        <f>"002992"</f>
        <v>002992</v>
      </c>
      <c r="C3696" t="s">
        <v>7738</v>
      </c>
      <c r="D3696" t="s">
        <v>1117</v>
      </c>
      <c r="F3696">
        <v>386536622</v>
      </c>
      <c r="G3696">
        <v>433282523</v>
      </c>
      <c r="H3696">
        <v>448064629</v>
      </c>
      <c r="I3696">
        <v>341568764</v>
      </c>
      <c r="J3696">
        <v>354671841</v>
      </c>
      <c r="P3696">
        <v>51</v>
      </c>
      <c r="Q3696" t="s">
        <v>7739</v>
      </c>
    </row>
    <row r="3697" spans="1:17" x14ac:dyDescent="0.3">
      <c r="A3697" t="s">
        <v>4729</v>
      </c>
      <c r="B3697" t="str">
        <f>"002993"</f>
        <v>002993</v>
      </c>
      <c r="C3697" t="s">
        <v>7740</v>
      </c>
      <c r="D3697" t="s">
        <v>313</v>
      </c>
      <c r="F3697">
        <v>1337535312</v>
      </c>
      <c r="G3697">
        <v>912145808</v>
      </c>
      <c r="H3697">
        <v>765254698</v>
      </c>
      <c r="I3697">
        <v>543445546</v>
      </c>
      <c r="J3697">
        <v>413537395</v>
      </c>
      <c r="P3697">
        <v>145</v>
      </c>
      <c r="Q3697" t="s">
        <v>7741</v>
      </c>
    </row>
    <row r="3698" spans="1:17" x14ac:dyDescent="0.3">
      <c r="A3698" t="s">
        <v>4729</v>
      </c>
      <c r="B3698" t="str">
        <f>"002995"</f>
        <v>002995</v>
      </c>
      <c r="C3698" t="s">
        <v>7742</v>
      </c>
      <c r="D3698" t="s">
        <v>207</v>
      </c>
      <c r="F3698">
        <v>142546491</v>
      </c>
      <c r="G3698">
        <v>116274728</v>
      </c>
      <c r="H3698">
        <v>35223391</v>
      </c>
      <c r="I3698">
        <v>56942650</v>
      </c>
      <c r="J3698">
        <v>39402971</v>
      </c>
      <c r="P3698">
        <v>74</v>
      </c>
      <c r="Q3698" t="s">
        <v>7743</v>
      </c>
    </row>
    <row r="3699" spans="1:17" x14ac:dyDescent="0.3">
      <c r="A3699" t="s">
        <v>4729</v>
      </c>
      <c r="B3699" t="str">
        <f>"002996"</f>
        <v>002996</v>
      </c>
      <c r="C3699" t="s">
        <v>7744</v>
      </c>
      <c r="D3699" t="s">
        <v>504</v>
      </c>
      <c r="F3699">
        <v>2061319725</v>
      </c>
      <c r="G3699">
        <v>1121593712</v>
      </c>
      <c r="H3699">
        <v>811917516</v>
      </c>
      <c r="I3699">
        <v>750738722</v>
      </c>
      <c r="J3699">
        <v>666667082</v>
      </c>
      <c r="P3699">
        <v>73</v>
      </c>
      <c r="Q3699" t="s">
        <v>7745</v>
      </c>
    </row>
    <row r="3700" spans="1:17" x14ac:dyDescent="0.3">
      <c r="A3700" t="s">
        <v>4729</v>
      </c>
      <c r="B3700" t="str">
        <f>"002997"</f>
        <v>002997</v>
      </c>
      <c r="C3700" t="s">
        <v>7746</v>
      </c>
      <c r="D3700" t="s">
        <v>985</v>
      </c>
      <c r="F3700">
        <v>276210232</v>
      </c>
      <c r="G3700">
        <v>364153956</v>
      </c>
      <c r="H3700">
        <v>239064270</v>
      </c>
      <c r="I3700">
        <v>179933930</v>
      </c>
      <c r="J3700">
        <v>167585577</v>
      </c>
      <c r="P3700">
        <v>85</v>
      </c>
      <c r="Q3700" t="s">
        <v>7747</v>
      </c>
    </row>
    <row r="3701" spans="1:17" x14ac:dyDescent="0.3">
      <c r="A3701" t="s">
        <v>4729</v>
      </c>
      <c r="B3701" t="str">
        <f>"002998"</f>
        <v>002998</v>
      </c>
      <c r="C3701" t="s">
        <v>7748</v>
      </c>
      <c r="D3701" t="s">
        <v>2731</v>
      </c>
      <c r="F3701">
        <v>67138040</v>
      </c>
      <c r="G3701">
        <v>67996369</v>
      </c>
      <c r="H3701">
        <v>82917753</v>
      </c>
      <c r="I3701">
        <v>84470761</v>
      </c>
      <c r="J3701">
        <v>91651941</v>
      </c>
      <c r="K3701">
        <v>0</v>
      </c>
      <c r="P3701">
        <v>36</v>
      </c>
      <c r="Q3701" t="s">
        <v>7749</v>
      </c>
    </row>
    <row r="3702" spans="1:17" x14ac:dyDescent="0.3">
      <c r="A3702" t="s">
        <v>4729</v>
      </c>
      <c r="B3702" t="str">
        <f>"002999"</f>
        <v>002999</v>
      </c>
      <c r="C3702" t="s">
        <v>7750</v>
      </c>
      <c r="D3702" t="s">
        <v>5562</v>
      </c>
      <c r="F3702">
        <v>63243049</v>
      </c>
      <c r="G3702">
        <v>42903224</v>
      </c>
      <c r="H3702">
        <v>36011676</v>
      </c>
      <c r="I3702">
        <v>24359907</v>
      </c>
      <c r="J3702">
        <v>29020549</v>
      </c>
      <c r="P3702">
        <v>45</v>
      </c>
      <c r="Q3702" t="s">
        <v>7751</v>
      </c>
    </row>
    <row r="3703" spans="1:17" x14ac:dyDescent="0.3">
      <c r="A3703" t="s">
        <v>4729</v>
      </c>
      <c r="B3703" t="str">
        <f>"003000"</f>
        <v>003000</v>
      </c>
      <c r="C3703" t="s">
        <v>7752</v>
      </c>
      <c r="D3703" t="s">
        <v>3194</v>
      </c>
      <c r="F3703">
        <v>6046146</v>
      </c>
      <c r="G3703">
        <v>1072044</v>
      </c>
      <c r="H3703">
        <v>2205265</v>
      </c>
      <c r="I3703">
        <v>42795</v>
      </c>
      <c r="J3703">
        <v>237500</v>
      </c>
      <c r="P3703">
        <v>84</v>
      </c>
      <c r="Q3703" t="s">
        <v>7753</v>
      </c>
    </row>
    <row r="3704" spans="1:17" x14ac:dyDescent="0.3">
      <c r="A3704" t="s">
        <v>4729</v>
      </c>
      <c r="B3704" t="str">
        <f>"003001"</f>
        <v>003001</v>
      </c>
      <c r="C3704" t="s">
        <v>7754</v>
      </c>
      <c r="D3704" t="s">
        <v>1992</v>
      </c>
      <c r="F3704">
        <v>822385369</v>
      </c>
      <c r="G3704">
        <v>520104896</v>
      </c>
      <c r="H3704">
        <v>374162811</v>
      </c>
      <c r="I3704">
        <v>242888481</v>
      </c>
      <c r="J3704">
        <v>110110931</v>
      </c>
      <c r="K3704">
        <v>121064788</v>
      </c>
      <c r="P3704">
        <v>95</v>
      </c>
      <c r="Q3704" t="s">
        <v>7755</v>
      </c>
    </row>
    <row r="3705" spans="1:17" x14ac:dyDescent="0.3">
      <c r="A3705" t="s">
        <v>4729</v>
      </c>
      <c r="B3705" t="str">
        <f>"003002"</f>
        <v>003002</v>
      </c>
      <c r="C3705" t="s">
        <v>7756</v>
      </c>
      <c r="D3705" t="s">
        <v>2736</v>
      </c>
      <c r="F3705">
        <v>163641766</v>
      </c>
      <c r="G3705">
        <v>98925077</v>
      </c>
      <c r="H3705">
        <v>75830027</v>
      </c>
      <c r="I3705">
        <v>86731582</v>
      </c>
      <c r="J3705">
        <v>80443836</v>
      </c>
      <c r="K3705">
        <v>94354980</v>
      </c>
      <c r="P3705">
        <v>39</v>
      </c>
      <c r="Q3705" t="s">
        <v>7757</v>
      </c>
    </row>
    <row r="3706" spans="1:17" x14ac:dyDescent="0.3">
      <c r="A3706" t="s">
        <v>4729</v>
      </c>
      <c r="B3706" t="str">
        <f>"003003"</f>
        <v>003003</v>
      </c>
      <c r="C3706" t="s">
        <v>7758</v>
      </c>
      <c r="D3706" t="s">
        <v>2448</v>
      </c>
      <c r="F3706">
        <v>278272068</v>
      </c>
      <c r="G3706">
        <v>187270220</v>
      </c>
      <c r="H3706">
        <v>204477122</v>
      </c>
      <c r="I3706">
        <v>173661889</v>
      </c>
      <c r="J3706">
        <v>150532185</v>
      </c>
      <c r="K3706">
        <v>110502720</v>
      </c>
      <c r="P3706">
        <v>39</v>
      </c>
      <c r="Q3706" t="s">
        <v>7759</v>
      </c>
    </row>
    <row r="3707" spans="1:17" x14ac:dyDescent="0.3">
      <c r="A3707" t="s">
        <v>4729</v>
      </c>
      <c r="B3707" t="str">
        <f>"003004"</f>
        <v>003004</v>
      </c>
      <c r="C3707" t="s">
        <v>7760</v>
      </c>
      <c r="D3707" t="s">
        <v>2980</v>
      </c>
      <c r="F3707">
        <v>238443603</v>
      </c>
      <c r="G3707">
        <v>215694530</v>
      </c>
      <c r="H3707">
        <v>316129643</v>
      </c>
      <c r="I3707">
        <v>217172930</v>
      </c>
      <c r="J3707">
        <v>231434902</v>
      </c>
      <c r="K3707">
        <v>61061299</v>
      </c>
      <c r="P3707">
        <v>37</v>
      </c>
      <c r="Q3707" t="s">
        <v>7761</v>
      </c>
    </row>
    <row r="3708" spans="1:17" x14ac:dyDescent="0.3">
      <c r="A3708" t="s">
        <v>4729</v>
      </c>
      <c r="B3708" t="str">
        <f>"003005"</f>
        <v>003005</v>
      </c>
      <c r="C3708" t="s">
        <v>7762</v>
      </c>
      <c r="D3708" t="s">
        <v>316</v>
      </c>
      <c r="F3708">
        <v>287545309</v>
      </c>
      <c r="G3708">
        <v>256995026</v>
      </c>
      <c r="H3708">
        <v>237257067</v>
      </c>
      <c r="I3708">
        <v>157712171</v>
      </c>
      <c r="J3708">
        <v>122789121</v>
      </c>
      <c r="K3708">
        <v>65233827</v>
      </c>
      <c r="P3708">
        <v>68</v>
      </c>
      <c r="Q3708" t="s">
        <v>7763</v>
      </c>
    </row>
    <row r="3709" spans="1:17" x14ac:dyDescent="0.3">
      <c r="A3709" t="s">
        <v>4729</v>
      </c>
      <c r="B3709" t="str">
        <f>"003006"</f>
        <v>003006</v>
      </c>
      <c r="C3709" t="s">
        <v>7764</v>
      </c>
      <c r="D3709" t="s">
        <v>2751</v>
      </c>
      <c r="F3709">
        <v>134334064</v>
      </c>
      <c r="G3709">
        <v>91688895</v>
      </c>
      <c r="H3709">
        <v>76215838</v>
      </c>
      <c r="I3709">
        <v>58180954</v>
      </c>
      <c r="J3709">
        <v>58443278</v>
      </c>
      <c r="K3709">
        <v>41623900</v>
      </c>
      <c r="P3709">
        <v>172</v>
      </c>
      <c r="Q3709" t="s">
        <v>7765</v>
      </c>
    </row>
    <row r="3710" spans="1:17" x14ac:dyDescent="0.3">
      <c r="A3710" t="s">
        <v>4729</v>
      </c>
      <c r="B3710" t="str">
        <f>"003007"</f>
        <v>003007</v>
      </c>
      <c r="C3710" t="s">
        <v>7766</v>
      </c>
      <c r="D3710" t="s">
        <v>945</v>
      </c>
      <c r="F3710">
        <v>190736095</v>
      </c>
      <c r="G3710">
        <v>209129342</v>
      </c>
      <c r="H3710">
        <v>221255697</v>
      </c>
      <c r="I3710">
        <v>177260580</v>
      </c>
      <c r="J3710">
        <v>152225931</v>
      </c>
      <c r="K3710">
        <v>80157209</v>
      </c>
      <c r="P3710">
        <v>38</v>
      </c>
      <c r="Q3710" t="s">
        <v>7767</v>
      </c>
    </row>
    <row r="3711" spans="1:17" x14ac:dyDescent="0.3">
      <c r="A3711" t="s">
        <v>4729</v>
      </c>
      <c r="B3711" t="str">
        <f>"003008"</f>
        <v>003008</v>
      </c>
      <c r="C3711" t="s">
        <v>7768</v>
      </c>
      <c r="D3711" t="s">
        <v>2510</v>
      </c>
      <c r="F3711">
        <v>10772217</v>
      </c>
      <c r="G3711">
        <v>15828133</v>
      </c>
      <c r="H3711">
        <v>10263532</v>
      </c>
      <c r="I3711">
        <v>10080417</v>
      </c>
      <c r="J3711">
        <v>3201852</v>
      </c>
      <c r="K3711">
        <v>10465467</v>
      </c>
      <c r="P3711">
        <v>68</v>
      </c>
      <c r="Q3711" t="s">
        <v>7769</v>
      </c>
    </row>
    <row r="3712" spans="1:17" x14ac:dyDescent="0.3">
      <c r="A3712" t="s">
        <v>4729</v>
      </c>
      <c r="B3712" t="str">
        <f>"003009"</f>
        <v>003009</v>
      </c>
      <c r="C3712" t="s">
        <v>7770</v>
      </c>
      <c r="D3712" t="s">
        <v>284</v>
      </c>
      <c r="F3712">
        <v>345415215</v>
      </c>
      <c r="G3712">
        <v>296329709</v>
      </c>
      <c r="H3712">
        <v>242294196</v>
      </c>
      <c r="I3712">
        <v>198649869</v>
      </c>
      <c r="J3712">
        <v>134658309</v>
      </c>
      <c r="K3712">
        <v>112297787</v>
      </c>
      <c r="P3712">
        <v>105</v>
      </c>
      <c r="Q3712" t="s">
        <v>7771</v>
      </c>
    </row>
    <row r="3713" spans="1:17" x14ac:dyDescent="0.3">
      <c r="A3713" t="s">
        <v>4729</v>
      </c>
      <c r="B3713" t="str">
        <f>"003010"</f>
        <v>003010</v>
      </c>
      <c r="C3713" t="s">
        <v>7772</v>
      </c>
      <c r="D3713" t="s">
        <v>3617</v>
      </c>
      <c r="F3713">
        <v>133515677</v>
      </c>
      <c r="G3713">
        <v>125694788</v>
      </c>
      <c r="H3713">
        <v>81396160</v>
      </c>
      <c r="I3713">
        <v>114621805</v>
      </c>
      <c r="J3713">
        <v>78827270</v>
      </c>
      <c r="K3713">
        <v>31232700</v>
      </c>
      <c r="P3713">
        <v>58</v>
      </c>
      <c r="Q3713" t="s">
        <v>7773</v>
      </c>
    </row>
    <row r="3714" spans="1:17" x14ac:dyDescent="0.3">
      <c r="A3714" t="s">
        <v>4729</v>
      </c>
      <c r="B3714" t="str">
        <f>"003011"</f>
        <v>003011</v>
      </c>
      <c r="C3714" t="s">
        <v>7774</v>
      </c>
      <c r="D3714" t="s">
        <v>178</v>
      </c>
      <c r="F3714">
        <v>316377839</v>
      </c>
      <c r="G3714">
        <v>156277107</v>
      </c>
      <c r="H3714">
        <v>161790867</v>
      </c>
      <c r="I3714">
        <v>127804138</v>
      </c>
      <c r="J3714">
        <v>70730023</v>
      </c>
      <c r="K3714">
        <v>43051253</v>
      </c>
      <c r="P3714">
        <v>89</v>
      </c>
      <c r="Q3714" t="s">
        <v>7775</v>
      </c>
    </row>
    <row r="3715" spans="1:17" x14ac:dyDescent="0.3">
      <c r="A3715" t="s">
        <v>4729</v>
      </c>
      <c r="B3715" t="str">
        <f>"003012"</f>
        <v>003012</v>
      </c>
      <c r="C3715" t="s">
        <v>7776</v>
      </c>
      <c r="D3715" t="s">
        <v>178</v>
      </c>
      <c r="F3715">
        <v>1237700105</v>
      </c>
      <c r="G3715">
        <v>1117763999</v>
      </c>
      <c r="H3715">
        <v>1014163566</v>
      </c>
      <c r="I3715">
        <v>825291934</v>
      </c>
      <c r="J3715">
        <v>660831567</v>
      </c>
      <c r="K3715">
        <v>487443436</v>
      </c>
      <c r="P3715">
        <v>120</v>
      </c>
      <c r="Q3715" t="s">
        <v>7777</v>
      </c>
    </row>
    <row r="3716" spans="1:17" x14ac:dyDescent="0.3">
      <c r="A3716" t="s">
        <v>4729</v>
      </c>
      <c r="B3716" t="str">
        <f>"003013"</f>
        <v>003013</v>
      </c>
      <c r="C3716" t="s">
        <v>7778</v>
      </c>
      <c r="D3716" t="s">
        <v>1272</v>
      </c>
      <c r="F3716">
        <v>183712627</v>
      </c>
      <c r="G3716">
        <v>138410235</v>
      </c>
      <c r="H3716">
        <v>971825066</v>
      </c>
      <c r="I3716">
        <v>692463774</v>
      </c>
      <c r="J3716">
        <v>735653327</v>
      </c>
      <c r="K3716">
        <v>450186514</v>
      </c>
      <c r="P3716">
        <v>101</v>
      </c>
      <c r="Q3716" t="s">
        <v>7779</v>
      </c>
    </row>
    <row r="3717" spans="1:17" x14ac:dyDescent="0.3">
      <c r="A3717" t="s">
        <v>4729</v>
      </c>
      <c r="B3717" t="str">
        <f>"003015"</f>
        <v>003015</v>
      </c>
      <c r="C3717" t="s">
        <v>7780</v>
      </c>
      <c r="D3717" t="s">
        <v>164</v>
      </c>
      <c r="F3717">
        <v>158752766</v>
      </c>
      <c r="G3717">
        <v>176919322</v>
      </c>
      <c r="H3717">
        <v>194990817</v>
      </c>
      <c r="I3717">
        <v>148046934</v>
      </c>
      <c r="J3717">
        <v>119995435</v>
      </c>
      <c r="K3717">
        <v>0</v>
      </c>
      <c r="P3717">
        <v>46</v>
      </c>
      <c r="Q3717" t="s">
        <v>7781</v>
      </c>
    </row>
    <row r="3718" spans="1:17" x14ac:dyDescent="0.3">
      <c r="A3718" t="s">
        <v>4729</v>
      </c>
      <c r="B3718" t="str">
        <f>"003016"</f>
        <v>003016</v>
      </c>
      <c r="C3718" t="s">
        <v>7782</v>
      </c>
      <c r="D3718" t="s">
        <v>255</v>
      </c>
      <c r="F3718">
        <v>194295916</v>
      </c>
      <c r="G3718">
        <v>150189982</v>
      </c>
      <c r="H3718">
        <v>153923117</v>
      </c>
      <c r="I3718">
        <v>98575470</v>
      </c>
      <c r="J3718">
        <v>70975103</v>
      </c>
      <c r="K3718">
        <v>57546687</v>
      </c>
      <c r="P3718">
        <v>58</v>
      </c>
      <c r="Q3718" t="s">
        <v>7783</v>
      </c>
    </row>
    <row r="3719" spans="1:17" x14ac:dyDescent="0.3">
      <c r="A3719" t="s">
        <v>4729</v>
      </c>
      <c r="B3719" t="str">
        <f>"003017"</f>
        <v>003017</v>
      </c>
      <c r="C3719" t="s">
        <v>7784</v>
      </c>
      <c r="D3719" t="s">
        <v>736</v>
      </c>
      <c r="F3719">
        <v>34263865</v>
      </c>
      <c r="G3719">
        <v>30628584</v>
      </c>
      <c r="H3719">
        <v>26437753</v>
      </c>
      <c r="I3719">
        <v>34802669</v>
      </c>
      <c r="J3719">
        <v>43676836</v>
      </c>
      <c r="K3719">
        <v>53458924</v>
      </c>
      <c r="P3719">
        <v>39</v>
      </c>
      <c r="Q3719" t="s">
        <v>7785</v>
      </c>
    </row>
    <row r="3720" spans="1:17" x14ac:dyDescent="0.3">
      <c r="A3720" t="s">
        <v>4729</v>
      </c>
      <c r="B3720" t="str">
        <f>"003018"</f>
        <v>003018</v>
      </c>
      <c r="C3720" t="s">
        <v>7786</v>
      </c>
      <c r="D3720" t="s">
        <v>485</v>
      </c>
      <c r="F3720">
        <v>76281527</v>
      </c>
      <c r="G3720">
        <v>59849776</v>
      </c>
      <c r="H3720">
        <v>61539125</v>
      </c>
      <c r="I3720">
        <v>63264574</v>
      </c>
      <c r="J3720">
        <v>65697349</v>
      </c>
      <c r="K3720">
        <v>0</v>
      </c>
      <c r="P3720">
        <v>38</v>
      </c>
      <c r="Q3720" t="s">
        <v>7787</v>
      </c>
    </row>
    <row r="3721" spans="1:17" x14ac:dyDescent="0.3">
      <c r="A3721" t="s">
        <v>4729</v>
      </c>
      <c r="B3721" t="str">
        <f>"003019"</f>
        <v>003019</v>
      </c>
      <c r="C3721" t="s">
        <v>7788</v>
      </c>
      <c r="D3721" t="s">
        <v>1117</v>
      </c>
      <c r="F3721">
        <v>381031893</v>
      </c>
      <c r="G3721">
        <v>209448845</v>
      </c>
      <c r="H3721">
        <v>276609721</v>
      </c>
      <c r="I3721">
        <v>245938521</v>
      </c>
      <c r="J3721">
        <v>208602054</v>
      </c>
      <c r="K3721">
        <v>0</v>
      </c>
      <c r="P3721">
        <v>62</v>
      </c>
      <c r="Q3721" t="s">
        <v>7789</v>
      </c>
    </row>
    <row r="3722" spans="1:17" x14ac:dyDescent="0.3">
      <c r="A3722" t="s">
        <v>4729</v>
      </c>
      <c r="B3722" t="str">
        <f>"003020"</f>
        <v>003020</v>
      </c>
      <c r="C3722" t="s">
        <v>7790</v>
      </c>
      <c r="D3722" t="s">
        <v>143</v>
      </c>
      <c r="F3722">
        <v>282656514</v>
      </c>
      <c r="G3722">
        <v>235059022</v>
      </c>
      <c r="H3722">
        <v>231332503</v>
      </c>
      <c r="I3722">
        <v>206055234</v>
      </c>
      <c r="J3722">
        <v>150492744</v>
      </c>
      <c r="K3722">
        <v>80800945</v>
      </c>
      <c r="P3722">
        <v>78</v>
      </c>
      <c r="Q3722" t="s">
        <v>7791</v>
      </c>
    </row>
    <row r="3723" spans="1:17" x14ac:dyDescent="0.3">
      <c r="A3723" t="s">
        <v>4729</v>
      </c>
      <c r="B3723" t="str">
        <f>"003021"</f>
        <v>003021</v>
      </c>
      <c r="C3723" t="s">
        <v>7792</v>
      </c>
      <c r="D3723" t="s">
        <v>1171</v>
      </c>
      <c r="F3723">
        <v>298304601</v>
      </c>
      <c r="G3723">
        <v>360697236</v>
      </c>
      <c r="H3723">
        <v>277719400</v>
      </c>
      <c r="I3723">
        <v>185981596</v>
      </c>
      <c r="J3723">
        <v>124345002</v>
      </c>
      <c r="K3723">
        <v>85735021</v>
      </c>
      <c r="P3723">
        <v>80</v>
      </c>
      <c r="Q3723" t="s">
        <v>7793</v>
      </c>
    </row>
    <row r="3724" spans="1:17" x14ac:dyDescent="0.3">
      <c r="A3724" t="s">
        <v>4729</v>
      </c>
      <c r="B3724" t="str">
        <f>"003022"</f>
        <v>003022</v>
      </c>
      <c r="C3724" t="s">
        <v>7794</v>
      </c>
      <c r="D3724" t="s">
        <v>478</v>
      </c>
      <c r="F3724">
        <v>181768229</v>
      </c>
      <c r="G3724">
        <v>150810481</v>
      </c>
      <c r="H3724">
        <v>137323936</v>
      </c>
      <c r="I3724">
        <v>65212185</v>
      </c>
      <c r="J3724">
        <v>42918129</v>
      </c>
      <c r="K3724">
        <v>53973262</v>
      </c>
      <c r="P3724">
        <v>205</v>
      </c>
      <c r="Q3724" t="s">
        <v>7795</v>
      </c>
    </row>
    <row r="3725" spans="1:17" x14ac:dyDescent="0.3">
      <c r="A3725" t="s">
        <v>4729</v>
      </c>
      <c r="B3725" t="str">
        <f>"003023"</f>
        <v>003023</v>
      </c>
      <c r="C3725" t="s">
        <v>7796</v>
      </c>
      <c r="D3725" t="s">
        <v>5799</v>
      </c>
      <c r="F3725">
        <v>107277360</v>
      </c>
      <c r="G3725">
        <v>159694674</v>
      </c>
      <c r="H3725">
        <v>120408442</v>
      </c>
      <c r="I3725">
        <v>146858334</v>
      </c>
      <c r="J3725">
        <v>108276306</v>
      </c>
      <c r="K3725">
        <v>81835891</v>
      </c>
      <c r="P3725">
        <v>49</v>
      </c>
      <c r="Q3725" t="s">
        <v>7797</v>
      </c>
    </row>
    <row r="3726" spans="1:17" x14ac:dyDescent="0.3">
      <c r="A3726" t="s">
        <v>4729</v>
      </c>
      <c r="B3726" t="str">
        <f>"003025"</f>
        <v>003025</v>
      </c>
      <c r="C3726" t="s">
        <v>7798</v>
      </c>
      <c r="D3726" t="s">
        <v>2321</v>
      </c>
      <c r="F3726">
        <v>49455812</v>
      </c>
      <c r="G3726">
        <v>52918368</v>
      </c>
      <c r="H3726">
        <v>38459079</v>
      </c>
      <c r="I3726">
        <v>33905859</v>
      </c>
      <c r="J3726">
        <v>44590650</v>
      </c>
      <c r="K3726">
        <v>0</v>
      </c>
      <c r="P3726">
        <v>118</v>
      </c>
      <c r="Q3726" t="s">
        <v>7799</v>
      </c>
    </row>
    <row r="3727" spans="1:17" x14ac:dyDescent="0.3">
      <c r="A3727" t="s">
        <v>4729</v>
      </c>
      <c r="B3727" t="str">
        <f>"003026"</f>
        <v>003026</v>
      </c>
      <c r="C3727" t="s">
        <v>7800</v>
      </c>
      <c r="D3727" t="s">
        <v>475</v>
      </c>
      <c r="F3727">
        <v>124099305</v>
      </c>
      <c r="G3727">
        <v>97185486</v>
      </c>
      <c r="H3727">
        <v>78102963</v>
      </c>
      <c r="I3727">
        <v>83470812</v>
      </c>
      <c r="J3727">
        <v>69908030</v>
      </c>
      <c r="K3727">
        <v>60293019</v>
      </c>
      <c r="P3727">
        <v>106</v>
      </c>
      <c r="Q3727" t="s">
        <v>7801</v>
      </c>
    </row>
    <row r="3728" spans="1:17" x14ac:dyDescent="0.3">
      <c r="A3728" t="s">
        <v>4729</v>
      </c>
      <c r="B3728" t="str">
        <f>"003027"</f>
        <v>003027</v>
      </c>
      <c r="C3728" t="s">
        <v>7802</v>
      </c>
      <c r="D3728" t="s">
        <v>663</v>
      </c>
      <c r="F3728">
        <v>351596317</v>
      </c>
      <c r="G3728">
        <v>273873840</v>
      </c>
      <c r="H3728">
        <v>293199213</v>
      </c>
      <c r="I3728">
        <v>188573609</v>
      </c>
      <c r="J3728">
        <v>166977271</v>
      </c>
      <c r="K3728">
        <v>79863715</v>
      </c>
      <c r="P3728">
        <v>58</v>
      </c>
      <c r="Q3728" t="s">
        <v>7803</v>
      </c>
    </row>
    <row r="3729" spans="1:17" x14ac:dyDescent="0.3">
      <c r="A3729" t="s">
        <v>4729</v>
      </c>
      <c r="B3729" t="str">
        <f>"003028"</f>
        <v>003028</v>
      </c>
      <c r="C3729" t="s">
        <v>7804</v>
      </c>
      <c r="D3729" t="s">
        <v>313</v>
      </c>
      <c r="F3729">
        <v>342400333</v>
      </c>
      <c r="G3729">
        <v>297385180</v>
      </c>
      <c r="H3729">
        <v>175432031</v>
      </c>
      <c r="I3729">
        <v>135791278</v>
      </c>
      <c r="J3729">
        <v>109522730</v>
      </c>
      <c r="P3729">
        <v>83</v>
      </c>
      <c r="Q3729" t="s">
        <v>7805</v>
      </c>
    </row>
    <row r="3730" spans="1:17" x14ac:dyDescent="0.3">
      <c r="A3730" t="s">
        <v>4729</v>
      </c>
      <c r="B3730" t="str">
        <f>"003029"</f>
        <v>003029</v>
      </c>
      <c r="C3730" t="s">
        <v>7806</v>
      </c>
      <c r="D3730" t="s">
        <v>945</v>
      </c>
      <c r="F3730">
        <v>353582324</v>
      </c>
      <c r="G3730">
        <v>296079696</v>
      </c>
      <c r="H3730">
        <v>242451521</v>
      </c>
      <c r="I3730">
        <v>177372141</v>
      </c>
      <c r="J3730">
        <v>201455088</v>
      </c>
      <c r="K3730">
        <v>145125678</v>
      </c>
      <c r="P3730">
        <v>75</v>
      </c>
      <c r="Q3730" t="s">
        <v>7807</v>
      </c>
    </row>
    <row r="3731" spans="1:17" x14ac:dyDescent="0.3">
      <c r="A3731" t="s">
        <v>4729</v>
      </c>
      <c r="B3731" t="str">
        <f>"003030"</f>
        <v>003030</v>
      </c>
      <c r="C3731" t="s">
        <v>7808</v>
      </c>
      <c r="D3731" t="s">
        <v>445</v>
      </c>
      <c r="F3731">
        <v>141587096</v>
      </c>
      <c r="G3731">
        <v>112746804</v>
      </c>
      <c r="H3731">
        <v>104053822</v>
      </c>
      <c r="I3731">
        <v>107702807</v>
      </c>
      <c r="J3731">
        <v>99327139</v>
      </c>
      <c r="P3731">
        <v>60</v>
      </c>
      <c r="Q3731" t="s">
        <v>7809</v>
      </c>
    </row>
    <row r="3732" spans="1:17" x14ac:dyDescent="0.3">
      <c r="A3732" t="s">
        <v>4729</v>
      </c>
      <c r="B3732" t="str">
        <f>"003031"</f>
        <v>003031</v>
      </c>
      <c r="C3732" t="s">
        <v>7810</v>
      </c>
      <c r="D3732" t="s">
        <v>786</v>
      </c>
      <c r="F3732">
        <v>173008278</v>
      </c>
      <c r="G3732">
        <v>131085533</v>
      </c>
      <c r="H3732">
        <v>105558144</v>
      </c>
      <c r="I3732">
        <v>107044911</v>
      </c>
      <c r="J3732">
        <v>66569429</v>
      </c>
      <c r="K3732">
        <v>45669030</v>
      </c>
      <c r="P3732">
        <v>87</v>
      </c>
      <c r="Q3732" t="s">
        <v>7811</v>
      </c>
    </row>
    <row r="3733" spans="1:17" x14ac:dyDescent="0.3">
      <c r="A3733" t="s">
        <v>4729</v>
      </c>
      <c r="B3733" t="str">
        <f>"003032"</f>
        <v>003032</v>
      </c>
      <c r="C3733" t="s">
        <v>7812</v>
      </c>
      <c r="D3733" t="s">
        <v>1336</v>
      </c>
      <c r="F3733">
        <v>5532918</v>
      </c>
      <c r="G3733">
        <v>3912765</v>
      </c>
      <c r="H3733">
        <v>4184945</v>
      </c>
      <c r="I3733">
        <v>6257415</v>
      </c>
      <c r="J3733">
        <v>8351381</v>
      </c>
      <c r="P3733">
        <v>59</v>
      </c>
      <c r="Q3733" t="s">
        <v>7813</v>
      </c>
    </row>
    <row r="3734" spans="1:17" x14ac:dyDescent="0.3">
      <c r="A3734" t="s">
        <v>4729</v>
      </c>
      <c r="B3734" t="str">
        <f>"003033"</f>
        <v>003033</v>
      </c>
      <c r="C3734" t="s">
        <v>7814</v>
      </c>
      <c r="D3734" t="s">
        <v>1656</v>
      </c>
      <c r="F3734">
        <v>185452897</v>
      </c>
      <c r="G3734">
        <v>142423679</v>
      </c>
      <c r="H3734">
        <v>120741547</v>
      </c>
      <c r="I3734">
        <v>106671744</v>
      </c>
      <c r="J3734">
        <v>102742772</v>
      </c>
      <c r="P3734">
        <v>67</v>
      </c>
      <c r="Q3734" t="s">
        <v>7815</v>
      </c>
    </row>
    <row r="3735" spans="1:17" x14ac:dyDescent="0.3">
      <c r="A3735" t="s">
        <v>4729</v>
      </c>
      <c r="B3735" t="str">
        <f>"003035"</f>
        <v>003035</v>
      </c>
      <c r="C3735" t="s">
        <v>7816</v>
      </c>
      <c r="D3735" t="s">
        <v>239</v>
      </c>
      <c r="F3735">
        <v>1902304844</v>
      </c>
      <c r="G3735">
        <v>1293930567</v>
      </c>
      <c r="H3735">
        <v>844663815</v>
      </c>
      <c r="I3735">
        <v>566878754</v>
      </c>
      <c r="J3735">
        <v>378841251</v>
      </c>
      <c r="P3735">
        <v>278</v>
      </c>
      <c r="Q3735" t="s">
        <v>7817</v>
      </c>
    </row>
    <row r="3736" spans="1:17" x14ac:dyDescent="0.3">
      <c r="A3736" t="s">
        <v>4729</v>
      </c>
      <c r="B3736" t="str">
        <f>"003036"</f>
        <v>003036</v>
      </c>
      <c r="C3736" t="s">
        <v>7818</v>
      </c>
      <c r="D3736" t="s">
        <v>534</v>
      </c>
      <c r="F3736">
        <v>522168652</v>
      </c>
      <c r="G3736">
        <v>346724312</v>
      </c>
      <c r="H3736">
        <v>229167171</v>
      </c>
      <c r="I3736">
        <v>255378425</v>
      </c>
      <c r="J3736">
        <v>302334208</v>
      </c>
      <c r="P3736">
        <v>37</v>
      </c>
      <c r="Q3736" t="s">
        <v>7819</v>
      </c>
    </row>
    <row r="3737" spans="1:17" x14ac:dyDescent="0.3">
      <c r="A3737" t="s">
        <v>4729</v>
      </c>
      <c r="B3737" t="str">
        <f>"003037"</f>
        <v>003037</v>
      </c>
      <c r="C3737" t="s">
        <v>7820</v>
      </c>
      <c r="D3737" t="s">
        <v>3347</v>
      </c>
      <c r="F3737">
        <v>392657416</v>
      </c>
      <c r="G3737">
        <v>213900985</v>
      </c>
      <c r="H3737">
        <v>326614268</v>
      </c>
      <c r="I3737">
        <v>248526852</v>
      </c>
      <c r="J3737">
        <v>322646231</v>
      </c>
      <c r="K3737">
        <v>373578445</v>
      </c>
      <c r="P3737">
        <v>40</v>
      </c>
      <c r="Q3737" t="s">
        <v>7821</v>
      </c>
    </row>
    <row r="3738" spans="1:17" x14ac:dyDescent="0.3">
      <c r="A3738" t="s">
        <v>4729</v>
      </c>
      <c r="B3738" t="str">
        <f>"003038"</f>
        <v>003038</v>
      </c>
      <c r="C3738" t="s">
        <v>7822</v>
      </c>
      <c r="D3738" t="s">
        <v>504</v>
      </c>
      <c r="F3738">
        <v>705051650</v>
      </c>
      <c r="G3738">
        <v>300617297</v>
      </c>
      <c r="H3738">
        <v>231810878</v>
      </c>
      <c r="I3738">
        <v>165697498</v>
      </c>
      <c r="J3738">
        <v>102795334</v>
      </c>
      <c r="P3738">
        <v>74</v>
      </c>
      <c r="Q3738" t="s">
        <v>7823</v>
      </c>
    </row>
    <row r="3739" spans="1:17" x14ac:dyDescent="0.3">
      <c r="A3739" t="s">
        <v>4729</v>
      </c>
      <c r="B3739" t="str">
        <f>"003039"</f>
        <v>003039</v>
      </c>
      <c r="C3739" t="s">
        <v>7824</v>
      </c>
      <c r="D3739" t="s">
        <v>33</v>
      </c>
      <c r="F3739">
        <v>127903577</v>
      </c>
      <c r="G3739">
        <v>102024820</v>
      </c>
      <c r="H3739">
        <v>64744078</v>
      </c>
      <c r="I3739">
        <v>58509214</v>
      </c>
      <c r="J3739">
        <v>19384768</v>
      </c>
      <c r="P3739">
        <v>64</v>
      </c>
      <c r="Q3739" t="s">
        <v>7825</v>
      </c>
    </row>
    <row r="3740" spans="1:17" x14ac:dyDescent="0.3">
      <c r="A3740" t="s">
        <v>4729</v>
      </c>
      <c r="B3740" t="str">
        <f>"003040"</f>
        <v>003040</v>
      </c>
      <c r="C3740" t="s">
        <v>7826</v>
      </c>
      <c r="D3740" t="s">
        <v>786</v>
      </c>
      <c r="F3740">
        <v>549746032</v>
      </c>
      <c r="G3740">
        <v>449492817</v>
      </c>
      <c r="H3740">
        <v>526646615</v>
      </c>
      <c r="I3740">
        <v>433947913</v>
      </c>
      <c r="J3740">
        <v>349503157</v>
      </c>
      <c r="P3740">
        <v>61</v>
      </c>
      <c r="Q3740" t="s">
        <v>7827</v>
      </c>
    </row>
    <row r="3741" spans="1:17" x14ac:dyDescent="0.3">
      <c r="A3741" t="s">
        <v>4729</v>
      </c>
      <c r="B3741" t="str">
        <f>"003041"</f>
        <v>003041</v>
      </c>
      <c r="C3741" t="s">
        <v>7828</v>
      </c>
      <c r="D3741" t="s">
        <v>2889</v>
      </c>
      <c r="F3741">
        <v>116078916</v>
      </c>
      <c r="G3741">
        <v>85588445</v>
      </c>
      <c r="H3741">
        <v>96807644</v>
      </c>
      <c r="I3741">
        <v>114431168</v>
      </c>
      <c r="J3741">
        <v>85912434</v>
      </c>
      <c r="P3741">
        <v>30</v>
      </c>
      <c r="Q3741" t="s">
        <v>7829</v>
      </c>
    </row>
    <row r="3742" spans="1:17" x14ac:dyDescent="0.3">
      <c r="A3742" t="s">
        <v>4729</v>
      </c>
      <c r="B3742" t="str">
        <f>"003042"</f>
        <v>003042</v>
      </c>
      <c r="C3742" t="s">
        <v>7830</v>
      </c>
      <c r="D3742" t="s">
        <v>853</v>
      </c>
      <c r="F3742">
        <v>224555560</v>
      </c>
      <c r="G3742">
        <v>182889524</v>
      </c>
      <c r="H3742">
        <v>113235386</v>
      </c>
      <c r="I3742">
        <v>63483201</v>
      </c>
      <c r="J3742">
        <v>51808744</v>
      </c>
      <c r="P3742">
        <v>29</v>
      </c>
      <c r="Q3742" t="s">
        <v>7831</v>
      </c>
    </row>
    <row r="3743" spans="1:17" x14ac:dyDescent="0.3">
      <c r="A3743" t="s">
        <v>4729</v>
      </c>
      <c r="B3743" t="str">
        <f>"003043"</f>
        <v>003043</v>
      </c>
      <c r="C3743" t="s">
        <v>7832</v>
      </c>
      <c r="D3743" t="s">
        <v>3187</v>
      </c>
      <c r="F3743">
        <v>200767964</v>
      </c>
      <c r="G3743">
        <v>109495645</v>
      </c>
      <c r="H3743">
        <v>127226685</v>
      </c>
      <c r="I3743">
        <v>121765158</v>
      </c>
      <c r="J3743">
        <v>100484801</v>
      </c>
      <c r="K3743">
        <v>91110860</v>
      </c>
      <c r="L3743">
        <v>86726515</v>
      </c>
      <c r="P3743">
        <v>46</v>
      </c>
      <c r="Q3743" t="s">
        <v>7833</v>
      </c>
    </row>
    <row r="3744" spans="1:17" x14ac:dyDescent="0.3">
      <c r="A3744" t="s">
        <v>4729</v>
      </c>
      <c r="B3744" t="str">
        <f>"003816"</f>
        <v>003816</v>
      </c>
      <c r="C3744" t="s">
        <v>7834</v>
      </c>
      <c r="D3744" t="s">
        <v>2381</v>
      </c>
      <c r="F3744">
        <v>10851815965</v>
      </c>
      <c r="G3744">
        <v>8785607103</v>
      </c>
      <c r="H3744">
        <v>7483893725</v>
      </c>
      <c r="I3744">
        <v>0</v>
      </c>
      <c r="J3744">
        <v>0</v>
      </c>
      <c r="K3744">
        <v>0</v>
      </c>
      <c r="P3744">
        <v>523</v>
      </c>
      <c r="Q3744" t="s">
        <v>7835</v>
      </c>
    </row>
    <row r="3745" spans="1:17" x14ac:dyDescent="0.3">
      <c r="A3745" t="s">
        <v>4729</v>
      </c>
      <c r="B3745" t="str">
        <f>"200002"</f>
        <v>200002</v>
      </c>
      <c r="C3745" t="s">
        <v>7836</v>
      </c>
      <c r="K3745">
        <v>2316401666.7143998</v>
      </c>
      <c r="L3745">
        <v>2996966808.3512998</v>
      </c>
      <c r="M3745">
        <v>2368347380.0704002</v>
      </c>
      <c r="N3745">
        <v>3946315568.7818999</v>
      </c>
      <c r="O3745">
        <v>2347998292.3357</v>
      </c>
      <c r="P3745">
        <v>22</v>
      </c>
      <c r="Q3745" t="s">
        <v>7837</v>
      </c>
    </row>
    <row r="3746" spans="1:17" x14ac:dyDescent="0.3">
      <c r="A3746" t="s">
        <v>4729</v>
      </c>
      <c r="B3746" t="str">
        <f>"200003"</f>
        <v>200003</v>
      </c>
      <c r="C3746" t="s">
        <v>7838</v>
      </c>
      <c r="K3746">
        <v>9286848.7172999997</v>
      </c>
      <c r="L3746">
        <v>0</v>
      </c>
      <c r="M3746">
        <v>0</v>
      </c>
      <c r="N3746">
        <v>0</v>
      </c>
      <c r="O3746">
        <v>0</v>
      </c>
      <c r="P3746">
        <v>1</v>
      </c>
      <c r="Q3746" t="s">
        <v>7839</v>
      </c>
    </row>
    <row r="3747" spans="1:17" x14ac:dyDescent="0.3">
      <c r="A3747" t="s">
        <v>4729</v>
      </c>
      <c r="B3747" t="str">
        <f>"200011"</f>
        <v>200011</v>
      </c>
      <c r="C3747" t="s">
        <v>7840</v>
      </c>
      <c r="F3747">
        <v>332026308.06120002</v>
      </c>
      <c r="G3747">
        <v>222628160.12909999</v>
      </c>
      <c r="H3747">
        <v>242629117.06549999</v>
      </c>
      <c r="I3747">
        <v>73127298.618000001</v>
      </c>
      <c r="J3747">
        <v>55536375.720200002</v>
      </c>
      <c r="K3747">
        <v>35231982.364</v>
      </c>
      <c r="L3747">
        <v>46282310.680200003</v>
      </c>
      <c r="M3747">
        <v>33242049.0528</v>
      </c>
      <c r="N3747">
        <v>28464021.797400001</v>
      </c>
      <c r="O3747">
        <v>25618857.601399999</v>
      </c>
      <c r="P3747">
        <v>176</v>
      </c>
      <c r="Q3747" t="s">
        <v>7841</v>
      </c>
    </row>
    <row r="3748" spans="1:17" x14ac:dyDescent="0.3">
      <c r="A3748" t="s">
        <v>4729</v>
      </c>
      <c r="B3748" t="str">
        <f>"200012"</f>
        <v>200012</v>
      </c>
      <c r="C3748" t="s">
        <v>7842</v>
      </c>
      <c r="F3748">
        <v>893286810.06359994</v>
      </c>
      <c r="G3748">
        <v>808288166.45130002</v>
      </c>
      <c r="H3748">
        <v>726668396.47449994</v>
      </c>
      <c r="I3748">
        <v>674257625.71200001</v>
      </c>
      <c r="J3748">
        <v>766013595.65799999</v>
      </c>
      <c r="K3748">
        <v>700957954.22459996</v>
      </c>
      <c r="L3748">
        <v>540700276.24440002</v>
      </c>
      <c r="M3748">
        <v>397970527.32959998</v>
      </c>
      <c r="N3748">
        <v>174863206.40110001</v>
      </c>
      <c r="O3748">
        <v>344523278.16060001</v>
      </c>
      <c r="P3748">
        <v>85</v>
      </c>
      <c r="Q3748" t="s">
        <v>7843</v>
      </c>
    </row>
    <row r="3749" spans="1:17" x14ac:dyDescent="0.3">
      <c r="A3749" t="s">
        <v>4729</v>
      </c>
      <c r="B3749" t="str">
        <f>"200015"</f>
        <v>200015</v>
      </c>
      <c r="C3749" t="s">
        <v>7844</v>
      </c>
      <c r="K3749">
        <v>102785654.7667</v>
      </c>
      <c r="L3749">
        <v>146171420.93920001</v>
      </c>
      <c r="M3749">
        <v>0</v>
      </c>
      <c r="N3749">
        <v>0</v>
      </c>
      <c r="O3749">
        <v>0</v>
      </c>
      <c r="P3749">
        <v>0</v>
      </c>
      <c r="Q3749" t="s">
        <v>7845</v>
      </c>
    </row>
    <row r="3750" spans="1:17" x14ac:dyDescent="0.3">
      <c r="A3750" t="s">
        <v>4729</v>
      </c>
      <c r="B3750" t="str">
        <f>"200016"</f>
        <v>200016</v>
      </c>
      <c r="C3750" t="s">
        <v>7846</v>
      </c>
      <c r="F3750">
        <v>4154743609.3667998</v>
      </c>
      <c r="G3750">
        <v>4626854671.8263998</v>
      </c>
      <c r="H3750">
        <v>4939496947.4729996</v>
      </c>
      <c r="I3750">
        <v>5075494007.6610003</v>
      </c>
      <c r="J3750">
        <v>4132403755.5893998</v>
      </c>
      <c r="K3750">
        <v>2576151144.6775999</v>
      </c>
      <c r="L3750">
        <v>2445668602.1343002</v>
      </c>
      <c r="M3750">
        <v>2825020226.0328002</v>
      </c>
      <c r="N3750">
        <v>3154259835.6745</v>
      </c>
      <c r="O3750">
        <v>2458838942.5865998</v>
      </c>
      <c r="P3750">
        <v>36</v>
      </c>
      <c r="Q3750" t="s">
        <v>7847</v>
      </c>
    </row>
    <row r="3751" spans="1:17" x14ac:dyDescent="0.3">
      <c r="A3751" t="s">
        <v>4729</v>
      </c>
      <c r="B3751" t="str">
        <f>"200017"</f>
        <v>200017</v>
      </c>
      <c r="C3751" t="s">
        <v>7848</v>
      </c>
      <c r="F3751">
        <v>57288282.7152</v>
      </c>
      <c r="G3751">
        <v>65272773.192500003</v>
      </c>
      <c r="H3751">
        <v>43192582.093999997</v>
      </c>
      <c r="I3751">
        <v>33025048.9965</v>
      </c>
      <c r="J3751">
        <v>34815131.555</v>
      </c>
      <c r="K3751">
        <v>13808942.169399999</v>
      </c>
      <c r="L3751">
        <v>10976424.835200001</v>
      </c>
      <c r="M3751">
        <v>8491445.1432000007</v>
      </c>
      <c r="N3751">
        <v>9049123.7067000009</v>
      </c>
      <c r="O3751">
        <v>7470292.0697999997</v>
      </c>
      <c r="P3751">
        <v>3</v>
      </c>
      <c r="Q3751" t="s">
        <v>7849</v>
      </c>
    </row>
    <row r="3752" spans="1:17" x14ac:dyDescent="0.3">
      <c r="A3752" t="s">
        <v>4729</v>
      </c>
      <c r="B3752" t="str">
        <f>"200018"</f>
        <v>200018</v>
      </c>
      <c r="C3752" t="s">
        <v>7850</v>
      </c>
      <c r="H3752">
        <v>1293941024.5139999</v>
      </c>
      <c r="I3752">
        <v>4784653562.7329998</v>
      </c>
      <c r="J3752">
        <v>6849151627.8487997</v>
      </c>
      <c r="K3752">
        <v>4158034986.1696</v>
      </c>
      <c r="L3752">
        <v>2808547013.8457999</v>
      </c>
      <c r="M3752">
        <v>0</v>
      </c>
      <c r="N3752">
        <v>0</v>
      </c>
      <c r="O3752">
        <v>926868.55519999994</v>
      </c>
      <c r="P3752">
        <v>13</v>
      </c>
      <c r="Q3752" t="s">
        <v>7851</v>
      </c>
    </row>
    <row r="3753" spans="1:17" x14ac:dyDescent="0.3">
      <c r="A3753" t="s">
        <v>4729</v>
      </c>
      <c r="B3753" t="str">
        <f>"200019"</f>
        <v>200019</v>
      </c>
      <c r="C3753" t="s">
        <v>7852</v>
      </c>
      <c r="F3753">
        <v>346110289.79759997</v>
      </c>
      <c r="G3753">
        <v>235216798.08219999</v>
      </c>
      <c r="H3753">
        <v>378822267.38950002</v>
      </c>
      <c r="I3753">
        <v>539246980.84949994</v>
      </c>
      <c r="J3753">
        <v>92647120.213599995</v>
      </c>
      <c r="K3753">
        <v>69854997.261600003</v>
      </c>
      <c r="L3753">
        <v>90659146.699200004</v>
      </c>
      <c r="M3753">
        <v>128976236.6928</v>
      </c>
      <c r="N3753">
        <v>136711378.25170001</v>
      </c>
      <c r="O3753">
        <v>131184268.873</v>
      </c>
      <c r="P3753">
        <v>23</v>
      </c>
      <c r="Q3753" t="s">
        <v>7853</v>
      </c>
    </row>
    <row r="3754" spans="1:17" x14ac:dyDescent="0.3">
      <c r="A3754" t="s">
        <v>4729</v>
      </c>
      <c r="B3754" t="str">
        <f>"200020"</f>
        <v>200020</v>
      </c>
      <c r="C3754" t="s">
        <v>7854</v>
      </c>
      <c r="F3754">
        <v>157344191.07839999</v>
      </c>
      <c r="G3754">
        <v>151896606.02320001</v>
      </c>
      <c r="H3754">
        <v>155198240.38350001</v>
      </c>
      <c r="I3754">
        <v>132974335.14749999</v>
      </c>
      <c r="J3754">
        <v>178584956.79960001</v>
      </c>
      <c r="K3754">
        <v>156053754.3396</v>
      </c>
      <c r="L3754">
        <v>131266404.6504</v>
      </c>
      <c r="M3754">
        <v>140576806.43759999</v>
      </c>
      <c r="N3754">
        <v>207992617.48019999</v>
      </c>
      <c r="O3754">
        <v>201355007.29679999</v>
      </c>
      <c r="P3754">
        <v>6</v>
      </c>
      <c r="Q3754" t="s">
        <v>7855</v>
      </c>
    </row>
    <row r="3755" spans="1:17" x14ac:dyDescent="0.3">
      <c r="A3755" t="s">
        <v>4729</v>
      </c>
      <c r="B3755" t="str">
        <f>"200022"</f>
        <v>200022</v>
      </c>
      <c r="C3755" t="s">
        <v>7856</v>
      </c>
      <c r="J3755">
        <v>308549770.7924</v>
      </c>
      <c r="K3755">
        <v>194145685.55140001</v>
      </c>
      <c r="L3755">
        <v>225629073.4734</v>
      </c>
      <c r="M3755">
        <v>254633887.5528</v>
      </c>
      <c r="N3755">
        <v>286384941.05809999</v>
      </c>
      <c r="O3755">
        <v>312918528.06059998</v>
      </c>
      <c r="P3755">
        <v>41</v>
      </c>
      <c r="Q3755" t="s">
        <v>7857</v>
      </c>
    </row>
    <row r="3756" spans="1:17" x14ac:dyDescent="0.3">
      <c r="A3756" t="s">
        <v>4729</v>
      </c>
      <c r="B3756" t="str">
        <f>"200024"</f>
        <v>200024</v>
      </c>
      <c r="C3756" t="s">
        <v>7858</v>
      </c>
      <c r="M3756">
        <v>85417255.152700007</v>
      </c>
      <c r="N3756">
        <v>98517633.142000005</v>
      </c>
      <c r="O3756">
        <v>201748617.93380001</v>
      </c>
      <c r="P3756">
        <v>0</v>
      </c>
      <c r="Q3756" t="s">
        <v>7859</v>
      </c>
    </row>
    <row r="3757" spans="1:17" x14ac:dyDescent="0.3">
      <c r="A3757" t="s">
        <v>4729</v>
      </c>
      <c r="B3757" t="str">
        <f>"200025"</f>
        <v>200025</v>
      </c>
      <c r="C3757" t="s">
        <v>7860</v>
      </c>
      <c r="F3757">
        <v>22125416.568</v>
      </c>
      <c r="G3757">
        <v>23518595.710999999</v>
      </c>
      <c r="H3757">
        <v>125957891.044</v>
      </c>
      <c r="I3757">
        <v>98030156.548500001</v>
      </c>
      <c r="J3757">
        <v>53067127.447400004</v>
      </c>
      <c r="K3757">
        <v>126953.23940000001</v>
      </c>
      <c r="L3757">
        <v>670920.27870000002</v>
      </c>
      <c r="M3757">
        <v>1717121.8032</v>
      </c>
      <c r="N3757">
        <v>6429954.3762999997</v>
      </c>
      <c r="O3757">
        <v>7193020.0817999998</v>
      </c>
      <c r="P3757">
        <v>7</v>
      </c>
      <c r="Q3757" t="s">
        <v>7861</v>
      </c>
    </row>
    <row r="3758" spans="1:17" x14ac:dyDescent="0.3">
      <c r="A3758" t="s">
        <v>4729</v>
      </c>
      <c r="B3758" t="str">
        <f>"200026"</f>
        <v>200026</v>
      </c>
      <c r="C3758" t="s">
        <v>7862</v>
      </c>
      <c r="F3758">
        <v>475529312.90280002</v>
      </c>
      <c r="G3758">
        <v>564107600.27849996</v>
      </c>
      <c r="H3758">
        <v>444571433.17949998</v>
      </c>
      <c r="I3758">
        <v>421866230.49449998</v>
      </c>
      <c r="J3758">
        <v>391570800.92500001</v>
      </c>
      <c r="K3758">
        <v>342306194.75639999</v>
      </c>
      <c r="L3758">
        <v>363751039.44120002</v>
      </c>
      <c r="M3758">
        <v>439236643.26239997</v>
      </c>
      <c r="N3758">
        <v>415856971.39630002</v>
      </c>
      <c r="O3758">
        <v>384727359.22039998</v>
      </c>
      <c r="P3758">
        <v>52</v>
      </c>
      <c r="Q3758" t="s">
        <v>7863</v>
      </c>
    </row>
    <row r="3759" spans="1:17" x14ac:dyDescent="0.3">
      <c r="A3759" t="s">
        <v>4729</v>
      </c>
      <c r="B3759" t="str">
        <f>"200028"</f>
        <v>200028</v>
      </c>
      <c r="C3759" t="s">
        <v>7864</v>
      </c>
      <c r="F3759">
        <v>19521516971.4888</v>
      </c>
      <c r="G3759">
        <v>16368145619.7054</v>
      </c>
      <c r="H3759">
        <v>11876212748.438999</v>
      </c>
      <c r="I3759">
        <v>10630016986.247999</v>
      </c>
      <c r="J3759">
        <v>9108813098.5359993</v>
      </c>
      <c r="K3759">
        <v>8543646515.3781996</v>
      </c>
      <c r="L3759">
        <v>7345827925.0370998</v>
      </c>
      <c r="M3759">
        <v>8775698166.3192005</v>
      </c>
      <c r="N3759">
        <v>7274491508.4218998</v>
      </c>
      <c r="O3759">
        <v>5467932669.6246004</v>
      </c>
      <c r="P3759">
        <v>209</v>
      </c>
      <c r="Q3759" t="s">
        <v>7865</v>
      </c>
    </row>
    <row r="3760" spans="1:17" x14ac:dyDescent="0.3">
      <c r="A3760" t="s">
        <v>4729</v>
      </c>
      <c r="B3760" t="str">
        <f>"200029"</f>
        <v>200029</v>
      </c>
      <c r="C3760" t="s">
        <v>7866</v>
      </c>
      <c r="F3760">
        <v>74650454.297999993</v>
      </c>
      <c r="G3760">
        <v>70680818.678399995</v>
      </c>
      <c r="H3760">
        <v>69413054.136000007</v>
      </c>
      <c r="I3760">
        <v>38056630.391999997</v>
      </c>
      <c r="J3760">
        <v>164538005.63119999</v>
      </c>
      <c r="K3760">
        <v>120882283.41</v>
      </c>
      <c r="L3760">
        <v>134343664.1733</v>
      </c>
      <c r="M3760">
        <v>105519808.0368</v>
      </c>
      <c r="N3760">
        <v>18074692.330800001</v>
      </c>
      <c r="O3760">
        <v>30384652.540199999</v>
      </c>
      <c r="P3760">
        <v>18</v>
      </c>
      <c r="Q3760" t="s">
        <v>7867</v>
      </c>
    </row>
    <row r="3761" spans="1:17" x14ac:dyDescent="0.3">
      <c r="A3761" t="s">
        <v>4729</v>
      </c>
      <c r="B3761" t="str">
        <f>"200030"</f>
        <v>200030</v>
      </c>
      <c r="C3761" t="s">
        <v>7868</v>
      </c>
      <c r="G3761">
        <v>1753152915.4958</v>
      </c>
      <c r="H3761">
        <v>2070626722.096</v>
      </c>
      <c r="I3761">
        <v>1957880378.619</v>
      </c>
      <c r="J3761">
        <v>1916303138.2346001</v>
      </c>
      <c r="K3761">
        <v>1475673422.1932001</v>
      </c>
      <c r="L3761">
        <v>1429760286.744</v>
      </c>
      <c r="M3761">
        <v>1288643396.4719999</v>
      </c>
      <c r="N3761">
        <v>1430814091.7973001</v>
      </c>
      <c r="O3761">
        <v>0</v>
      </c>
      <c r="P3761">
        <v>132</v>
      </c>
      <c r="Q3761" t="s">
        <v>7869</v>
      </c>
    </row>
    <row r="3762" spans="1:17" x14ac:dyDescent="0.3">
      <c r="A3762" t="s">
        <v>4729</v>
      </c>
      <c r="B3762" t="str">
        <f>"200037"</f>
        <v>200037</v>
      </c>
      <c r="C3762" t="s">
        <v>7870</v>
      </c>
      <c r="F3762">
        <v>90010504.870800003</v>
      </c>
      <c r="G3762">
        <v>101166090.16329999</v>
      </c>
      <c r="H3762">
        <v>199261423.72999999</v>
      </c>
      <c r="I3762">
        <v>150771583.46250001</v>
      </c>
      <c r="J3762">
        <v>136042401.1552</v>
      </c>
      <c r="K3762">
        <v>186191839.6864</v>
      </c>
      <c r="L3762">
        <v>483915765.50910002</v>
      </c>
      <c r="M3762">
        <v>628666745.2536</v>
      </c>
      <c r="N3762">
        <v>1123241566.6898999</v>
      </c>
      <c r="O3762">
        <v>1151252346.5128</v>
      </c>
      <c r="P3762">
        <v>9</v>
      </c>
      <c r="Q3762" t="s">
        <v>7871</v>
      </c>
    </row>
    <row r="3763" spans="1:17" x14ac:dyDescent="0.3">
      <c r="A3763" t="s">
        <v>4729</v>
      </c>
      <c r="B3763" t="str">
        <f>"200039"</f>
        <v>200039</v>
      </c>
      <c r="C3763" t="s">
        <v>7872</v>
      </c>
      <c r="K3763">
        <v>12865404915</v>
      </c>
      <c r="L3763">
        <v>12733256391.299999</v>
      </c>
      <c r="M3763">
        <v>14355173436</v>
      </c>
      <c r="N3763">
        <v>12902218951.299999</v>
      </c>
      <c r="O3763">
        <v>10253055871.799999</v>
      </c>
      <c r="P3763">
        <v>0</v>
      </c>
      <c r="Q3763" t="s">
        <v>7873</v>
      </c>
    </row>
    <row r="3764" spans="1:17" x14ac:dyDescent="0.3">
      <c r="A3764" t="s">
        <v>4729</v>
      </c>
      <c r="B3764" t="str">
        <f>"200045"</f>
        <v>200045</v>
      </c>
      <c r="C3764" t="s">
        <v>7874</v>
      </c>
      <c r="F3764">
        <v>586942421.36520004</v>
      </c>
      <c r="G3764">
        <v>649164649.56980002</v>
      </c>
      <c r="H3764">
        <v>408616044.93650001</v>
      </c>
      <c r="I3764">
        <v>601644897.21599996</v>
      </c>
      <c r="J3764">
        <v>231042194.21560001</v>
      </c>
      <c r="K3764">
        <v>245811817.60780001</v>
      </c>
      <c r="L3764">
        <v>218168218.25639999</v>
      </c>
      <c r="M3764">
        <v>195216911.928</v>
      </c>
      <c r="N3764">
        <v>177415740.1485</v>
      </c>
      <c r="O3764">
        <v>125631595.49779999</v>
      </c>
      <c r="P3764">
        <v>6</v>
      </c>
      <c r="Q3764" t="s">
        <v>7875</v>
      </c>
    </row>
    <row r="3765" spans="1:17" x14ac:dyDescent="0.3">
      <c r="A3765" t="s">
        <v>4729</v>
      </c>
      <c r="B3765" t="str">
        <f>"200053"</f>
        <v>200053</v>
      </c>
      <c r="C3765" t="s">
        <v>7876</v>
      </c>
      <c r="J3765">
        <v>91978260.755600005</v>
      </c>
      <c r="K3765">
        <v>48959662.941</v>
      </c>
      <c r="L3765">
        <v>59992752.834399998</v>
      </c>
      <c r="M3765">
        <v>66564599.657899998</v>
      </c>
      <c r="N3765">
        <v>70954898.080699995</v>
      </c>
      <c r="O3765">
        <v>65975053.847400002</v>
      </c>
      <c r="P3765">
        <v>15</v>
      </c>
      <c r="Q3765" t="s">
        <v>7877</v>
      </c>
    </row>
    <row r="3766" spans="1:17" x14ac:dyDescent="0.3">
      <c r="A3766" t="s">
        <v>4729</v>
      </c>
      <c r="B3766" t="str">
        <f>"200054"</f>
        <v>200054</v>
      </c>
      <c r="C3766" t="s">
        <v>7878</v>
      </c>
      <c r="F3766">
        <v>182604742.12079999</v>
      </c>
      <c r="G3766">
        <v>262586471.90329999</v>
      </c>
      <c r="H3766">
        <v>259098532.9515</v>
      </c>
      <c r="I3766">
        <v>313021347.45749998</v>
      </c>
      <c r="J3766">
        <v>336516648.76200002</v>
      </c>
      <c r="K3766">
        <v>285286700.528</v>
      </c>
      <c r="L3766">
        <v>259939166.5896</v>
      </c>
      <c r="M3766">
        <v>318869117.97600001</v>
      </c>
      <c r="N3766">
        <v>399761591.71340001</v>
      </c>
      <c r="O3766">
        <v>359266116.51840001</v>
      </c>
      <c r="P3766">
        <v>7</v>
      </c>
      <c r="Q3766" t="s">
        <v>7879</v>
      </c>
    </row>
    <row r="3767" spans="1:17" x14ac:dyDescent="0.3">
      <c r="A3767" t="s">
        <v>4729</v>
      </c>
      <c r="B3767" t="str">
        <f>"200055"</f>
        <v>200055</v>
      </c>
      <c r="C3767" t="s">
        <v>7880</v>
      </c>
      <c r="F3767">
        <v>680431735.98720002</v>
      </c>
      <c r="G3767">
        <v>730869042.50689995</v>
      </c>
      <c r="H3767">
        <v>2187999976.8794999</v>
      </c>
      <c r="I3767">
        <v>2186005423.9320002</v>
      </c>
      <c r="J3767">
        <v>2304830985.6852002</v>
      </c>
      <c r="K3767">
        <v>2615178050.7736001</v>
      </c>
      <c r="L3767">
        <v>1678005737.7495</v>
      </c>
      <c r="M3767">
        <v>1381994910.6503999</v>
      </c>
      <c r="N3767">
        <v>1151967584.6294</v>
      </c>
      <c r="O3767">
        <v>964429095.903</v>
      </c>
      <c r="P3767">
        <v>71</v>
      </c>
      <c r="Q3767" t="s">
        <v>7881</v>
      </c>
    </row>
    <row r="3768" spans="1:17" x14ac:dyDescent="0.3">
      <c r="A3768" t="s">
        <v>4729</v>
      </c>
      <c r="B3768" t="str">
        <f>"200056"</f>
        <v>200056</v>
      </c>
      <c r="C3768" t="s">
        <v>7882</v>
      </c>
      <c r="G3768">
        <v>286029618.60720003</v>
      </c>
      <c r="H3768">
        <v>222629495.9535</v>
      </c>
      <c r="I3768">
        <v>171910952.037</v>
      </c>
      <c r="J3768">
        <v>63259105.827399999</v>
      </c>
      <c r="K3768">
        <v>46355781.5352</v>
      </c>
      <c r="L3768">
        <v>57774107.134499997</v>
      </c>
      <c r="M3768">
        <v>38314385.431199998</v>
      </c>
      <c r="N3768">
        <v>2937219.3402999998</v>
      </c>
      <c r="O3768">
        <v>404447.70520000003</v>
      </c>
      <c r="P3768">
        <v>13</v>
      </c>
      <c r="Q3768" t="s">
        <v>7883</v>
      </c>
    </row>
    <row r="3769" spans="1:17" x14ac:dyDescent="0.3">
      <c r="A3769" t="s">
        <v>4729</v>
      </c>
      <c r="B3769" t="str">
        <f>"200058"</f>
        <v>200058</v>
      </c>
      <c r="C3769" t="s">
        <v>7884</v>
      </c>
      <c r="F3769">
        <v>255869200.308</v>
      </c>
      <c r="G3769">
        <v>148690489.95179999</v>
      </c>
      <c r="H3769">
        <v>52281755.808499999</v>
      </c>
      <c r="I3769">
        <v>61964260.578000002</v>
      </c>
      <c r="J3769">
        <v>74333309.220400006</v>
      </c>
      <c r="K3769">
        <v>56781703.445200004</v>
      </c>
      <c r="L3769">
        <v>117236169.3351</v>
      </c>
      <c r="M3769">
        <v>232406896.41600001</v>
      </c>
      <c r="N3769">
        <v>261577422.24529999</v>
      </c>
      <c r="O3769">
        <v>13369999.7522</v>
      </c>
      <c r="P3769">
        <v>7</v>
      </c>
      <c r="Q3769" t="s">
        <v>7885</v>
      </c>
    </row>
    <row r="3770" spans="1:17" x14ac:dyDescent="0.3">
      <c r="A3770" t="s">
        <v>4729</v>
      </c>
      <c r="B3770" t="str">
        <f>"200152"</f>
        <v>200152</v>
      </c>
      <c r="C3770" t="s">
        <v>7886</v>
      </c>
      <c r="F3770">
        <v>415890253.4364</v>
      </c>
      <c r="G3770">
        <v>420297259.47170001</v>
      </c>
      <c r="H3770">
        <v>510884148.4835</v>
      </c>
      <c r="I3770">
        <v>471027571.29449999</v>
      </c>
      <c r="J3770">
        <v>661196419.8398</v>
      </c>
      <c r="K3770">
        <v>360280528.55400002</v>
      </c>
      <c r="L3770">
        <v>305328073.9914</v>
      </c>
      <c r="M3770">
        <v>271386749.7288</v>
      </c>
      <c r="N3770">
        <v>321097582.32859999</v>
      </c>
      <c r="O3770">
        <v>231607834.2942</v>
      </c>
      <c r="P3770">
        <v>112</v>
      </c>
      <c r="Q3770" t="s">
        <v>7887</v>
      </c>
    </row>
    <row r="3771" spans="1:17" x14ac:dyDescent="0.3">
      <c r="A3771" t="s">
        <v>4729</v>
      </c>
      <c r="B3771" t="str">
        <f>"200160"</f>
        <v>200160</v>
      </c>
      <c r="C3771" t="s">
        <v>7888</v>
      </c>
      <c r="H3771">
        <v>168144.10500000001</v>
      </c>
      <c r="I3771">
        <v>12718.183499999999</v>
      </c>
      <c r="J3771">
        <v>21133.121599999999</v>
      </c>
      <c r="K3771">
        <v>86935.236999999994</v>
      </c>
      <c r="L3771">
        <v>186352.72080000001</v>
      </c>
      <c r="M3771">
        <v>3404434.8957000002</v>
      </c>
      <c r="N3771">
        <v>150190.375</v>
      </c>
      <c r="O3771">
        <v>0</v>
      </c>
      <c r="P3771">
        <v>3</v>
      </c>
      <c r="Q3771" t="s">
        <v>7889</v>
      </c>
    </row>
    <row r="3772" spans="1:17" x14ac:dyDescent="0.3">
      <c r="A3772" t="s">
        <v>4729</v>
      </c>
      <c r="B3772" t="str">
        <f>"200168"</f>
        <v>200168</v>
      </c>
      <c r="C3772" t="s">
        <v>7890</v>
      </c>
      <c r="G3772">
        <v>7593.4121999999998</v>
      </c>
      <c r="H3772">
        <v>10205678.3105</v>
      </c>
      <c r="I3772">
        <v>25071113.43</v>
      </c>
      <c r="J3772">
        <v>184776100.88499999</v>
      </c>
      <c r="K3772">
        <v>48619152.736599997</v>
      </c>
      <c r="L3772">
        <v>5558462.8563000001</v>
      </c>
      <c r="M3772">
        <v>119408577.2712</v>
      </c>
      <c r="N3772">
        <v>15775280.2347</v>
      </c>
      <c r="O3772">
        <v>36768047.876000002</v>
      </c>
      <c r="P3772">
        <v>3</v>
      </c>
      <c r="Q3772" t="s">
        <v>7891</v>
      </c>
    </row>
    <row r="3773" spans="1:17" x14ac:dyDescent="0.3">
      <c r="A3773" t="s">
        <v>4729</v>
      </c>
      <c r="B3773" t="str">
        <f>"200413"</f>
        <v>200413</v>
      </c>
      <c r="C3773" t="s">
        <v>7892</v>
      </c>
      <c r="G3773">
        <v>10472007459.775499</v>
      </c>
      <c r="H3773">
        <v>12991396059.2705</v>
      </c>
      <c r="I3773">
        <v>16340642187.4575</v>
      </c>
      <c r="J3773">
        <v>9496722086.8605995</v>
      </c>
      <c r="K3773">
        <v>1844760082.2842</v>
      </c>
      <c r="L3773">
        <v>1244477984.2281001</v>
      </c>
      <c r="M3773">
        <v>798767773.91999996</v>
      </c>
      <c r="N3773">
        <v>1209008976.6454</v>
      </c>
      <c r="O3773">
        <v>714244149.18219995</v>
      </c>
      <c r="P3773">
        <v>44</v>
      </c>
      <c r="Q3773" t="s">
        <v>7893</v>
      </c>
    </row>
    <row r="3774" spans="1:17" x14ac:dyDescent="0.3">
      <c r="A3774" t="s">
        <v>4729</v>
      </c>
      <c r="B3774" t="str">
        <f>"200418"</f>
        <v>200418</v>
      </c>
      <c r="C3774" t="s">
        <v>7894</v>
      </c>
      <c r="I3774">
        <v>2228708786.2874999</v>
      </c>
      <c r="J3774">
        <v>2084416740.0992</v>
      </c>
      <c r="K3774">
        <v>1635963550.6675999</v>
      </c>
      <c r="L3774">
        <v>1069645295.2595</v>
      </c>
      <c r="M3774">
        <v>1070771574.4169</v>
      </c>
      <c r="N3774">
        <v>996834654.39450002</v>
      </c>
      <c r="O3774">
        <v>898848756.73979998</v>
      </c>
      <c r="P3774">
        <v>89</v>
      </c>
      <c r="Q3774" t="s">
        <v>7895</v>
      </c>
    </row>
    <row r="3775" spans="1:17" x14ac:dyDescent="0.3">
      <c r="A3775" t="s">
        <v>4729</v>
      </c>
      <c r="B3775" t="str">
        <f>"200429"</f>
        <v>200429</v>
      </c>
      <c r="C3775" t="s">
        <v>7896</v>
      </c>
      <c r="F3775">
        <v>194490497.52000001</v>
      </c>
      <c r="G3775">
        <v>200341207.09979999</v>
      </c>
      <c r="H3775">
        <v>140196956.41249999</v>
      </c>
      <c r="I3775">
        <v>103691158.8075</v>
      </c>
      <c r="J3775">
        <v>111189678.52500001</v>
      </c>
      <c r="K3775">
        <v>45408352.091399997</v>
      </c>
      <c r="L3775">
        <v>57473474.983199999</v>
      </c>
      <c r="M3775">
        <v>29536896.283199999</v>
      </c>
      <c r="N3775">
        <v>35757398.505500004</v>
      </c>
      <c r="O3775">
        <v>27452271.6384</v>
      </c>
      <c r="P3775">
        <v>453</v>
      </c>
      <c r="Q3775" t="s">
        <v>7897</v>
      </c>
    </row>
    <row r="3776" spans="1:17" x14ac:dyDescent="0.3">
      <c r="A3776" t="s">
        <v>4729</v>
      </c>
      <c r="B3776" t="str">
        <f>"200468"</f>
        <v>200468</v>
      </c>
      <c r="C3776" t="s">
        <v>7898</v>
      </c>
      <c r="F3776">
        <v>409132435.78560001</v>
      </c>
      <c r="G3776">
        <v>585924389.1983</v>
      </c>
      <c r="H3776">
        <v>780328307.58399999</v>
      </c>
      <c r="I3776">
        <v>1071406440.5714999</v>
      </c>
      <c r="J3776">
        <v>936263546.32140005</v>
      </c>
      <c r="K3776">
        <v>849709940.04200006</v>
      </c>
      <c r="L3776">
        <v>928761217.92089999</v>
      </c>
      <c r="M3776">
        <v>963819394.79279995</v>
      </c>
      <c r="N3776">
        <v>1012522495.3634</v>
      </c>
      <c r="O3776">
        <v>892098562.02740002</v>
      </c>
      <c r="P3776">
        <v>4</v>
      </c>
      <c r="Q3776" t="s">
        <v>7899</v>
      </c>
    </row>
    <row r="3777" spans="1:17" x14ac:dyDescent="0.3">
      <c r="A3777" t="s">
        <v>4729</v>
      </c>
      <c r="B3777" t="str">
        <f>"200488"</f>
        <v>200488</v>
      </c>
      <c r="C3777" t="s">
        <v>7900</v>
      </c>
      <c r="F3777">
        <v>3248389171.02</v>
      </c>
      <c r="G3777">
        <v>2354327449.0426002</v>
      </c>
      <c r="H3777">
        <v>2824305683.3534999</v>
      </c>
      <c r="I3777">
        <v>3876008455.1925001</v>
      </c>
      <c r="J3777">
        <v>4399771865.5153999</v>
      </c>
      <c r="K3777">
        <v>4435851469.0847998</v>
      </c>
      <c r="L3777">
        <v>4716652460.5323</v>
      </c>
      <c r="M3777">
        <v>4363157474.9975996</v>
      </c>
      <c r="N3777">
        <v>3976657640.7628002</v>
      </c>
      <c r="O3777">
        <v>4484237856.4745998</v>
      </c>
      <c r="P3777">
        <v>268</v>
      </c>
      <c r="Q3777" t="s">
        <v>7901</v>
      </c>
    </row>
    <row r="3778" spans="1:17" x14ac:dyDescent="0.3">
      <c r="A3778" t="s">
        <v>4729</v>
      </c>
      <c r="B3778" t="str">
        <f>"200505"</f>
        <v>200505</v>
      </c>
      <c r="C3778" t="s">
        <v>7902</v>
      </c>
      <c r="F3778">
        <v>101118339.366</v>
      </c>
      <c r="G3778">
        <v>109412586.81479999</v>
      </c>
      <c r="H3778">
        <v>90312149.4595</v>
      </c>
      <c r="I3778">
        <v>111317645.83499999</v>
      </c>
      <c r="J3778">
        <v>90213185.425400004</v>
      </c>
      <c r="K3778">
        <v>17953115.9518</v>
      </c>
      <c r="L3778">
        <v>20486257.913400002</v>
      </c>
      <c r="M3778">
        <v>15477816.3168</v>
      </c>
      <c r="N3778">
        <v>16845607.397500001</v>
      </c>
      <c r="O3778">
        <v>12308268.8302</v>
      </c>
      <c r="P3778">
        <v>16</v>
      </c>
      <c r="Q3778" t="s">
        <v>7903</v>
      </c>
    </row>
    <row r="3779" spans="1:17" x14ac:dyDescent="0.3">
      <c r="A3779" t="s">
        <v>4729</v>
      </c>
      <c r="B3779" t="str">
        <f>"200512"</f>
        <v>200512</v>
      </c>
      <c r="C3779" t="s">
        <v>7904</v>
      </c>
      <c r="F3779">
        <v>315639522.46319997</v>
      </c>
      <c r="G3779">
        <v>511216882.00209999</v>
      </c>
      <c r="H3779">
        <v>319885868.32200003</v>
      </c>
      <c r="I3779">
        <v>319458695.14349997</v>
      </c>
      <c r="J3779">
        <v>324116915.68419999</v>
      </c>
      <c r="K3779">
        <v>304819280.77920002</v>
      </c>
      <c r="L3779">
        <v>262147584.40529999</v>
      </c>
      <c r="M3779">
        <v>309269353.28399998</v>
      </c>
      <c r="N3779">
        <v>325325549.18919998</v>
      </c>
      <c r="O3779">
        <v>376034762.91500002</v>
      </c>
      <c r="P3779">
        <v>34</v>
      </c>
      <c r="Q3779" t="s">
        <v>7905</v>
      </c>
    </row>
    <row r="3780" spans="1:17" x14ac:dyDescent="0.3">
      <c r="A3780" t="s">
        <v>4729</v>
      </c>
      <c r="B3780" t="str">
        <f>"200513"</f>
        <v>200513</v>
      </c>
      <c r="C3780" t="s">
        <v>7906</v>
      </c>
      <c r="K3780">
        <v>1634525585.6803999</v>
      </c>
      <c r="L3780">
        <v>1499399723.1039</v>
      </c>
      <c r="M3780">
        <v>1341542303.0569999</v>
      </c>
      <c r="N3780">
        <v>1350079241.7604001</v>
      </c>
      <c r="O3780">
        <v>963347122.65719998</v>
      </c>
      <c r="P3780">
        <v>1</v>
      </c>
      <c r="Q3780" t="s">
        <v>7907</v>
      </c>
    </row>
    <row r="3781" spans="1:17" x14ac:dyDescent="0.3">
      <c r="A3781" t="s">
        <v>4729</v>
      </c>
      <c r="B3781" t="str">
        <f>"200521"</f>
        <v>200521</v>
      </c>
      <c r="C3781" t="s">
        <v>7908</v>
      </c>
      <c r="F3781">
        <v>1761901572.1547999</v>
      </c>
      <c r="G3781">
        <v>1340620103.8441</v>
      </c>
      <c r="H3781">
        <v>1552435476.8670001</v>
      </c>
      <c r="I3781">
        <v>1902420572.3325</v>
      </c>
      <c r="J3781">
        <v>2136855894.1018</v>
      </c>
      <c r="K3781">
        <v>1248983768.1424</v>
      </c>
      <c r="L3781">
        <v>1594613150.2728</v>
      </c>
      <c r="M3781">
        <v>1450704423.1608</v>
      </c>
      <c r="N3781">
        <v>1096191980.3079</v>
      </c>
      <c r="O3781">
        <v>938132286.01259995</v>
      </c>
      <c r="P3781">
        <v>23</v>
      </c>
      <c r="Q3781" t="s">
        <v>7909</v>
      </c>
    </row>
    <row r="3782" spans="1:17" x14ac:dyDescent="0.3">
      <c r="A3782" t="s">
        <v>4729</v>
      </c>
      <c r="B3782" t="str">
        <f>"200530"</f>
        <v>200530</v>
      </c>
      <c r="C3782" t="s">
        <v>7910</v>
      </c>
      <c r="F3782">
        <v>1004589724.6812</v>
      </c>
      <c r="G3782">
        <v>969057881.01160002</v>
      </c>
      <c r="H3782">
        <v>1152438133.227</v>
      </c>
      <c r="I3782">
        <v>1260941790.438</v>
      </c>
      <c r="J3782">
        <v>1243714326.3792</v>
      </c>
      <c r="K3782">
        <v>847255292.34379995</v>
      </c>
      <c r="L3782">
        <v>801478634.22689998</v>
      </c>
      <c r="M3782">
        <v>548776589.83200002</v>
      </c>
      <c r="N3782">
        <v>473860827.82990003</v>
      </c>
      <c r="O3782">
        <v>438424945.4242</v>
      </c>
      <c r="P3782">
        <v>25</v>
      </c>
      <c r="Q3782" t="s">
        <v>7911</v>
      </c>
    </row>
    <row r="3783" spans="1:17" x14ac:dyDescent="0.3">
      <c r="A3783" t="s">
        <v>4729</v>
      </c>
      <c r="B3783" t="str">
        <f>"200539"</f>
        <v>200539</v>
      </c>
      <c r="C3783" t="s">
        <v>7912</v>
      </c>
      <c r="F3783">
        <v>8597122054.5396004</v>
      </c>
      <c r="G3783">
        <v>5138361968.0412998</v>
      </c>
      <c r="H3783">
        <v>3576616783.9840002</v>
      </c>
      <c r="I3783">
        <v>3823460923.9365001</v>
      </c>
      <c r="J3783">
        <v>3392049958.2518001</v>
      </c>
      <c r="K3783">
        <v>3098640302.8257999</v>
      </c>
      <c r="L3783">
        <v>2965967159.493</v>
      </c>
      <c r="M3783">
        <v>3226949572.2792001</v>
      </c>
      <c r="N3783">
        <v>4186603520.3383999</v>
      </c>
      <c r="O3783">
        <v>3807915216.8442001</v>
      </c>
      <c r="P3783">
        <v>185</v>
      </c>
      <c r="Q3783" t="s">
        <v>7913</v>
      </c>
    </row>
    <row r="3784" spans="1:17" x14ac:dyDescent="0.3">
      <c r="A3784" t="s">
        <v>4729</v>
      </c>
      <c r="B3784" t="str">
        <f>"200541"</f>
        <v>200541</v>
      </c>
      <c r="C3784" t="s">
        <v>7914</v>
      </c>
      <c r="F3784">
        <v>1776396135.8928001</v>
      </c>
      <c r="G3784">
        <v>1345314041.2196</v>
      </c>
      <c r="H3784">
        <v>796568036.13950002</v>
      </c>
      <c r="I3784">
        <v>949987848.546</v>
      </c>
      <c r="J3784">
        <v>907700977.88660002</v>
      </c>
      <c r="K3784">
        <v>664426928.25479996</v>
      </c>
      <c r="L3784">
        <v>437373030.0747</v>
      </c>
      <c r="M3784">
        <v>403818773.16960001</v>
      </c>
      <c r="N3784">
        <v>500140790.53119999</v>
      </c>
      <c r="O3784">
        <v>415704977.78320003</v>
      </c>
      <c r="P3784">
        <v>119</v>
      </c>
      <c r="Q3784" t="s">
        <v>7915</v>
      </c>
    </row>
    <row r="3785" spans="1:17" x14ac:dyDescent="0.3">
      <c r="A3785" t="s">
        <v>4729</v>
      </c>
      <c r="B3785" t="str">
        <f>"200550"</f>
        <v>200550</v>
      </c>
      <c r="C3785" t="s">
        <v>7916</v>
      </c>
      <c r="F3785">
        <v>3662039271.9755998</v>
      </c>
      <c r="G3785">
        <v>3558161477.7532001</v>
      </c>
      <c r="H3785">
        <v>2469912659.4699998</v>
      </c>
      <c r="I3785">
        <v>3045088703.9429998</v>
      </c>
      <c r="J3785">
        <v>2769003526.4837999</v>
      </c>
      <c r="K3785">
        <v>1308351054.0106001</v>
      </c>
      <c r="L3785">
        <v>1738525082.7204001</v>
      </c>
      <c r="M3785">
        <v>861948599.06640005</v>
      </c>
      <c r="N3785">
        <v>597697256.57949996</v>
      </c>
      <c r="O3785">
        <v>456816683.39300001</v>
      </c>
      <c r="P3785">
        <v>154</v>
      </c>
      <c r="Q3785" t="s">
        <v>7917</v>
      </c>
    </row>
    <row r="3786" spans="1:17" x14ac:dyDescent="0.3">
      <c r="A3786" t="s">
        <v>4729</v>
      </c>
      <c r="B3786" t="str">
        <f>"200553"</f>
        <v>200553</v>
      </c>
      <c r="C3786" t="s">
        <v>7918</v>
      </c>
      <c r="F3786">
        <v>10225656440.4</v>
      </c>
      <c r="G3786">
        <v>10398383320.9</v>
      </c>
      <c r="H3786">
        <v>8952649604.5</v>
      </c>
      <c r="I3786">
        <v>7419504312</v>
      </c>
      <c r="J3786">
        <v>6069231370</v>
      </c>
      <c r="K3786">
        <v>232848646.96720001</v>
      </c>
      <c r="L3786">
        <v>215403800.04840001</v>
      </c>
      <c r="M3786">
        <v>244623145.61520001</v>
      </c>
      <c r="N3786">
        <v>268088635.11989999</v>
      </c>
      <c r="O3786">
        <v>225228264.85879999</v>
      </c>
      <c r="P3786">
        <v>58</v>
      </c>
      <c r="Q3786" t="s">
        <v>7919</v>
      </c>
    </row>
    <row r="3787" spans="1:17" x14ac:dyDescent="0.3">
      <c r="A3787" t="s">
        <v>4729</v>
      </c>
      <c r="B3787" t="str">
        <f>"200570"</f>
        <v>200570</v>
      </c>
      <c r="C3787" t="s">
        <v>7920</v>
      </c>
      <c r="F3787">
        <v>458805719.27280003</v>
      </c>
      <c r="G3787">
        <v>471064378.37760001</v>
      </c>
      <c r="H3787">
        <v>468989350.75449997</v>
      </c>
      <c r="I3787">
        <v>431502976.07999998</v>
      </c>
      <c r="J3787">
        <v>470684806.79540002</v>
      </c>
      <c r="K3787">
        <v>401028137.31639999</v>
      </c>
      <c r="L3787">
        <v>368372144.5977</v>
      </c>
      <c r="M3787">
        <v>468068927.89200002</v>
      </c>
      <c r="N3787">
        <v>406677482.13749999</v>
      </c>
      <c r="O3787">
        <v>372394624.04339999</v>
      </c>
      <c r="P3787">
        <v>10</v>
      </c>
      <c r="Q3787" t="s">
        <v>7921</v>
      </c>
    </row>
    <row r="3788" spans="1:17" x14ac:dyDescent="0.3">
      <c r="A3788" t="s">
        <v>4729</v>
      </c>
      <c r="B3788" t="str">
        <f>"200581"</f>
        <v>200581</v>
      </c>
      <c r="C3788" t="s">
        <v>7922</v>
      </c>
      <c r="F3788">
        <v>2511386999.5032001</v>
      </c>
      <c r="G3788">
        <v>3350471975.5071998</v>
      </c>
      <c r="H3788">
        <v>2584480453.4060001</v>
      </c>
      <c r="I3788">
        <v>2185684634.4794998</v>
      </c>
      <c r="J3788">
        <v>2395092512.7662001</v>
      </c>
      <c r="K3788">
        <v>1478634094.6966</v>
      </c>
      <c r="L3788">
        <v>1505450493.9345</v>
      </c>
      <c r="M3788">
        <v>1508113988.3448</v>
      </c>
      <c r="N3788">
        <v>1451955216.7722001</v>
      </c>
      <c r="O3788">
        <v>1289894355.6645999</v>
      </c>
      <c r="P3788">
        <v>448</v>
      </c>
      <c r="Q3788" t="s">
        <v>7923</v>
      </c>
    </row>
    <row r="3789" spans="1:17" x14ac:dyDescent="0.3">
      <c r="A3789" t="s">
        <v>4729</v>
      </c>
      <c r="B3789" t="str">
        <f>"200596"</f>
        <v>200596</v>
      </c>
      <c r="C3789" t="s">
        <v>7924</v>
      </c>
      <c r="F3789">
        <v>108836297.1312</v>
      </c>
      <c r="G3789">
        <v>80576204.269600004</v>
      </c>
      <c r="H3789">
        <v>45608591.307999998</v>
      </c>
      <c r="I3789">
        <v>33868176.556500003</v>
      </c>
      <c r="J3789">
        <v>26963864.828600001</v>
      </c>
      <c r="K3789">
        <v>13715042.9606</v>
      </c>
      <c r="L3789">
        <v>5906517.1275000004</v>
      </c>
      <c r="M3789">
        <v>5424176.4312000005</v>
      </c>
      <c r="N3789">
        <v>8170158.199</v>
      </c>
      <c r="O3789">
        <v>9816168.9122000001</v>
      </c>
      <c r="P3789">
        <v>745</v>
      </c>
      <c r="Q3789" t="s">
        <v>7925</v>
      </c>
    </row>
    <row r="3790" spans="1:17" x14ac:dyDescent="0.3">
      <c r="A3790" t="s">
        <v>4729</v>
      </c>
      <c r="B3790" t="str">
        <f>"200613"</f>
        <v>200613</v>
      </c>
      <c r="C3790" t="s">
        <v>7926</v>
      </c>
      <c r="F3790">
        <v>351026.75040000002</v>
      </c>
      <c r="G3790">
        <v>509196.28830000001</v>
      </c>
      <c r="H3790">
        <v>347947.45400000003</v>
      </c>
      <c r="I3790">
        <v>485496.2475</v>
      </c>
      <c r="J3790">
        <v>713076.02619999996</v>
      </c>
      <c r="K3790">
        <v>770674.70900000003</v>
      </c>
      <c r="L3790">
        <v>549337.15890000004</v>
      </c>
      <c r="M3790">
        <v>3291526.7015999998</v>
      </c>
      <c r="N3790">
        <v>4497969.7825999996</v>
      </c>
      <c r="O3790">
        <v>3140761.7905999999</v>
      </c>
      <c r="P3790">
        <v>4</v>
      </c>
      <c r="Q3790" t="s">
        <v>7927</v>
      </c>
    </row>
    <row r="3791" spans="1:17" x14ac:dyDescent="0.3">
      <c r="A3791" t="s">
        <v>4729</v>
      </c>
      <c r="B3791" t="str">
        <f>"200625"</f>
        <v>200625</v>
      </c>
      <c r="C3791" t="s">
        <v>7928</v>
      </c>
      <c r="F3791">
        <v>2048712789.7980001</v>
      </c>
      <c r="G3791">
        <v>2539673926.5679002</v>
      </c>
      <c r="H3791">
        <v>937654295.12450004</v>
      </c>
      <c r="I3791">
        <v>1604624215.7385001</v>
      </c>
      <c r="J3791">
        <v>2168529993.0386</v>
      </c>
      <c r="K3791">
        <v>1673001906.2804</v>
      </c>
      <c r="L3791">
        <v>1045059947.1909</v>
      </c>
      <c r="M3791">
        <v>948898789.22640002</v>
      </c>
      <c r="N3791">
        <v>487068200.32569999</v>
      </c>
      <c r="O3791">
        <v>545613125.91659999</v>
      </c>
      <c r="P3791">
        <v>710</v>
      </c>
      <c r="Q3791" t="s">
        <v>7929</v>
      </c>
    </row>
    <row r="3792" spans="1:17" x14ac:dyDescent="0.3">
      <c r="A3792" t="s">
        <v>4729</v>
      </c>
      <c r="B3792" t="str">
        <f>"200706"</f>
        <v>200706</v>
      </c>
      <c r="C3792" t="s">
        <v>7930</v>
      </c>
      <c r="F3792">
        <v>1222132727.8224001</v>
      </c>
      <c r="G3792">
        <v>1157192478.7351</v>
      </c>
      <c r="H3792">
        <v>1113009791.299</v>
      </c>
      <c r="I3792">
        <v>1299749161.392</v>
      </c>
      <c r="J3792">
        <v>1354231284.4028001</v>
      </c>
      <c r="K3792">
        <v>1395129309.7588</v>
      </c>
      <c r="L3792">
        <v>1186458211.2462001</v>
      </c>
      <c r="M3792">
        <v>1373647148.9712</v>
      </c>
      <c r="N3792">
        <v>1459350875.7037001</v>
      </c>
      <c r="O3792">
        <v>1341069386.5883999</v>
      </c>
      <c r="P3792">
        <v>7</v>
      </c>
      <c r="Q3792" t="s">
        <v>7931</v>
      </c>
    </row>
    <row r="3793" spans="1:17" x14ac:dyDescent="0.3">
      <c r="A3793" t="s">
        <v>4729</v>
      </c>
      <c r="B3793" t="str">
        <f>"200725"</f>
        <v>200725</v>
      </c>
      <c r="C3793" t="s">
        <v>7932</v>
      </c>
      <c r="F3793">
        <v>43413575641.896004</v>
      </c>
      <c r="G3793">
        <v>27243697375.065498</v>
      </c>
      <c r="H3793">
        <v>20284766811.011002</v>
      </c>
      <c r="I3793">
        <v>22634154769.743</v>
      </c>
      <c r="J3793">
        <v>18619618655.0504</v>
      </c>
      <c r="K3793">
        <v>18073277802.895401</v>
      </c>
      <c r="L3793">
        <v>9779404392.7257004</v>
      </c>
      <c r="M3793">
        <v>8272348957.3487997</v>
      </c>
      <c r="N3793">
        <v>6223856403.6473999</v>
      </c>
      <c r="O3793">
        <v>6466992832.7144003</v>
      </c>
      <c r="P3793">
        <v>85</v>
      </c>
      <c r="Q3793" t="s">
        <v>7933</v>
      </c>
    </row>
    <row r="3794" spans="1:17" x14ac:dyDescent="0.3">
      <c r="A3794" t="s">
        <v>4729</v>
      </c>
      <c r="B3794" t="str">
        <f>"200726"</f>
        <v>200726</v>
      </c>
      <c r="C3794" t="s">
        <v>7934</v>
      </c>
      <c r="F3794">
        <v>791490558.93719995</v>
      </c>
      <c r="G3794">
        <v>619648553.44200003</v>
      </c>
      <c r="H3794">
        <v>576370432.10000002</v>
      </c>
      <c r="I3794">
        <v>426490202.70450002</v>
      </c>
      <c r="J3794">
        <v>400963444.9048</v>
      </c>
      <c r="K3794">
        <v>327191402.39359999</v>
      </c>
      <c r="L3794">
        <v>313761708.92909998</v>
      </c>
      <c r="M3794">
        <v>265047980.7216</v>
      </c>
      <c r="N3794">
        <v>359433385.69599998</v>
      </c>
      <c r="O3794">
        <v>283935102.20740002</v>
      </c>
      <c r="P3794">
        <v>329</v>
      </c>
      <c r="Q3794" t="s">
        <v>7935</v>
      </c>
    </row>
    <row r="3795" spans="1:17" x14ac:dyDescent="0.3">
      <c r="A3795" t="s">
        <v>4729</v>
      </c>
      <c r="B3795" t="str">
        <f>"200761"</f>
        <v>200761</v>
      </c>
      <c r="C3795" t="s">
        <v>7936</v>
      </c>
      <c r="F3795">
        <v>314077137.45240003</v>
      </c>
      <c r="G3795">
        <v>290852100.75629997</v>
      </c>
      <c r="H3795">
        <v>263626273.521</v>
      </c>
      <c r="I3795">
        <v>728050804.61849999</v>
      </c>
      <c r="J3795">
        <v>874463230.7852</v>
      </c>
      <c r="K3795">
        <v>696358589.61740005</v>
      </c>
      <c r="L3795">
        <v>583223466.86249995</v>
      </c>
      <c r="M3795">
        <v>609903909.3168</v>
      </c>
      <c r="N3795">
        <v>454709534.41479999</v>
      </c>
      <c r="O3795">
        <v>354807960.56300002</v>
      </c>
      <c r="P3795">
        <v>41</v>
      </c>
      <c r="Q3795" t="s">
        <v>7937</v>
      </c>
    </row>
    <row r="3796" spans="1:17" x14ac:dyDescent="0.3">
      <c r="A3796" t="s">
        <v>4729</v>
      </c>
      <c r="B3796" t="str">
        <f>"200770"</f>
        <v>200770</v>
      </c>
      <c r="C3796" t="s">
        <v>7938</v>
      </c>
      <c r="K3796">
        <v>301575367.45829999</v>
      </c>
      <c r="L3796">
        <v>294103594.93000001</v>
      </c>
      <c r="M3796">
        <v>30844013.7645</v>
      </c>
      <c r="N3796">
        <v>283737706.81699997</v>
      </c>
      <c r="O3796">
        <v>287761108.94599998</v>
      </c>
      <c r="P3796">
        <v>0</v>
      </c>
      <c r="Q3796" t="s">
        <v>7939</v>
      </c>
    </row>
    <row r="3797" spans="1:17" x14ac:dyDescent="0.3">
      <c r="A3797" t="s">
        <v>4729</v>
      </c>
      <c r="B3797" t="str">
        <f>"200771"</f>
        <v>200771</v>
      </c>
      <c r="C3797" t="s">
        <v>7940</v>
      </c>
      <c r="F3797">
        <v>2443093407.9587998</v>
      </c>
      <c r="G3797">
        <v>1920056669.5604999</v>
      </c>
      <c r="H3797">
        <v>2265053482.1455002</v>
      </c>
      <c r="I3797">
        <v>2209598813.3175001</v>
      </c>
      <c r="J3797">
        <v>2034599981.0896001</v>
      </c>
      <c r="K3797">
        <v>2087487491.0376</v>
      </c>
      <c r="L3797">
        <v>2502102821.6046</v>
      </c>
      <c r="M3797">
        <v>2987105120.3568001</v>
      </c>
      <c r="N3797">
        <v>2712288835.5857</v>
      </c>
      <c r="O3797">
        <v>2423037540.6817999</v>
      </c>
      <c r="P3797">
        <v>65</v>
      </c>
      <c r="Q3797" t="s">
        <v>7941</v>
      </c>
    </row>
    <row r="3798" spans="1:17" x14ac:dyDescent="0.3">
      <c r="A3798" t="s">
        <v>4729</v>
      </c>
      <c r="B3798" t="str">
        <f>"200869"</f>
        <v>200869</v>
      </c>
      <c r="C3798" t="s">
        <v>7942</v>
      </c>
      <c r="F3798">
        <v>355842638.148</v>
      </c>
      <c r="G3798">
        <v>218068472.66819999</v>
      </c>
      <c r="H3798">
        <v>297765004.13050002</v>
      </c>
      <c r="I3798">
        <v>275691284.99550003</v>
      </c>
      <c r="J3798">
        <v>316608385.27100003</v>
      </c>
      <c r="K3798">
        <v>193172505.37360001</v>
      </c>
      <c r="L3798">
        <v>236108000.12670001</v>
      </c>
      <c r="M3798">
        <v>182148782.71439999</v>
      </c>
      <c r="N3798">
        <v>227001266.65720001</v>
      </c>
      <c r="O3798">
        <v>168291556.12639999</v>
      </c>
      <c r="P3798">
        <v>348</v>
      </c>
      <c r="Q3798" t="s">
        <v>7943</v>
      </c>
    </row>
    <row r="3799" spans="1:17" x14ac:dyDescent="0.3">
      <c r="A3799" t="s">
        <v>4729</v>
      </c>
      <c r="B3799" t="str">
        <f>"200986"</f>
        <v>200986</v>
      </c>
      <c r="C3799" t="s">
        <v>7944</v>
      </c>
      <c r="G3799">
        <v>644886300.2845</v>
      </c>
      <c r="H3799">
        <v>963584139.48199999</v>
      </c>
      <c r="I3799">
        <v>889414010.69400001</v>
      </c>
      <c r="J3799">
        <v>876302293.64460003</v>
      </c>
      <c r="K3799">
        <v>922165357.37320006</v>
      </c>
      <c r="L3799">
        <v>944605017.77219999</v>
      </c>
      <c r="M3799">
        <v>1047808426.4352</v>
      </c>
      <c r="N3799">
        <v>1112265681.3169999</v>
      </c>
      <c r="O3799">
        <v>1209245347.2651999</v>
      </c>
      <c r="P3799">
        <v>8</v>
      </c>
      <c r="Q3799" t="s">
        <v>7945</v>
      </c>
    </row>
    <row r="3800" spans="1:17" x14ac:dyDescent="0.3">
      <c r="A3800" t="s">
        <v>4729</v>
      </c>
      <c r="B3800" t="str">
        <f>"200992"</f>
        <v>200992</v>
      </c>
      <c r="C3800" t="s">
        <v>7946</v>
      </c>
      <c r="F3800">
        <v>46229894.5836</v>
      </c>
      <c r="G3800">
        <v>78594579.883000001</v>
      </c>
      <c r="H3800">
        <v>78298796.188999996</v>
      </c>
      <c r="I3800">
        <v>72820623.150000006</v>
      </c>
      <c r="J3800">
        <v>46559254.182599999</v>
      </c>
      <c r="K3800">
        <v>47638374.5854</v>
      </c>
      <c r="L3800">
        <v>31927841.3772</v>
      </c>
      <c r="M3800">
        <v>31755123.388799999</v>
      </c>
      <c r="N3800">
        <v>16439912.178200001</v>
      </c>
      <c r="O3800">
        <v>19679445.9344</v>
      </c>
      <c r="P3800">
        <v>22</v>
      </c>
      <c r="Q3800" t="s">
        <v>7947</v>
      </c>
    </row>
    <row r="3801" spans="1:17" x14ac:dyDescent="0.3">
      <c r="A3801" t="s">
        <v>4729</v>
      </c>
      <c r="B3801" t="str">
        <f>"201872"</f>
        <v>201872</v>
      </c>
      <c r="C3801" t="s">
        <v>7948</v>
      </c>
      <c r="F3801">
        <v>1614802262.3784001</v>
      </c>
      <c r="G3801">
        <v>1628100444.9196</v>
      </c>
      <c r="H3801">
        <v>1517200655.405</v>
      </c>
      <c r="I3801">
        <v>1262858927.6654999</v>
      </c>
      <c r="J3801">
        <v>308549770.7924</v>
      </c>
      <c r="K3801">
        <v>194145685.55140001</v>
      </c>
      <c r="L3801">
        <v>225629073.64050001</v>
      </c>
      <c r="M3801">
        <v>254633888.028</v>
      </c>
      <c r="N3801">
        <v>286384941.07090002</v>
      </c>
      <c r="O3801">
        <v>312918528.06059998</v>
      </c>
      <c r="P3801">
        <v>90</v>
      </c>
      <c r="Q3801" t="s">
        <v>7949</v>
      </c>
    </row>
    <row r="3802" spans="1:17" x14ac:dyDescent="0.3">
      <c r="A3802" t="s">
        <v>4729</v>
      </c>
      <c r="B3802" t="str">
        <f>"300001"</f>
        <v>300001</v>
      </c>
      <c r="C3802" t="s">
        <v>7950</v>
      </c>
      <c r="D3802" t="s">
        <v>210</v>
      </c>
      <c r="F3802">
        <v>5333412200</v>
      </c>
      <c r="G3802">
        <v>4556002862</v>
      </c>
      <c r="H3802">
        <v>4441977262</v>
      </c>
      <c r="I3802">
        <v>4716916951</v>
      </c>
      <c r="J3802">
        <v>4048878896</v>
      </c>
      <c r="K3802">
        <v>4059108177</v>
      </c>
      <c r="L3802">
        <v>2393033703</v>
      </c>
      <c r="M3802">
        <v>1371741458</v>
      </c>
      <c r="N3802">
        <v>963856045</v>
      </c>
      <c r="O3802">
        <v>580810784</v>
      </c>
      <c r="P3802">
        <v>530</v>
      </c>
      <c r="Q3802" t="s">
        <v>7951</v>
      </c>
    </row>
    <row r="3803" spans="1:17" x14ac:dyDescent="0.3">
      <c r="A3803" t="s">
        <v>4729</v>
      </c>
      <c r="B3803" t="str">
        <f>"300002"</f>
        <v>300002</v>
      </c>
      <c r="C3803" t="s">
        <v>7952</v>
      </c>
      <c r="D3803" t="s">
        <v>517</v>
      </c>
      <c r="F3803">
        <v>747155154</v>
      </c>
      <c r="G3803">
        <v>633763521</v>
      </c>
      <c r="H3803">
        <v>748673751</v>
      </c>
      <c r="I3803">
        <v>1141078106</v>
      </c>
      <c r="J3803">
        <v>1124147742</v>
      </c>
      <c r="K3803">
        <v>1116607697</v>
      </c>
      <c r="L3803">
        <v>891983365</v>
      </c>
      <c r="M3803">
        <v>914606411</v>
      </c>
      <c r="N3803">
        <v>751270748</v>
      </c>
      <c r="O3803">
        <v>714213559</v>
      </c>
      <c r="P3803">
        <v>282</v>
      </c>
      <c r="Q3803" t="s">
        <v>7953</v>
      </c>
    </row>
    <row r="3804" spans="1:17" x14ac:dyDescent="0.3">
      <c r="A3804" t="s">
        <v>4729</v>
      </c>
      <c r="B3804" t="str">
        <f>"300003"</f>
        <v>300003</v>
      </c>
      <c r="C3804" t="s">
        <v>7954</v>
      </c>
      <c r="D3804" t="s">
        <v>1077</v>
      </c>
      <c r="F3804">
        <v>1661121687</v>
      </c>
      <c r="G3804">
        <v>2100443170</v>
      </c>
      <c r="H3804">
        <v>2166546179</v>
      </c>
      <c r="I3804">
        <v>1969509517</v>
      </c>
      <c r="J3804">
        <v>1632271938</v>
      </c>
      <c r="K3804">
        <v>1219143570</v>
      </c>
      <c r="L3804">
        <v>1182846102</v>
      </c>
      <c r="M3804">
        <v>816910538</v>
      </c>
      <c r="N3804">
        <v>639888763</v>
      </c>
      <c r="O3804">
        <v>427133886</v>
      </c>
      <c r="P3804">
        <v>3268</v>
      </c>
      <c r="Q3804" t="s">
        <v>7955</v>
      </c>
    </row>
    <row r="3805" spans="1:17" x14ac:dyDescent="0.3">
      <c r="A3805" t="s">
        <v>4729</v>
      </c>
      <c r="B3805" t="str">
        <f>"300004"</f>
        <v>300004</v>
      </c>
      <c r="C3805" t="s">
        <v>7956</v>
      </c>
      <c r="D3805" t="s">
        <v>741</v>
      </c>
      <c r="F3805">
        <v>194750139</v>
      </c>
      <c r="G3805">
        <v>438770868</v>
      </c>
      <c r="H3805">
        <v>542422039</v>
      </c>
      <c r="I3805">
        <v>652867852</v>
      </c>
      <c r="J3805">
        <v>795465942</v>
      </c>
      <c r="K3805">
        <v>649151795</v>
      </c>
      <c r="L3805">
        <v>442471276</v>
      </c>
      <c r="M3805">
        <v>580166830</v>
      </c>
      <c r="N3805">
        <v>365180455</v>
      </c>
      <c r="O3805">
        <v>385535986</v>
      </c>
      <c r="P3805">
        <v>84</v>
      </c>
      <c r="Q3805" t="s">
        <v>7957</v>
      </c>
    </row>
    <row r="3806" spans="1:17" x14ac:dyDescent="0.3">
      <c r="A3806" t="s">
        <v>4729</v>
      </c>
      <c r="B3806" t="str">
        <f>"300005"</f>
        <v>300005</v>
      </c>
      <c r="C3806" t="s">
        <v>7958</v>
      </c>
      <c r="D3806" t="s">
        <v>3017</v>
      </c>
      <c r="F3806">
        <v>484385729</v>
      </c>
      <c r="G3806">
        <v>361144622</v>
      </c>
      <c r="H3806">
        <v>603689391</v>
      </c>
      <c r="I3806">
        <v>523970876</v>
      </c>
      <c r="J3806">
        <v>387350776</v>
      </c>
      <c r="K3806">
        <v>188546936</v>
      </c>
      <c r="L3806">
        <v>168643446</v>
      </c>
      <c r="M3806">
        <v>133191094</v>
      </c>
      <c r="N3806">
        <v>73127818</v>
      </c>
      <c r="O3806">
        <v>41408676</v>
      </c>
      <c r="P3806">
        <v>181</v>
      </c>
      <c r="Q3806" t="s">
        <v>7959</v>
      </c>
    </row>
    <row r="3807" spans="1:17" x14ac:dyDescent="0.3">
      <c r="A3807" t="s">
        <v>4729</v>
      </c>
      <c r="B3807" t="str">
        <f>"300006"</f>
        <v>300006</v>
      </c>
      <c r="C3807" t="s">
        <v>7960</v>
      </c>
      <c r="D3807" t="s">
        <v>143</v>
      </c>
      <c r="F3807">
        <v>421842997</v>
      </c>
      <c r="G3807">
        <v>484492933</v>
      </c>
      <c r="H3807">
        <v>638130465</v>
      </c>
      <c r="I3807">
        <v>539273610</v>
      </c>
      <c r="J3807">
        <v>359498081</v>
      </c>
      <c r="K3807">
        <v>259106603</v>
      </c>
      <c r="L3807">
        <v>249169060</v>
      </c>
      <c r="M3807">
        <v>213635315</v>
      </c>
      <c r="N3807">
        <v>169005401</v>
      </c>
      <c r="O3807">
        <v>139444222</v>
      </c>
      <c r="P3807">
        <v>136</v>
      </c>
      <c r="Q3807" t="s">
        <v>7961</v>
      </c>
    </row>
    <row r="3808" spans="1:17" x14ac:dyDescent="0.3">
      <c r="A3808" t="s">
        <v>4729</v>
      </c>
      <c r="B3808" t="str">
        <f>"300007"</f>
        <v>300007</v>
      </c>
      <c r="C3808" t="s">
        <v>7962</v>
      </c>
      <c r="D3808" t="s">
        <v>2566</v>
      </c>
      <c r="F3808">
        <v>843617753</v>
      </c>
      <c r="G3808">
        <v>568776965</v>
      </c>
      <c r="H3808">
        <v>585121873</v>
      </c>
      <c r="I3808">
        <v>470143769</v>
      </c>
      <c r="J3808">
        <v>497426792</v>
      </c>
      <c r="K3808">
        <v>395397660</v>
      </c>
      <c r="L3808">
        <v>276224326</v>
      </c>
      <c r="M3808">
        <v>213927884</v>
      </c>
      <c r="N3808">
        <v>123562970</v>
      </c>
      <c r="O3808">
        <v>114402202</v>
      </c>
      <c r="P3808">
        <v>314</v>
      </c>
      <c r="Q3808" t="s">
        <v>7963</v>
      </c>
    </row>
    <row r="3809" spans="1:17" x14ac:dyDescent="0.3">
      <c r="A3809" t="s">
        <v>4729</v>
      </c>
      <c r="B3809" t="str">
        <f>"300008"</f>
        <v>300008</v>
      </c>
      <c r="C3809" t="s">
        <v>7964</v>
      </c>
      <c r="D3809" t="s">
        <v>167</v>
      </c>
      <c r="F3809">
        <v>281563769</v>
      </c>
      <c r="G3809">
        <v>144018446</v>
      </c>
      <c r="H3809">
        <v>202773913</v>
      </c>
      <c r="I3809">
        <v>799128564</v>
      </c>
      <c r="J3809">
        <v>365407347</v>
      </c>
      <c r="K3809">
        <v>312424225</v>
      </c>
      <c r="L3809">
        <v>286255142</v>
      </c>
      <c r="M3809">
        <v>145520169</v>
      </c>
      <c r="N3809">
        <v>28379781</v>
      </c>
      <c r="O3809">
        <v>101332499</v>
      </c>
      <c r="P3809">
        <v>107</v>
      </c>
      <c r="Q3809" t="s">
        <v>7965</v>
      </c>
    </row>
    <row r="3810" spans="1:17" x14ac:dyDescent="0.3">
      <c r="A3810" t="s">
        <v>4729</v>
      </c>
      <c r="B3810" t="str">
        <f>"300009"</f>
        <v>300009</v>
      </c>
      <c r="C3810" t="s">
        <v>7966</v>
      </c>
      <c r="D3810" t="s">
        <v>1379</v>
      </c>
      <c r="F3810">
        <v>434026938</v>
      </c>
      <c r="G3810">
        <v>405502984</v>
      </c>
      <c r="H3810">
        <v>413255478</v>
      </c>
      <c r="I3810">
        <v>316341357</v>
      </c>
      <c r="J3810">
        <v>263342786</v>
      </c>
      <c r="K3810">
        <v>188085244</v>
      </c>
      <c r="L3810">
        <v>119953785</v>
      </c>
      <c r="M3810">
        <v>90959079</v>
      </c>
      <c r="N3810">
        <v>73525520</v>
      </c>
      <c r="O3810">
        <v>59050578</v>
      </c>
      <c r="P3810">
        <v>840</v>
      </c>
      <c r="Q3810" t="s">
        <v>7967</v>
      </c>
    </row>
    <row r="3811" spans="1:17" x14ac:dyDescent="0.3">
      <c r="A3811" t="s">
        <v>4729</v>
      </c>
      <c r="B3811" t="str">
        <f>"300010"</f>
        <v>300010</v>
      </c>
      <c r="C3811" t="s">
        <v>7968</v>
      </c>
      <c r="D3811" t="s">
        <v>1336</v>
      </c>
      <c r="F3811">
        <v>328289890</v>
      </c>
      <c r="G3811">
        <v>529707795</v>
      </c>
      <c r="H3811">
        <v>668560700</v>
      </c>
      <c r="I3811">
        <v>692982261</v>
      </c>
      <c r="J3811">
        <v>1059523954</v>
      </c>
      <c r="K3811">
        <v>777085255</v>
      </c>
      <c r="L3811">
        <v>564901322</v>
      </c>
      <c r="M3811">
        <v>430725778</v>
      </c>
      <c r="N3811">
        <v>366185021</v>
      </c>
      <c r="O3811">
        <v>264317755</v>
      </c>
      <c r="P3811">
        <v>262</v>
      </c>
      <c r="Q3811" t="s">
        <v>7969</v>
      </c>
    </row>
    <row r="3812" spans="1:17" x14ac:dyDescent="0.3">
      <c r="A3812" t="s">
        <v>4729</v>
      </c>
      <c r="B3812" t="str">
        <f>"300011"</f>
        <v>300011</v>
      </c>
      <c r="C3812" t="s">
        <v>7970</v>
      </c>
      <c r="D3812" t="s">
        <v>1012</v>
      </c>
      <c r="F3812">
        <v>1313431567</v>
      </c>
      <c r="G3812">
        <v>1028889876</v>
      </c>
      <c r="H3812">
        <v>1326234402</v>
      </c>
      <c r="I3812">
        <v>1159271305</v>
      </c>
      <c r="J3812">
        <v>1100149166</v>
      </c>
      <c r="K3812">
        <v>815849368</v>
      </c>
      <c r="L3812">
        <v>827466695</v>
      </c>
      <c r="M3812">
        <v>510535325</v>
      </c>
      <c r="N3812">
        <v>337681164</v>
      </c>
      <c r="O3812">
        <v>307762493</v>
      </c>
      <c r="P3812">
        <v>109</v>
      </c>
      <c r="Q3812" t="s">
        <v>7971</v>
      </c>
    </row>
    <row r="3813" spans="1:17" x14ac:dyDescent="0.3">
      <c r="A3813" t="s">
        <v>4729</v>
      </c>
      <c r="B3813" t="str">
        <f>"300012"</f>
        <v>300012</v>
      </c>
      <c r="C3813" t="s">
        <v>7972</v>
      </c>
      <c r="D3813" t="s">
        <v>2510</v>
      </c>
      <c r="F3813">
        <v>1023426752</v>
      </c>
      <c r="G3813">
        <v>758173539</v>
      </c>
      <c r="H3813">
        <v>744630070</v>
      </c>
      <c r="I3813">
        <v>503895517</v>
      </c>
      <c r="J3813">
        <v>428180060</v>
      </c>
      <c r="K3813">
        <v>321645848</v>
      </c>
      <c r="L3813">
        <v>269486855</v>
      </c>
      <c r="M3813">
        <v>191525145</v>
      </c>
      <c r="N3813">
        <v>67622126</v>
      </c>
      <c r="O3813">
        <v>45649248</v>
      </c>
      <c r="P3813">
        <v>1300</v>
      </c>
      <c r="Q3813" t="s">
        <v>7973</v>
      </c>
    </row>
    <row r="3814" spans="1:17" x14ac:dyDescent="0.3">
      <c r="A3814" t="s">
        <v>4729</v>
      </c>
      <c r="B3814" t="str">
        <f>"300013"</f>
        <v>300013</v>
      </c>
      <c r="C3814" t="s">
        <v>7974</v>
      </c>
      <c r="D3814" t="s">
        <v>3125</v>
      </c>
      <c r="F3814">
        <v>245875054</v>
      </c>
      <c r="G3814">
        <v>299029640</v>
      </c>
      <c r="H3814">
        <v>529511911</v>
      </c>
      <c r="I3814">
        <v>587745792</v>
      </c>
      <c r="J3814">
        <v>483006620</v>
      </c>
      <c r="K3814">
        <v>350142552</v>
      </c>
      <c r="L3814">
        <v>322907096</v>
      </c>
      <c r="M3814">
        <v>97462064</v>
      </c>
      <c r="N3814">
        <v>91030568</v>
      </c>
      <c r="O3814">
        <v>76749210</v>
      </c>
      <c r="P3814">
        <v>70</v>
      </c>
      <c r="Q3814" t="s">
        <v>7975</v>
      </c>
    </row>
    <row r="3815" spans="1:17" x14ac:dyDescent="0.3">
      <c r="A3815" t="s">
        <v>4729</v>
      </c>
      <c r="B3815" t="str">
        <f>"300014"</f>
        <v>300014</v>
      </c>
      <c r="C3815" t="s">
        <v>7976</v>
      </c>
      <c r="D3815" t="s">
        <v>359</v>
      </c>
      <c r="F3815">
        <v>5002058003</v>
      </c>
      <c r="G3815">
        <v>2975751284</v>
      </c>
      <c r="H3815">
        <v>2094087449</v>
      </c>
      <c r="I3815">
        <v>1817065693</v>
      </c>
      <c r="J3815">
        <v>1285705224</v>
      </c>
      <c r="K3815">
        <v>825216146</v>
      </c>
      <c r="L3815">
        <v>390248977</v>
      </c>
      <c r="M3815">
        <v>311272143</v>
      </c>
      <c r="N3815">
        <v>313751153</v>
      </c>
      <c r="O3815">
        <v>274209937</v>
      </c>
      <c r="P3815">
        <v>2493</v>
      </c>
      <c r="Q3815" t="s">
        <v>7977</v>
      </c>
    </row>
    <row r="3816" spans="1:17" x14ac:dyDescent="0.3">
      <c r="A3816" t="s">
        <v>4729</v>
      </c>
      <c r="B3816" t="str">
        <f>"300015"</f>
        <v>300015</v>
      </c>
      <c r="C3816" t="s">
        <v>7978</v>
      </c>
      <c r="D3816" t="s">
        <v>1147</v>
      </c>
      <c r="F3816">
        <v>1515737185</v>
      </c>
      <c r="G3816">
        <v>1416384233</v>
      </c>
      <c r="H3816">
        <v>1179883412</v>
      </c>
      <c r="I3816">
        <v>882506513</v>
      </c>
      <c r="J3816">
        <v>513715257</v>
      </c>
      <c r="K3816">
        <v>283865947</v>
      </c>
      <c r="L3816">
        <v>212586464</v>
      </c>
      <c r="M3816">
        <v>139908137</v>
      </c>
      <c r="N3816">
        <v>107886706</v>
      </c>
      <c r="O3816">
        <v>86078801</v>
      </c>
      <c r="P3816">
        <v>11096</v>
      </c>
      <c r="Q3816" t="s">
        <v>7979</v>
      </c>
    </row>
    <row r="3817" spans="1:17" x14ac:dyDescent="0.3">
      <c r="A3817" t="s">
        <v>4729</v>
      </c>
      <c r="B3817" t="str">
        <f>"300016"</f>
        <v>300016</v>
      </c>
      <c r="C3817" t="s">
        <v>7980</v>
      </c>
      <c r="D3817" t="s">
        <v>143</v>
      </c>
      <c r="F3817">
        <v>133730179</v>
      </c>
      <c r="G3817">
        <v>170314034</v>
      </c>
      <c r="H3817">
        <v>159319316</v>
      </c>
      <c r="I3817">
        <v>134018512</v>
      </c>
      <c r="J3817">
        <v>122107740</v>
      </c>
      <c r="K3817">
        <v>117634854</v>
      </c>
      <c r="L3817">
        <v>175997008</v>
      </c>
      <c r="M3817">
        <v>154086855</v>
      </c>
      <c r="N3817">
        <v>99237634</v>
      </c>
      <c r="O3817">
        <v>64566281</v>
      </c>
      <c r="P3817">
        <v>305</v>
      </c>
      <c r="Q3817" t="s">
        <v>7981</v>
      </c>
    </row>
    <row r="3818" spans="1:17" x14ac:dyDescent="0.3">
      <c r="A3818" t="s">
        <v>4729</v>
      </c>
      <c r="B3818" t="str">
        <f>"300017"</f>
        <v>300017</v>
      </c>
      <c r="C3818" t="s">
        <v>7982</v>
      </c>
      <c r="D3818" t="s">
        <v>316</v>
      </c>
      <c r="F3818">
        <v>1351584340</v>
      </c>
      <c r="G3818">
        <v>1683524713</v>
      </c>
      <c r="H3818">
        <v>1670699072</v>
      </c>
      <c r="I3818">
        <v>1773993805</v>
      </c>
      <c r="J3818">
        <v>1341243134</v>
      </c>
      <c r="K3818">
        <v>935929805</v>
      </c>
      <c r="L3818">
        <v>686066899</v>
      </c>
      <c r="M3818">
        <v>296661657</v>
      </c>
      <c r="N3818">
        <v>201836892</v>
      </c>
      <c r="O3818">
        <v>87865851</v>
      </c>
      <c r="P3818">
        <v>759</v>
      </c>
      <c r="Q3818" t="s">
        <v>7983</v>
      </c>
    </row>
    <row r="3819" spans="1:17" x14ac:dyDescent="0.3">
      <c r="A3819" t="s">
        <v>4729</v>
      </c>
      <c r="B3819" t="str">
        <f>"300018"</f>
        <v>300018</v>
      </c>
      <c r="C3819" t="s">
        <v>7984</v>
      </c>
      <c r="D3819" t="s">
        <v>610</v>
      </c>
      <c r="F3819">
        <v>192633673</v>
      </c>
      <c r="G3819">
        <v>212066333</v>
      </c>
      <c r="H3819">
        <v>223281760</v>
      </c>
      <c r="I3819">
        <v>271978273</v>
      </c>
      <c r="J3819">
        <v>294050158</v>
      </c>
      <c r="K3819">
        <v>270329420</v>
      </c>
      <c r="L3819">
        <v>287108323</v>
      </c>
      <c r="M3819">
        <v>144704060</v>
      </c>
      <c r="N3819">
        <v>136603572</v>
      </c>
      <c r="O3819">
        <v>139319120</v>
      </c>
      <c r="P3819">
        <v>127</v>
      </c>
      <c r="Q3819" t="s">
        <v>7985</v>
      </c>
    </row>
    <row r="3820" spans="1:17" x14ac:dyDescent="0.3">
      <c r="A3820" t="s">
        <v>4729</v>
      </c>
      <c r="B3820" t="str">
        <f>"300019"</f>
        <v>300019</v>
      </c>
      <c r="C3820" t="s">
        <v>7986</v>
      </c>
      <c r="D3820" t="s">
        <v>1205</v>
      </c>
      <c r="F3820">
        <v>509521872</v>
      </c>
      <c r="G3820">
        <v>299864719</v>
      </c>
      <c r="H3820">
        <v>174469942</v>
      </c>
      <c r="I3820">
        <v>185043948</v>
      </c>
      <c r="J3820">
        <v>146045799</v>
      </c>
      <c r="K3820">
        <v>135284188</v>
      </c>
      <c r="L3820">
        <v>141893811</v>
      </c>
      <c r="M3820">
        <v>118398938</v>
      </c>
      <c r="N3820">
        <v>80652640</v>
      </c>
      <c r="O3820">
        <v>67010737</v>
      </c>
      <c r="P3820">
        <v>295</v>
      </c>
      <c r="Q3820" t="s">
        <v>7987</v>
      </c>
    </row>
    <row r="3821" spans="1:17" x14ac:dyDescent="0.3">
      <c r="A3821" t="s">
        <v>4729</v>
      </c>
      <c r="B3821" t="str">
        <f>"300020"</f>
        <v>300020</v>
      </c>
      <c r="C3821" t="s">
        <v>7988</v>
      </c>
      <c r="D3821" t="s">
        <v>316</v>
      </c>
      <c r="F3821">
        <v>1891057204</v>
      </c>
      <c r="G3821">
        <v>1635029403</v>
      </c>
      <c r="H3821">
        <v>1466422667</v>
      </c>
      <c r="I3821">
        <v>1323138742</v>
      </c>
      <c r="J3821">
        <v>1031784339</v>
      </c>
      <c r="K3821">
        <v>1268832143</v>
      </c>
      <c r="L3821">
        <v>1257670051</v>
      </c>
      <c r="M3821">
        <v>1317691013</v>
      </c>
      <c r="N3821">
        <v>604269181</v>
      </c>
      <c r="O3821">
        <v>461187921</v>
      </c>
      <c r="P3821">
        <v>237</v>
      </c>
      <c r="Q3821" t="s">
        <v>7989</v>
      </c>
    </row>
    <row r="3822" spans="1:17" x14ac:dyDescent="0.3">
      <c r="A3822" t="s">
        <v>4729</v>
      </c>
      <c r="B3822" t="str">
        <f>"300021"</f>
        <v>300021</v>
      </c>
      <c r="C3822" t="s">
        <v>7990</v>
      </c>
      <c r="D3822" t="s">
        <v>6903</v>
      </c>
      <c r="F3822">
        <v>1977086384</v>
      </c>
      <c r="G3822">
        <v>1677834641</v>
      </c>
      <c r="H3822">
        <v>1007368711</v>
      </c>
      <c r="I3822">
        <v>625251350</v>
      </c>
      <c r="J3822">
        <v>653608054</v>
      </c>
      <c r="K3822">
        <v>521522803</v>
      </c>
      <c r="L3822">
        <v>418402450</v>
      </c>
      <c r="M3822">
        <v>355458666</v>
      </c>
      <c r="N3822">
        <v>319225561</v>
      </c>
      <c r="O3822">
        <v>270331657</v>
      </c>
      <c r="P3822">
        <v>174</v>
      </c>
      <c r="Q3822" t="s">
        <v>7991</v>
      </c>
    </row>
    <row r="3823" spans="1:17" x14ac:dyDescent="0.3">
      <c r="A3823" t="s">
        <v>4729</v>
      </c>
      <c r="B3823" t="str">
        <f>"300022"</f>
        <v>300022</v>
      </c>
      <c r="C3823" t="s">
        <v>7992</v>
      </c>
      <c r="D3823" t="s">
        <v>295</v>
      </c>
      <c r="F3823">
        <v>301851580</v>
      </c>
      <c r="G3823">
        <v>425928576</v>
      </c>
      <c r="H3823">
        <v>316970869</v>
      </c>
      <c r="I3823">
        <v>350624912</v>
      </c>
      <c r="J3823">
        <v>429336556</v>
      </c>
      <c r="K3823">
        <v>547658502</v>
      </c>
      <c r="L3823">
        <v>512142660</v>
      </c>
      <c r="M3823">
        <v>669655881</v>
      </c>
      <c r="N3823">
        <v>1102964041</v>
      </c>
      <c r="O3823">
        <v>1100763327</v>
      </c>
      <c r="P3823">
        <v>63</v>
      </c>
      <c r="Q3823" t="s">
        <v>7993</v>
      </c>
    </row>
    <row r="3824" spans="1:17" x14ac:dyDescent="0.3">
      <c r="A3824" t="s">
        <v>4729</v>
      </c>
      <c r="B3824" t="str">
        <f>"300023"</f>
        <v>300023</v>
      </c>
      <c r="C3824" t="s">
        <v>7994</v>
      </c>
      <c r="D3824" t="s">
        <v>140</v>
      </c>
      <c r="F3824">
        <v>1543673</v>
      </c>
      <c r="G3824">
        <v>571185</v>
      </c>
      <c r="H3824">
        <v>6134172</v>
      </c>
      <c r="I3824">
        <v>11466435</v>
      </c>
      <c r="J3824">
        <v>28042541</v>
      </c>
      <c r="K3824">
        <v>114124075</v>
      </c>
      <c r="L3824">
        <v>172830140</v>
      </c>
      <c r="M3824">
        <v>113302096</v>
      </c>
      <c r="N3824">
        <v>44670854</v>
      </c>
      <c r="O3824">
        <v>92998976</v>
      </c>
      <c r="P3824">
        <v>61</v>
      </c>
      <c r="Q3824" t="s">
        <v>7995</v>
      </c>
    </row>
    <row r="3825" spans="1:17" x14ac:dyDescent="0.3">
      <c r="A3825" t="s">
        <v>4729</v>
      </c>
      <c r="B3825" t="str">
        <f>"300024"</f>
        <v>300024</v>
      </c>
      <c r="C3825" t="s">
        <v>2938</v>
      </c>
      <c r="D3825" t="s">
        <v>2938</v>
      </c>
      <c r="F3825">
        <v>1037652658</v>
      </c>
      <c r="G3825">
        <v>775828410</v>
      </c>
      <c r="H3825">
        <v>1164983268</v>
      </c>
      <c r="I3825">
        <v>1122870942</v>
      </c>
      <c r="J3825">
        <v>1030176580</v>
      </c>
      <c r="K3825">
        <v>809703937</v>
      </c>
      <c r="L3825">
        <v>669600838</v>
      </c>
      <c r="M3825">
        <v>497763706</v>
      </c>
      <c r="N3825">
        <v>414287391</v>
      </c>
      <c r="O3825">
        <v>352682418</v>
      </c>
      <c r="P3825">
        <v>547</v>
      </c>
      <c r="Q3825" t="s">
        <v>7996</v>
      </c>
    </row>
    <row r="3826" spans="1:17" x14ac:dyDescent="0.3">
      <c r="A3826" t="s">
        <v>4729</v>
      </c>
      <c r="B3826" t="str">
        <f>"300025"</f>
        <v>300025</v>
      </c>
      <c r="C3826" t="s">
        <v>7997</v>
      </c>
      <c r="D3826" t="s">
        <v>654</v>
      </c>
      <c r="F3826">
        <v>505766525</v>
      </c>
      <c r="G3826">
        <v>563397329</v>
      </c>
      <c r="H3826">
        <v>941921487</v>
      </c>
      <c r="I3826">
        <v>1087350693</v>
      </c>
      <c r="J3826">
        <v>1403085711</v>
      </c>
      <c r="K3826">
        <v>1531850055</v>
      </c>
      <c r="L3826">
        <v>1368447056</v>
      </c>
      <c r="M3826">
        <v>1126210962</v>
      </c>
      <c r="N3826">
        <v>773375346</v>
      </c>
      <c r="O3826">
        <v>532389215</v>
      </c>
      <c r="P3826">
        <v>223</v>
      </c>
      <c r="Q3826" t="s">
        <v>7998</v>
      </c>
    </row>
    <row r="3827" spans="1:17" x14ac:dyDescent="0.3">
      <c r="A3827" t="s">
        <v>4729</v>
      </c>
      <c r="B3827" t="str">
        <f>"300026"</f>
        <v>300026</v>
      </c>
      <c r="C3827" t="s">
        <v>7999</v>
      </c>
      <c r="D3827" t="s">
        <v>188</v>
      </c>
      <c r="F3827">
        <v>3506551341</v>
      </c>
      <c r="G3827">
        <v>2668569097</v>
      </c>
      <c r="H3827">
        <v>2034060300</v>
      </c>
      <c r="I3827">
        <v>1739982896</v>
      </c>
      <c r="J3827">
        <v>1565029486</v>
      </c>
      <c r="K3827">
        <v>1828187840</v>
      </c>
      <c r="L3827">
        <v>1728755887</v>
      </c>
      <c r="M3827">
        <v>984720340</v>
      </c>
      <c r="N3827">
        <v>627296186</v>
      </c>
      <c r="O3827">
        <v>349974814</v>
      </c>
      <c r="P3827">
        <v>417</v>
      </c>
      <c r="Q3827" t="s">
        <v>8000</v>
      </c>
    </row>
    <row r="3828" spans="1:17" x14ac:dyDescent="0.3">
      <c r="A3828" t="s">
        <v>4729</v>
      </c>
      <c r="B3828" t="str">
        <f>"300027"</f>
        <v>300027</v>
      </c>
      <c r="C3828" t="s">
        <v>8001</v>
      </c>
      <c r="D3828" t="s">
        <v>113</v>
      </c>
      <c r="F3828">
        <v>175039342</v>
      </c>
      <c r="G3828">
        <v>604872343</v>
      </c>
      <c r="H3828">
        <v>204400782</v>
      </c>
      <c r="I3828">
        <v>1173353768</v>
      </c>
      <c r="J3828">
        <v>1664555960</v>
      </c>
      <c r="K3828">
        <v>1476333907</v>
      </c>
      <c r="L3828">
        <v>1658405320</v>
      </c>
      <c r="M3828">
        <v>1612272624</v>
      </c>
      <c r="N3828">
        <v>1147184255</v>
      </c>
      <c r="O3828">
        <v>1000731038</v>
      </c>
      <c r="P3828">
        <v>475</v>
      </c>
      <c r="Q3828" t="s">
        <v>8002</v>
      </c>
    </row>
    <row r="3829" spans="1:17" x14ac:dyDescent="0.3">
      <c r="A3829" t="s">
        <v>4729</v>
      </c>
      <c r="B3829" t="str">
        <f>"300028"</f>
        <v>300028</v>
      </c>
      <c r="C3829" t="s">
        <v>8003</v>
      </c>
      <c r="H3829">
        <v>13322935</v>
      </c>
      <c r="I3829">
        <v>26769232</v>
      </c>
      <c r="J3829">
        <v>32691282</v>
      </c>
      <c r="K3829">
        <v>44282412</v>
      </c>
      <c r="L3829">
        <v>116716308</v>
      </c>
      <c r="M3829">
        <v>227734095</v>
      </c>
      <c r="N3829">
        <v>303104008</v>
      </c>
      <c r="O3829">
        <v>296369665</v>
      </c>
      <c r="P3829">
        <v>31</v>
      </c>
      <c r="Q3829" t="s">
        <v>8004</v>
      </c>
    </row>
    <row r="3830" spans="1:17" x14ac:dyDescent="0.3">
      <c r="A3830" t="s">
        <v>4729</v>
      </c>
      <c r="B3830" t="str">
        <f>"300029"</f>
        <v>300029</v>
      </c>
      <c r="C3830" t="s">
        <v>8005</v>
      </c>
      <c r="D3830" t="s">
        <v>2671</v>
      </c>
      <c r="F3830">
        <v>123565138</v>
      </c>
      <c r="G3830">
        <v>98891782</v>
      </c>
      <c r="H3830">
        <v>124058</v>
      </c>
      <c r="I3830">
        <v>18462188</v>
      </c>
      <c r="J3830">
        <v>51225776</v>
      </c>
      <c r="K3830">
        <v>25787036</v>
      </c>
      <c r="L3830">
        <v>33435502</v>
      </c>
      <c r="M3830">
        <v>105855110</v>
      </c>
      <c r="N3830">
        <v>163725956</v>
      </c>
      <c r="O3830">
        <v>259948271</v>
      </c>
      <c r="P3830">
        <v>66</v>
      </c>
      <c r="Q3830" t="s">
        <v>8006</v>
      </c>
    </row>
    <row r="3831" spans="1:17" x14ac:dyDescent="0.3">
      <c r="A3831" t="s">
        <v>4729</v>
      </c>
      <c r="B3831" t="str">
        <f>"300030"</f>
        <v>300030</v>
      </c>
      <c r="C3831" t="s">
        <v>8007</v>
      </c>
      <c r="D3831" t="s">
        <v>122</v>
      </c>
      <c r="F3831">
        <v>220161587</v>
      </c>
      <c r="G3831">
        <v>306931189</v>
      </c>
      <c r="H3831">
        <v>224201248</v>
      </c>
      <c r="I3831">
        <v>211847227</v>
      </c>
      <c r="J3831">
        <v>202666472</v>
      </c>
      <c r="K3831">
        <v>183157511</v>
      </c>
      <c r="L3831">
        <v>187725274</v>
      </c>
      <c r="M3831">
        <v>154721323</v>
      </c>
      <c r="N3831">
        <v>129825557</v>
      </c>
      <c r="O3831">
        <v>94509917</v>
      </c>
      <c r="P3831">
        <v>182</v>
      </c>
      <c r="Q3831" t="s">
        <v>8008</v>
      </c>
    </row>
    <row r="3832" spans="1:17" x14ac:dyDescent="0.3">
      <c r="A3832" t="s">
        <v>4729</v>
      </c>
      <c r="B3832" t="str">
        <f>"300031"</f>
        <v>300031</v>
      </c>
      <c r="C3832" t="s">
        <v>8009</v>
      </c>
      <c r="D3832" t="s">
        <v>517</v>
      </c>
      <c r="F3832">
        <v>668919915</v>
      </c>
      <c r="G3832">
        <v>521328419</v>
      </c>
      <c r="H3832">
        <v>471499138</v>
      </c>
      <c r="I3832">
        <v>445755728</v>
      </c>
      <c r="J3832">
        <v>374616837</v>
      </c>
      <c r="K3832">
        <v>403390243</v>
      </c>
      <c r="L3832">
        <v>244774759</v>
      </c>
      <c r="M3832">
        <v>250649906</v>
      </c>
      <c r="N3832">
        <v>253954461</v>
      </c>
      <c r="O3832">
        <v>212071902</v>
      </c>
      <c r="P3832">
        <v>259</v>
      </c>
      <c r="Q3832" t="s">
        <v>8010</v>
      </c>
    </row>
    <row r="3833" spans="1:17" x14ac:dyDescent="0.3">
      <c r="A3833" t="s">
        <v>4729</v>
      </c>
      <c r="B3833" t="str">
        <f>"300032"</f>
        <v>300032</v>
      </c>
      <c r="C3833" t="s">
        <v>8011</v>
      </c>
      <c r="D3833" t="s">
        <v>313</v>
      </c>
      <c r="F3833">
        <v>518430525</v>
      </c>
      <c r="G3833">
        <v>502111305</v>
      </c>
      <c r="H3833">
        <v>373674456</v>
      </c>
      <c r="I3833">
        <v>503996926</v>
      </c>
      <c r="J3833">
        <v>1065424493</v>
      </c>
      <c r="K3833">
        <v>712060945</v>
      </c>
      <c r="L3833">
        <v>879547905</v>
      </c>
      <c r="M3833">
        <v>581032525</v>
      </c>
      <c r="N3833">
        <v>152344371</v>
      </c>
      <c r="O3833">
        <v>90748333</v>
      </c>
      <c r="P3833">
        <v>152</v>
      </c>
      <c r="Q3833" t="s">
        <v>8012</v>
      </c>
    </row>
    <row r="3834" spans="1:17" x14ac:dyDescent="0.3">
      <c r="A3834" t="s">
        <v>4729</v>
      </c>
      <c r="B3834" t="str">
        <f>"300033"</f>
        <v>300033</v>
      </c>
      <c r="C3834" t="s">
        <v>8013</v>
      </c>
      <c r="D3834" t="s">
        <v>945</v>
      </c>
      <c r="F3834">
        <v>40593609</v>
      </c>
      <c r="G3834">
        <v>43744341</v>
      </c>
      <c r="H3834">
        <v>19663207</v>
      </c>
      <c r="I3834">
        <v>12745754</v>
      </c>
      <c r="J3834">
        <v>11854662</v>
      </c>
      <c r="K3834">
        <v>10042769</v>
      </c>
      <c r="L3834">
        <v>12642201</v>
      </c>
      <c r="M3834">
        <v>7221055</v>
      </c>
      <c r="N3834">
        <v>4904701</v>
      </c>
      <c r="O3834">
        <v>8982886</v>
      </c>
      <c r="P3834">
        <v>2726</v>
      </c>
      <c r="Q3834" t="s">
        <v>8014</v>
      </c>
    </row>
    <row r="3835" spans="1:17" x14ac:dyDescent="0.3">
      <c r="A3835" t="s">
        <v>4729</v>
      </c>
      <c r="B3835" t="str">
        <f>"300034"</f>
        <v>300034</v>
      </c>
      <c r="C3835" t="s">
        <v>8015</v>
      </c>
      <c r="D3835" t="s">
        <v>98</v>
      </c>
      <c r="F3835">
        <v>477341253</v>
      </c>
      <c r="G3835">
        <v>447952825</v>
      </c>
      <c r="H3835">
        <v>497740498</v>
      </c>
      <c r="I3835">
        <v>437400473</v>
      </c>
      <c r="J3835">
        <v>256844899</v>
      </c>
      <c r="K3835">
        <v>262563605</v>
      </c>
      <c r="L3835">
        <v>188162931</v>
      </c>
      <c r="M3835">
        <v>149571652</v>
      </c>
      <c r="N3835">
        <v>115878983</v>
      </c>
      <c r="O3835">
        <v>94663154</v>
      </c>
      <c r="P3835">
        <v>282</v>
      </c>
      <c r="Q3835" t="s">
        <v>8016</v>
      </c>
    </row>
    <row r="3836" spans="1:17" x14ac:dyDescent="0.3">
      <c r="A3836" t="s">
        <v>4729</v>
      </c>
      <c r="B3836" t="str">
        <f>"300035"</f>
        <v>300035</v>
      </c>
      <c r="C3836" t="s">
        <v>8017</v>
      </c>
      <c r="D3836" t="s">
        <v>1790</v>
      </c>
      <c r="F3836">
        <v>1086686769</v>
      </c>
      <c r="G3836">
        <v>517595683</v>
      </c>
      <c r="H3836">
        <v>371189517</v>
      </c>
      <c r="I3836">
        <v>394433396</v>
      </c>
      <c r="J3836">
        <v>304498525</v>
      </c>
      <c r="K3836">
        <v>188928403</v>
      </c>
      <c r="L3836">
        <v>199747976</v>
      </c>
      <c r="M3836">
        <v>240464414</v>
      </c>
      <c r="N3836">
        <v>228808752</v>
      </c>
      <c r="O3836">
        <v>189464388</v>
      </c>
      <c r="P3836">
        <v>272</v>
      </c>
      <c r="Q3836" t="s">
        <v>8018</v>
      </c>
    </row>
    <row r="3837" spans="1:17" x14ac:dyDescent="0.3">
      <c r="A3837" t="s">
        <v>4729</v>
      </c>
      <c r="B3837" t="str">
        <f>"300036"</f>
        <v>300036</v>
      </c>
      <c r="C3837" t="s">
        <v>8019</v>
      </c>
      <c r="D3837" t="s">
        <v>1189</v>
      </c>
      <c r="F3837">
        <v>747139579</v>
      </c>
      <c r="G3837">
        <v>624021355</v>
      </c>
      <c r="H3837">
        <v>602959938</v>
      </c>
      <c r="I3837">
        <v>502891808</v>
      </c>
      <c r="J3837">
        <v>413357442</v>
      </c>
      <c r="K3837">
        <v>296103530</v>
      </c>
      <c r="L3837">
        <v>164785263</v>
      </c>
      <c r="M3837">
        <v>139591689</v>
      </c>
      <c r="N3837">
        <v>138611552</v>
      </c>
      <c r="O3837">
        <v>120991082</v>
      </c>
      <c r="P3837">
        <v>545</v>
      </c>
      <c r="Q3837" t="s">
        <v>8020</v>
      </c>
    </row>
    <row r="3838" spans="1:17" x14ac:dyDescent="0.3">
      <c r="A3838" t="s">
        <v>4729</v>
      </c>
      <c r="B3838" t="str">
        <f>"300037"</f>
        <v>300037</v>
      </c>
      <c r="C3838" t="s">
        <v>8021</v>
      </c>
      <c r="D3838" t="s">
        <v>1790</v>
      </c>
      <c r="F3838">
        <v>1892979654</v>
      </c>
      <c r="G3838">
        <v>991343187</v>
      </c>
      <c r="H3838">
        <v>754446381</v>
      </c>
      <c r="I3838">
        <v>806498610</v>
      </c>
      <c r="J3838">
        <v>651391541</v>
      </c>
      <c r="K3838">
        <v>485615900</v>
      </c>
      <c r="L3838">
        <v>308764608</v>
      </c>
      <c r="M3838">
        <v>221773034</v>
      </c>
      <c r="N3838">
        <v>185955993</v>
      </c>
      <c r="O3838">
        <v>176845376</v>
      </c>
      <c r="P3838">
        <v>830</v>
      </c>
      <c r="Q3838" t="s">
        <v>8022</v>
      </c>
    </row>
    <row r="3839" spans="1:17" x14ac:dyDescent="0.3">
      <c r="A3839" t="s">
        <v>4729</v>
      </c>
      <c r="B3839" t="str">
        <f>"300038"</f>
        <v>300038</v>
      </c>
      <c r="C3839" t="s">
        <v>8023</v>
      </c>
      <c r="D3839" t="s">
        <v>207</v>
      </c>
      <c r="F3839">
        <v>1627118722</v>
      </c>
      <c r="G3839">
        <v>1365382685</v>
      </c>
      <c r="H3839">
        <v>2951967832</v>
      </c>
      <c r="I3839">
        <v>1997826729</v>
      </c>
      <c r="J3839">
        <v>1188333920</v>
      </c>
      <c r="K3839">
        <v>942130598</v>
      </c>
      <c r="L3839">
        <v>848898215</v>
      </c>
      <c r="M3839">
        <v>942474454</v>
      </c>
      <c r="N3839">
        <v>711624007</v>
      </c>
      <c r="O3839">
        <v>347866829</v>
      </c>
      <c r="P3839">
        <v>263</v>
      </c>
      <c r="Q3839" t="s">
        <v>8024</v>
      </c>
    </row>
    <row r="3840" spans="1:17" x14ac:dyDescent="0.3">
      <c r="A3840" t="s">
        <v>4729</v>
      </c>
      <c r="B3840" t="str">
        <f>"300039"</f>
        <v>300039</v>
      </c>
      <c r="C3840" t="s">
        <v>8025</v>
      </c>
      <c r="D3840" t="s">
        <v>188</v>
      </c>
      <c r="F3840">
        <v>346375509</v>
      </c>
      <c r="G3840">
        <v>319556081</v>
      </c>
      <c r="H3840">
        <v>424259963</v>
      </c>
      <c r="I3840">
        <v>472979196</v>
      </c>
      <c r="J3840">
        <v>434115184</v>
      </c>
      <c r="K3840">
        <v>423399860</v>
      </c>
      <c r="L3840">
        <v>432913836</v>
      </c>
      <c r="M3840">
        <v>357857899</v>
      </c>
      <c r="N3840">
        <v>267338265</v>
      </c>
      <c r="O3840">
        <v>200234796</v>
      </c>
      <c r="P3840">
        <v>223</v>
      </c>
      <c r="Q3840" t="s">
        <v>8026</v>
      </c>
    </row>
    <row r="3841" spans="1:17" x14ac:dyDescent="0.3">
      <c r="A3841" t="s">
        <v>4729</v>
      </c>
      <c r="B3841" t="str">
        <f>"300040"</f>
        <v>300040</v>
      </c>
      <c r="C3841" t="s">
        <v>8027</v>
      </c>
      <c r="D3841" t="s">
        <v>610</v>
      </c>
      <c r="F3841">
        <v>1806842379</v>
      </c>
      <c r="G3841">
        <v>956778292</v>
      </c>
      <c r="H3841">
        <v>844075538</v>
      </c>
      <c r="I3841">
        <v>874849718</v>
      </c>
      <c r="J3841">
        <v>1096947431</v>
      </c>
      <c r="K3841">
        <v>1023498644</v>
      </c>
      <c r="L3841">
        <v>606263690</v>
      </c>
      <c r="M3841">
        <v>293185018</v>
      </c>
      <c r="N3841">
        <v>382806290</v>
      </c>
      <c r="O3841">
        <v>449737954</v>
      </c>
      <c r="P3841">
        <v>214</v>
      </c>
      <c r="Q3841" t="s">
        <v>8028</v>
      </c>
    </row>
    <row r="3842" spans="1:17" x14ac:dyDescent="0.3">
      <c r="A3842" t="s">
        <v>4729</v>
      </c>
      <c r="B3842" t="str">
        <f>"300041"</f>
        <v>300041</v>
      </c>
      <c r="C3842" t="s">
        <v>8029</v>
      </c>
      <c r="D3842" t="s">
        <v>1205</v>
      </c>
      <c r="F3842">
        <v>817000557</v>
      </c>
      <c r="G3842">
        <v>650487634</v>
      </c>
      <c r="H3842">
        <v>547408243</v>
      </c>
      <c r="I3842">
        <v>482272840</v>
      </c>
      <c r="J3842">
        <v>473065964</v>
      </c>
      <c r="K3842">
        <v>381511090</v>
      </c>
      <c r="L3842">
        <v>415579565</v>
      </c>
      <c r="M3842">
        <v>296104092</v>
      </c>
      <c r="N3842">
        <v>160171740</v>
      </c>
      <c r="O3842">
        <v>119911151</v>
      </c>
      <c r="P3842">
        <v>253</v>
      </c>
      <c r="Q3842" t="s">
        <v>8030</v>
      </c>
    </row>
    <row r="3843" spans="1:17" x14ac:dyDescent="0.3">
      <c r="A3843" t="s">
        <v>4729</v>
      </c>
      <c r="B3843" t="str">
        <f>"300042"</f>
        <v>300042</v>
      </c>
      <c r="C3843" t="s">
        <v>8031</v>
      </c>
      <c r="D3843" t="s">
        <v>236</v>
      </c>
      <c r="F3843">
        <v>110170644</v>
      </c>
      <c r="G3843">
        <v>121712722</v>
      </c>
      <c r="H3843">
        <v>117207369</v>
      </c>
      <c r="I3843">
        <v>56575980</v>
      </c>
      <c r="J3843">
        <v>46960941</v>
      </c>
      <c r="K3843">
        <v>47216085</v>
      </c>
      <c r="L3843">
        <v>26718843</v>
      </c>
      <c r="M3843">
        <v>21569765</v>
      </c>
      <c r="N3843">
        <v>41358250</v>
      </c>
      <c r="O3843">
        <v>35667642</v>
      </c>
      <c r="P3843">
        <v>116</v>
      </c>
      <c r="Q3843" t="s">
        <v>8032</v>
      </c>
    </row>
    <row r="3844" spans="1:17" x14ac:dyDescent="0.3">
      <c r="A3844" t="s">
        <v>4729</v>
      </c>
      <c r="B3844" t="str">
        <f>"300043"</f>
        <v>300043</v>
      </c>
      <c r="C3844" t="s">
        <v>8033</v>
      </c>
      <c r="D3844" t="s">
        <v>517</v>
      </c>
      <c r="F3844">
        <v>235775050</v>
      </c>
      <c r="G3844">
        <v>256658302</v>
      </c>
      <c r="H3844">
        <v>555408747</v>
      </c>
      <c r="I3844">
        <v>518848822</v>
      </c>
      <c r="J3844">
        <v>476244283</v>
      </c>
      <c r="K3844">
        <v>387704183</v>
      </c>
      <c r="L3844">
        <v>196482908</v>
      </c>
      <c r="M3844">
        <v>140916800</v>
      </c>
      <c r="N3844">
        <v>58913401</v>
      </c>
      <c r="O3844">
        <v>32770470</v>
      </c>
      <c r="P3844">
        <v>183</v>
      </c>
      <c r="Q3844" t="s">
        <v>8034</v>
      </c>
    </row>
    <row r="3845" spans="1:17" x14ac:dyDescent="0.3">
      <c r="A3845" t="s">
        <v>4729</v>
      </c>
      <c r="B3845" t="str">
        <f>"300044"</f>
        <v>300044</v>
      </c>
      <c r="C3845" t="s">
        <v>8035</v>
      </c>
      <c r="D3845" t="s">
        <v>316</v>
      </c>
      <c r="F3845">
        <v>296861574</v>
      </c>
      <c r="G3845">
        <v>985233100</v>
      </c>
      <c r="H3845">
        <v>1363709997</v>
      </c>
      <c r="I3845">
        <v>1773904841</v>
      </c>
      <c r="J3845">
        <v>580509671</v>
      </c>
      <c r="K3845">
        <v>416472835</v>
      </c>
      <c r="L3845">
        <v>245268819</v>
      </c>
      <c r="M3845">
        <v>272213463</v>
      </c>
      <c r="N3845">
        <v>148992977</v>
      </c>
      <c r="O3845">
        <v>154781043</v>
      </c>
      <c r="P3845">
        <v>289</v>
      </c>
      <c r="Q3845" t="s">
        <v>8036</v>
      </c>
    </row>
    <row r="3846" spans="1:17" x14ac:dyDescent="0.3">
      <c r="A3846" t="s">
        <v>4729</v>
      </c>
      <c r="B3846" t="str">
        <f>"300045"</f>
        <v>300045</v>
      </c>
      <c r="C3846" t="s">
        <v>8037</v>
      </c>
      <c r="D3846" t="s">
        <v>1136</v>
      </c>
      <c r="F3846">
        <v>817273300</v>
      </c>
      <c r="G3846">
        <v>796520421</v>
      </c>
      <c r="H3846">
        <v>876065840</v>
      </c>
      <c r="I3846">
        <v>925417155</v>
      </c>
      <c r="J3846">
        <v>702047703</v>
      </c>
      <c r="K3846">
        <v>413171578</v>
      </c>
      <c r="L3846">
        <v>371740859</v>
      </c>
      <c r="M3846">
        <v>246270069</v>
      </c>
      <c r="N3846">
        <v>181688959</v>
      </c>
      <c r="O3846">
        <v>135891976</v>
      </c>
      <c r="P3846">
        <v>158</v>
      </c>
      <c r="Q3846" t="s">
        <v>8038</v>
      </c>
    </row>
    <row r="3847" spans="1:17" x14ac:dyDescent="0.3">
      <c r="A3847" t="s">
        <v>4729</v>
      </c>
      <c r="B3847" t="str">
        <f>"300046"</f>
        <v>300046</v>
      </c>
      <c r="C3847" t="s">
        <v>8039</v>
      </c>
      <c r="D3847" t="s">
        <v>795</v>
      </c>
      <c r="F3847">
        <v>53805608</v>
      </c>
      <c r="G3847">
        <v>68043005</v>
      </c>
      <c r="H3847">
        <v>64341540</v>
      </c>
      <c r="I3847">
        <v>119719944</v>
      </c>
      <c r="J3847">
        <v>60209670</v>
      </c>
      <c r="K3847">
        <v>51413687</v>
      </c>
      <c r="L3847">
        <v>48826579</v>
      </c>
      <c r="M3847">
        <v>34446095</v>
      </c>
      <c r="N3847">
        <v>40103457</v>
      </c>
      <c r="O3847">
        <v>31669790</v>
      </c>
      <c r="P3847">
        <v>225</v>
      </c>
      <c r="Q3847" t="s">
        <v>8040</v>
      </c>
    </row>
    <row r="3848" spans="1:17" x14ac:dyDescent="0.3">
      <c r="A3848" t="s">
        <v>4729</v>
      </c>
      <c r="B3848" t="str">
        <f>"300047"</f>
        <v>300047</v>
      </c>
      <c r="C3848" t="s">
        <v>8041</v>
      </c>
      <c r="D3848" t="s">
        <v>945</v>
      </c>
      <c r="F3848">
        <v>1734554488</v>
      </c>
      <c r="G3848">
        <v>1653150244</v>
      </c>
      <c r="H3848">
        <v>1577124638</v>
      </c>
      <c r="I3848">
        <v>1535388636</v>
      </c>
      <c r="J3848">
        <v>1259763180</v>
      </c>
      <c r="K3848">
        <v>958708040</v>
      </c>
      <c r="L3848">
        <v>673344404</v>
      </c>
      <c r="M3848">
        <v>573644405</v>
      </c>
      <c r="N3848">
        <v>507513148</v>
      </c>
      <c r="O3848">
        <v>360863696</v>
      </c>
      <c r="P3848">
        <v>338</v>
      </c>
      <c r="Q3848" t="s">
        <v>8042</v>
      </c>
    </row>
    <row r="3849" spans="1:17" x14ac:dyDescent="0.3">
      <c r="A3849" t="s">
        <v>4729</v>
      </c>
      <c r="B3849" t="str">
        <f>"300048"</f>
        <v>300048</v>
      </c>
      <c r="C3849" t="s">
        <v>8043</v>
      </c>
      <c r="D3849" t="s">
        <v>2432</v>
      </c>
      <c r="F3849">
        <v>604307015</v>
      </c>
      <c r="G3849">
        <v>708279646</v>
      </c>
      <c r="H3849">
        <v>845432663</v>
      </c>
      <c r="I3849">
        <v>915133610</v>
      </c>
      <c r="J3849">
        <v>1084727902</v>
      </c>
      <c r="K3849">
        <v>976566292</v>
      </c>
      <c r="L3849">
        <v>870272076</v>
      </c>
      <c r="M3849">
        <v>725489104</v>
      </c>
      <c r="N3849">
        <v>624463896</v>
      </c>
      <c r="O3849">
        <v>556414105</v>
      </c>
      <c r="P3849">
        <v>119</v>
      </c>
      <c r="Q3849" t="s">
        <v>8044</v>
      </c>
    </row>
    <row r="3850" spans="1:17" x14ac:dyDescent="0.3">
      <c r="A3850" t="s">
        <v>4729</v>
      </c>
      <c r="B3850" t="str">
        <f>"300049"</f>
        <v>300049</v>
      </c>
      <c r="C3850" t="s">
        <v>8045</v>
      </c>
      <c r="D3850" t="s">
        <v>122</v>
      </c>
      <c r="F3850">
        <v>336049175</v>
      </c>
      <c r="G3850">
        <v>277666429</v>
      </c>
      <c r="H3850">
        <v>304662935</v>
      </c>
      <c r="I3850">
        <v>337770301</v>
      </c>
      <c r="J3850">
        <v>256567621</v>
      </c>
      <c r="K3850">
        <v>233237079</v>
      </c>
      <c r="L3850">
        <v>158706413</v>
      </c>
      <c r="M3850">
        <v>186618931</v>
      </c>
      <c r="N3850">
        <v>138359901</v>
      </c>
      <c r="O3850">
        <v>109973211</v>
      </c>
      <c r="P3850">
        <v>144</v>
      </c>
      <c r="Q3850" t="s">
        <v>8046</v>
      </c>
    </row>
    <row r="3851" spans="1:17" x14ac:dyDescent="0.3">
      <c r="A3851" t="s">
        <v>4729</v>
      </c>
      <c r="B3851" t="str">
        <f>"300050"</f>
        <v>300050</v>
      </c>
      <c r="C3851" t="s">
        <v>8047</v>
      </c>
      <c r="D3851" t="s">
        <v>654</v>
      </c>
      <c r="F3851">
        <v>407869423</v>
      </c>
      <c r="G3851">
        <v>576789749</v>
      </c>
      <c r="H3851">
        <v>653154739</v>
      </c>
      <c r="I3851">
        <v>621841359</v>
      </c>
      <c r="J3851">
        <v>512007626</v>
      </c>
      <c r="K3851">
        <v>482479412</v>
      </c>
      <c r="L3851">
        <v>504041174</v>
      </c>
      <c r="M3851">
        <v>354333414</v>
      </c>
      <c r="N3851">
        <v>225874954</v>
      </c>
      <c r="O3851">
        <v>232180471</v>
      </c>
      <c r="P3851">
        <v>164</v>
      </c>
      <c r="Q3851" t="s">
        <v>8048</v>
      </c>
    </row>
    <row r="3852" spans="1:17" x14ac:dyDescent="0.3">
      <c r="A3852" t="s">
        <v>4729</v>
      </c>
      <c r="B3852" t="str">
        <f>"300051"</f>
        <v>300051</v>
      </c>
      <c r="C3852" t="s">
        <v>8049</v>
      </c>
      <c r="D3852" t="s">
        <v>517</v>
      </c>
      <c r="F3852">
        <v>6990262</v>
      </c>
      <c r="G3852">
        <v>9563147</v>
      </c>
      <c r="H3852">
        <v>24793199</v>
      </c>
      <c r="I3852">
        <v>24681405</v>
      </c>
      <c r="J3852">
        <v>35030768</v>
      </c>
      <c r="K3852">
        <v>50666509</v>
      </c>
      <c r="L3852">
        <v>68028022</v>
      </c>
      <c r="M3852">
        <v>64803565</v>
      </c>
      <c r="N3852">
        <v>51210224</v>
      </c>
      <c r="O3852">
        <v>36215383</v>
      </c>
      <c r="P3852">
        <v>104</v>
      </c>
      <c r="Q3852" t="s">
        <v>8050</v>
      </c>
    </row>
    <row r="3853" spans="1:17" x14ac:dyDescent="0.3">
      <c r="A3853" t="s">
        <v>4729</v>
      </c>
      <c r="B3853" t="str">
        <f>"300052"</f>
        <v>300052</v>
      </c>
      <c r="C3853" t="s">
        <v>8051</v>
      </c>
      <c r="D3853" t="s">
        <v>517</v>
      </c>
      <c r="F3853">
        <v>183397287</v>
      </c>
      <c r="G3853">
        <v>146069425</v>
      </c>
      <c r="H3853">
        <v>205710510</v>
      </c>
      <c r="I3853">
        <v>154246154</v>
      </c>
      <c r="J3853">
        <v>89885130</v>
      </c>
      <c r="K3853">
        <v>95997373</v>
      </c>
      <c r="L3853">
        <v>124449022</v>
      </c>
      <c r="M3853">
        <v>169993069</v>
      </c>
      <c r="N3853">
        <v>93707316</v>
      </c>
      <c r="O3853">
        <v>23169759</v>
      </c>
      <c r="P3853">
        <v>219</v>
      </c>
      <c r="Q3853" t="s">
        <v>8052</v>
      </c>
    </row>
    <row r="3854" spans="1:17" x14ac:dyDescent="0.3">
      <c r="A3854" t="s">
        <v>4729</v>
      </c>
      <c r="B3854" t="str">
        <f>"300053"</f>
        <v>300053</v>
      </c>
      <c r="C3854" t="s">
        <v>8053</v>
      </c>
      <c r="D3854" t="s">
        <v>461</v>
      </c>
      <c r="F3854">
        <v>741156443</v>
      </c>
      <c r="G3854">
        <v>641994600</v>
      </c>
      <c r="H3854">
        <v>684343856</v>
      </c>
      <c r="I3854">
        <v>622829373</v>
      </c>
      <c r="J3854">
        <v>537818269</v>
      </c>
      <c r="K3854">
        <v>462880166</v>
      </c>
      <c r="L3854">
        <v>333447988</v>
      </c>
      <c r="M3854">
        <v>116572788</v>
      </c>
      <c r="N3854">
        <v>123286524</v>
      </c>
      <c r="O3854">
        <v>92526368</v>
      </c>
      <c r="P3854">
        <v>264</v>
      </c>
      <c r="Q3854" t="s">
        <v>8054</v>
      </c>
    </row>
    <row r="3855" spans="1:17" x14ac:dyDescent="0.3">
      <c r="A3855" t="s">
        <v>4729</v>
      </c>
      <c r="B3855" t="str">
        <f>"300054"</f>
        <v>300054</v>
      </c>
      <c r="C3855" t="s">
        <v>8055</v>
      </c>
      <c r="D3855" t="s">
        <v>2408</v>
      </c>
      <c r="F3855">
        <v>723514606</v>
      </c>
      <c r="G3855">
        <v>484238269</v>
      </c>
      <c r="H3855">
        <v>395866257</v>
      </c>
      <c r="I3855">
        <v>374955245</v>
      </c>
      <c r="J3855">
        <v>372467206</v>
      </c>
      <c r="K3855">
        <v>422399251</v>
      </c>
      <c r="L3855">
        <v>332995602</v>
      </c>
      <c r="M3855">
        <v>264904877</v>
      </c>
      <c r="N3855">
        <v>172398777</v>
      </c>
      <c r="O3855">
        <v>105673310</v>
      </c>
      <c r="P3855">
        <v>367</v>
      </c>
      <c r="Q3855" t="s">
        <v>8056</v>
      </c>
    </row>
    <row r="3856" spans="1:17" x14ac:dyDescent="0.3">
      <c r="A3856" t="s">
        <v>4729</v>
      </c>
      <c r="B3856" t="str">
        <f>"300055"</f>
        <v>300055</v>
      </c>
      <c r="C3856" t="s">
        <v>8057</v>
      </c>
      <c r="D3856" t="s">
        <v>33</v>
      </c>
      <c r="F3856">
        <v>626841116</v>
      </c>
      <c r="G3856">
        <v>678030940</v>
      </c>
      <c r="H3856">
        <v>547173636</v>
      </c>
      <c r="I3856">
        <v>1092250430</v>
      </c>
      <c r="J3856">
        <v>1261805940</v>
      </c>
      <c r="K3856">
        <v>1019294886</v>
      </c>
      <c r="L3856">
        <v>768647364</v>
      </c>
      <c r="M3856">
        <v>627544891</v>
      </c>
      <c r="N3856">
        <v>328275241</v>
      </c>
      <c r="O3856">
        <v>251524478</v>
      </c>
      <c r="P3856">
        <v>163</v>
      </c>
      <c r="Q3856" t="s">
        <v>8058</v>
      </c>
    </row>
    <row r="3857" spans="1:17" x14ac:dyDescent="0.3">
      <c r="A3857" t="s">
        <v>4729</v>
      </c>
      <c r="B3857" t="str">
        <f>"300056"</f>
        <v>300056</v>
      </c>
      <c r="C3857" t="s">
        <v>8059</v>
      </c>
      <c r="D3857" t="s">
        <v>663</v>
      </c>
      <c r="F3857">
        <v>199391652</v>
      </c>
      <c r="G3857">
        <v>232487687</v>
      </c>
      <c r="H3857">
        <v>259027347</v>
      </c>
      <c r="I3857">
        <v>380304176</v>
      </c>
      <c r="J3857">
        <v>604245633</v>
      </c>
      <c r="K3857">
        <v>457846356</v>
      </c>
      <c r="L3857">
        <v>364974538</v>
      </c>
      <c r="M3857">
        <v>235303564</v>
      </c>
      <c r="N3857">
        <v>211191847</v>
      </c>
      <c r="O3857">
        <v>141378983</v>
      </c>
      <c r="P3857">
        <v>87</v>
      </c>
      <c r="Q3857" t="s">
        <v>8060</v>
      </c>
    </row>
    <row r="3858" spans="1:17" x14ac:dyDescent="0.3">
      <c r="A3858" t="s">
        <v>4729</v>
      </c>
      <c r="B3858" t="str">
        <f>"300057"</f>
        <v>300057</v>
      </c>
      <c r="C3858" t="s">
        <v>8061</v>
      </c>
      <c r="D3858" t="s">
        <v>504</v>
      </c>
      <c r="F3858">
        <v>1174806237</v>
      </c>
      <c r="G3858">
        <v>1289819177</v>
      </c>
      <c r="H3858">
        <v>1157310815</v>
      </c>
      <c r="I3858">
        <v>1100185422</v>
      </c>
      <c r="J3858">
        <v>987299506</v>
      </c>
      <c r="K3858">
        <v>695387549</v>
      </c>
      <c r="L3858">
        <v>571875904</v>
      </c>
      <c r="M3858">
        <v>584818027</v>
      </c>
      <c r="N3858">
        <v>465116190</v>
      </c>
      <c r="O3858">
        <v>426420144</v>
      </c>
      <c r="P3858">
        <v>438</v>
      </c>
      <c r="Q3858" t="s">
        <v>8062</v>
      </c>
    </row>
    <row r="3859" spans="1:17" x14ac:dyDescent="0.3">
      <c r="A3859" t="s">
        <v>4729</v>
      </c>
      <c r="B3859" t="str">
        <f>"300058"</f>
        <v>300058</v>
      </c>
      <c r="C3859" t="s">
        <v>8063</v>
      </c>
      <c r="D3859" t="s">
        <v>207</v>
      </c>
      <c r="F3859">
        <v>6826410403</v>
      </c>
      <c r="G3859">
        <v>9137464278</v>
      </c>
      <c r="H3859">
        <v>7464233028</v>
      </c>
      <c r="I3859">
        <v>5997445841</v>
      </c>
      <c r="J3859">
        <v>6098718798</v>
      </c>
      <c r="K3859">
        <v>5031223300</v>
      </c>
      <c r="L3859">
        <v>3547597827</v>
      </c>
      <c r="M3859">
        <v>2223552030</v>
      </c>
      <c r="N3859">
        <v>1362222685</v>
      </c>
      <c r="O3859">
        <v>850061805</v>
      </c>
      <c r="P3859">
        <v>457</v>
      </c>
      <c r="Q3859" t="s">
        <v>8064</v>
      </c>
    </row>
    <row r="3860" spans="1:17" x14ac:dyDescent="0.3">
      <c r="A3860" t="s">
        <v>4729</v>
      </c>
      <c r="B3860" t="str">
        <f>"300059"</f>
        <v>300059</v>
      </c>
      <c r="C3860" t="s">
        <v>8065</v>
      </c>
      <c r="D3860" t="s">
        <v>80</v>
      </c>
      <c r="F3860">
        <v>1819259031</v>
      </c>
      <c r="G3860">
        <v>726021923</v>
      </c>
      <c r="H3860">
        <v>314416634</v>
      </c>
      <c r="I3860">
        <v>257906912</v>
      </c>
      <c r="J3860">
        <v>329333537</v>
      </c>
      <c r="K3860">
        <v>276748366</v>
      </c>
      <c r="L3860">
        <v>328419126</v>
      </c>
      <c r="M3860">
        <v>103973294</v>
      </c>
      <c r="N3860">
        <v>49190109</v>
      </c>
      <c r="O3860">
        <v>37581407</v>
      </c>
      <c r="P3860">
        <v>5893</v>
      </c>
      <c r="Q3860" t="s">
        <v>8066</v>
      </c>
    </row>
    <row r="3861" spans="1:17" x14ac:dyDescent="0.3">
      <c r="A3861" t="s">
        <v>4729</v>
      </c>
      <c r="B3861" t="str">
        <f>"300061"</f>
        <v>300061</v>
      </c>
      <c r="C3861" t="s">
        <v>8067</v>
      </c>
      <c r="D3861" t="s">
        <v>207</v>
      </c>
      <c r="F3861">
        <v>426856042</v>
      </c>
      <c r="G3861">
        <v>350141885</v>
      </c>
      <c r="H3861">
        <v>309278721</v>
      </c>
      <c r="I3861">
        <v>279307706</v>
      </c>
      <c r="J3861">
        <v>203445796</v>
      </c>
      <c r="K3861">
        <v>195549175</v>
      </c>
      <c r="L3861">
        <v>142740865</v>
      </c>
      <c r="M3861">
        <v>116435085</v>
      </c>
      <c r="N3861">
        <v>116187516</v>
      </c>
      <c r="O3861">
        <v>81139456</v>
      </c>
      <c r="P3861">
        <v>120</v>
      </c>
      <c r="Q3861" t="s">
        <v>8068</v>
      </c>
    </row>
    <row r="3862" spans="1:17" x14ac:dyDescent="0.3">
      <c r="A3862" t="s">
        <v>4729</v>
      </c>
      <c r="B3862" t="str">
        <f>"300062"</f>
        <v>300062</v>
      </c>
      <c r="C3862" t="s">
        <v>8069</v>
      </c>
      <c r="D3862" t="s">
        <v>210</v>
      </c>
      <c r="F3862">
        <v>898159133</v>
      </c>
      <c r="G3862">
        <v>794790505</v>
      </c>
      <c r="H3862">
        <v>685736153</v>
      </c>
      <c r="I3862">
        <v>710124543</v>
      </c>
      <c r="J3862">
        <v>639677243</v>
      </c>
      <c r="K3862">
        <v>491364060</v>
      </c>
      <c r="L3862">
        <v>1060931011</v>
      </c>
      <c r="M3862">
        <v>290240281</v>
      </c>
      <c r="N3862">
        <v>276156076</v>
      </c>
      <c r="O3862">
        <v>233415228</v>
      </c>
      <c r="P3862">
        <v>125</v>
      </c>
      <c r="Q3862" t="s">
        <v>8070</v>
      </c>
    </row>
    <row r="3863" spans="1:17" x14ac:dyDescent="0.3">
      <c r="A3863" t="s">
        <v>4729</v>
      </c>
      <c r="B3863" t="str">
        <f>"300063"</f>
        <v>300063</v>
      </c>
      <c r="C3863" t="s">
        <v>8071</v>
      </c>
      <c r="D3863" t="s">
        <v>207</v>
      </c>
      <c r="F3863">
        <v>1862323974</v>
      </c>
      <c r="G3863">
        <v>1840184472</v>
      </c>
      <c r="H3863">
        <v>1575998639</v>
      </c>
      <c r="I3863">
        <v>1163310493</v>
      </c>
      <c r="J3863">
        <v>1233147347</v>
      </c>
      <c r="K3863">
        <v>839303981</v>
      </c>
      <c r="L3863">
        <v>858023389</v>
      </c>
      <c r="M3863">
        <v>293694065</v>
      </c>
      <c r="N3863">
        <v>186546015</v>
      </c>
      <c r="O3863">
        <v>131103005</v>
      </c>
      <c r="P3863">
        <v>109</v>
      </c>
      <c r="Q3863" t="s">
        <v>8072</v>
      </c>
    </row>
    <row r="3864" spans="1:17" x14ac:dyDescent="0.3">
      <c r="A3864" t="s">
        <v>4729</v>
      </c>
      <c r="B3864" t="str">
        <f>"300064"</f>
        <v>300064</v>
      </c>
      <c r="C3864" t="s">
        <v>8073</v>
      </c>
      <c r="D3864" t="s">
        <v>404</v>
      </c>
      <c r="F3864">
        <v>72500709</v>
      </c>
      <c r="G3864">
        <v>125790077</v>
      </c>
      <c r="H3864">
        <v>188098604</v>
      </c>
      <c r="I3864">
        <v>786620967</v>
      </c>
      <c r="J3864">
        <v>750356293</v>
      </c>
      <c r="K3864">
        <v>422111341</v>
      </c>
      <c r="L3864">
        <v>306097242</v>
      </c>
      <c r="M3864">
        <v>292513896</v>
      </c>
      <c r="N3864">
        <v>237564245</v>
      </c>
      <c r="O3864">
        <v>143804356</v>
      </c>
      <c r="P3864">
        <v>77</v>
      </c>
      <c r="Q3864" t="s">
        <v>8074</v>
      </c>
    </row>
    <row r="3865" spans="1:17" x14ac:dyDescent="0.3">
      <c r="A3865" t="s">
        <v>4729</v>
      </c>
      <c r="B3865" t="str">
        <f>"300065"</f>
        <v>300065</v>
      </c>
      <c r="C3865" t="s">
        <v>8075</v>
      </c>
      <c r="D3865" t="s">
        <v>167</v>
      </c>
      <c r="F3865">
        <v>487778860</v>
      </c>
      <c r="G3865">
        <v>457762414</v>
      </c>
      <c r="H3865">
        <v>437808148</v>
      </c>
      <c r="I3865">
        <v>384727926</v>
      </c>
      <c r="J3865">
        <v>363554187</v>
      </c>
      <c r="K3865">
        <v>317934260</v>
      </c>
      <c r="L3865">
        <v>360047208</v>
      </c>
      <c r="M3865">
        <v>255273949</v>
      </c>
      <c r="N3865">
        <v>215067581</v>
      </c>
      <c r="O3865">
        <v>145176556</v>
      </c>
      <c r="P3865">
        <v>152</v>
      </c>
      <c r="Q3865" t="s">
        <v>8076</v>
      </c>
    </row>
    <row r="3866" spans="1:17" x14ac:dyDescent="0.3">
      <c r="A3866" t="s">
        <v>4729</v>
      </c>
      <c r="B3866" t="str">
        <f>"300066"</f>
        <v>300066</v>
      </c>
      <c r="C3866" t="s">
        <v>8077</v>
      </c>
      <c r="D3866" t="s">
        <v>2566</v>
      </c>
      <c r="F3866">
        <v>598030215</v>
      </c>
      <c r="G3866">
        <v>594542340</v>
      </c>
      <c r="H3866">
        <v>503038992</v>
      </c>
      <c r="I3866">
        <v>310913510</v>
      </c>
      <c r="J3866">
        <v>268904988</v>
      </c>
      <c r="K3866">
        <v>272731621</v>
      </c>
      <c r="L3866">
        <v>215346026</v>
      </c>
      <c r="M3866">
        <v>169252262</v>
      </c>
      <c r="N3866">
        <v>127965099</v>
      </c>
      <c r="O3866">
        <v>115980309</v>
      </c>
      <c r="P3866">
        <v>190</v>
      </c>
      <c r="Q3866" t="s">
        <v>8078</v>
      </c>
    </row>
    <row r="3867" spans="1:17" x14ac:dyDescent="0.3">
      <c r="A3867" t="s">
        <v>4729</v>
      </c>
      <c r="B3867" t="str">
        <f>"300067"</f>
        <v>300067</v>
      </c>
      <c r="C3867" t="s">
        <v>8079</v>
      </c>
      <c r="D3867" t="s">
        <v>779</v>
      </c>
      <c r="F3867">
        <v>178908928</v>
      </c>
      <c r="G3867">
        <v>172777281</v>
      </c>
      <c r="H3867">
        <v>148126088</v>
      </c>
      <c r="I3867">
        <v>160254155</v>
      </c>
      <c r="J3867">
        <v>189854257</v>
      </c>
      <c r="K3867">
        <v>173014052</v>
      </c>
      <c r="L3867">
        <v>129759487</v>
      </c>
      <c r="M3867">
        <v>146246853</v>
      </c>
      <c r="N3867">
        <v>137652595</v>
      </c>
      <c r="O3867">
        <v>75777429</v>
      </c>
      <c r="P3867">
        <v>100</v>
      </c>
      <c r="Q3867" t="s">
        <v>8080</v>
      </c>
    </row>
    <row r="3868" spans="1:17" x14ac:dyDescent="0.3">
      <c r="A3868" t="s">
        <v>4729</v>
      </c>
      <c r="B3868" t="str">
        <f>"300068"</f>
        <v>300068</v>
      </c>
      <c r="C3868" t="s">
        <v>8081</v>
      </c>
      <c r="D3868" t="s">
        <v>555</v>
      </c>
      <c r="F3868">
        <v>1483936264</v>
      </c>
      <c r="G3868">
        <v>2366269621</v>
      </c>
      <c r="H3868">
        <v>2401966500</v>
      </c>
      <c r="I3868">
        <v>1861057446</v>
      </c>
      <c r="J3868">
        <v>2018141413</v>
      </c>
      <c r="K3868">
        <v>2267466985</v>
      </c>
      <c r="L3868">
        <v>1783189725</v>
      </c>
      <c r="M3868">
        <v>1274947058</v>
      </c>
      <c r="N3868">
        <v>987843661</v>
      </c>
      <c r="O3868">
        <v>862357698</v>
      </c>
      <c r="P3868">
        <v>305</v>
      </c>
      <c r="Q3868" t="s">
        <v>8082</v>
      </c>
    </row>
    <row r="3869" spans="1:17" x14ac:dyDescent="0.3">
      <c r="A3869" t="s">
        <v>4729</v>
      </c>
      <c r="B3869" t="str">
        <f>"300069"</f>
        <v>300069</v>
      </c>
      <c r="C3869" t="s">
        <v>8083</v>
      </c>
      <c r="D3869" t="s">
        <v>1164</v>
      </c>
      <c r="F3869">
        <v>72957069</v>
      </c>
      <c r="G3869">
        <v>72629147</v>
      </c>
      <c r="H3869">
        <v>88896597</v>
      </c>
      <c r="I3869">
        <v>105717026</v>
      </c>
      <c r="J3869">
        <v>142995166</v>
      </c>
      <c r="K3869">
        <v>268334456</v>
      </c>
      <c r="L3869">
        <v>142089903</v>
      </c>
      <c r="M3869">
        <v>126159442</v>
      </c>
      <c r="N3869">
        <v>121308033</v>
      </c>
      <c r="O3869">
        <v>170465744</v>
      </c>
      <c r="P3869">
        <v>57</v>
      </c>
      <c r="Q3869" t="s">
        <v>8084</v>
      </c>
    </row>
    <row r="3870" spans="1:17" x14ac:dyDescent="0.3">
      <c r="A3870" t="s">
        <v>4729</v>
      </c>
      <c r="B3870" t="str">
        <f>"300070"</f>
        <v>300070</v>
      </c>
      <c r="C3870" t="s">
        <v>8085</v>
      </c>
      <c r="D3870" t="s">
        <v>33</v>
      </c>
      <c r="F3870">
        <v>9684624551</v>
      </c>
      <c r="G3870">
        <v>7365794149</v>
      </c>
      <c r="H3870">
        <v>6982342307</v>
      </c>
      <c r="I3870">
        <v>5883997457</v>
      </c>
      <c r="J3870">
        <v>4580346112</v>
      </c>
      <c r="K3870">
        <v>4231548425</v>
      </c>
      <c r="L3870">
        <v>2565000839</v>
      </c>
      <c r="M3870">
        <v>1626913974</v>
      </c>
      <c r="N3870">
        <v>1277282224</v>
      </c>
      <c r="O3870">
        <v>650646107</v>
      </c>
      <c r="P3870">
        <v>1163</v>
      </c>
      <c r="Q3870" t="s">
        <v>8086</v>
      </c>
    </row>
    <row r="3871" spans="1:17" x14ac:dyDescent="0.3">
      <c r="A3871" t="s">
        <v>4729</v>
      </c>
      <c r="B3871" t="str">
        <f>"300071"</f>
        <v>300071</v>
      </c>
      <c r="C3871" t="s">
        <v>8087</v>
      </c>
      <c r="D3871" t="s">
        <v>207</v>
      </c>
      <c r="F3871">
        <v>666491779</v>
      </c>
      <c r="G3871">
        <v>662798543</v>
      </c>
      <c r="H3871">
        <v>807388330</v>
      </c>
      <c r="I3871">
        <v>1656009409</v>
      </c>
      <c r="J3871">
        <v>1704758766</v>
      </c>
      <c r="K3871">
        <v>1279893380</v>
      </c>
      <c r="L3871">
        <v>961035742</v>
      </c>
      <c r="M3871">
        <v>719590527</v>
      </c>
      <c r="N3871">
        <v>632682394</v>
      </c>
      <c r="O3871">
        <v>394570695</v>
      </c>
      <c r="P3871">
        <v>84</v>
      </c>
      <c r="Q3871" t="s">
        <v>8088</v>
      </c>
    </row>
    <row r="3872" spans="1:17" x14ac:dyDescent="0.3">
      <c r="A3872" t="s">
        <v>4729</v>
      </c>
      <c r="B3872" t="str">
        <f>"300072"</f>
        <v>300072</v>
      </c>
      <c r="C3872" t="s">
        <v>8089</v>
      </c>
      <c r="D3872" t="s">
        <v>663</v>
      </c>
      <c r="F3872">
        <v>1248802595</v>
      </c>
      <c r="G3872">
        <v>5317156017</v>
      </c>
      <c r="H3872">
        <v>7198279174</v>
      </c>
      <c r="I3872">
        <v>11767712785</v>
      </c>
      <c r="J3872">
        <v>8917827001</v>
      </c>
      <c r="K3872">
        <v>6395908690</v>
      </c>
      <c r="L3872">
        <v>3628007687</v>
      </c>
      <c r="M3872">
        <v>1839491533</v>
      </c>
      <c r="N3872">
        <v>978970073</v>
      </c>
      <c r="O3872">
        <v>622008095</v>
      </c>
      <c r="P3872">
        <v>1138</v>
      </c>
      <c r="Q3872" t="s">
        <v>8090</v>
      </c>
    </row>
    <row r="3873" spans="1:17" x14ac:dyDescent="0.3">
      <c r="A3873" t="s">
        <v>4729</v>
      </c>
      <c r="B3873" t="str">
        <f>"300073"</f>
        <v>300073</v>
      </c>
      <c r="C3873" t="s">
        <v>8091</v>
      </c>
      <c r="D3873" t="s">
        <v>1790</v>
      </c>
      <c r="F3873">
        <v>2362749463</v>
      </c>
      <c r="G3873">
        <v>967921203</v>
      </c>
      <c r="H3873">
        <v>571817864</v>
      </c>
      <c r="I3873">
        <v>874357551</v>
      </c>
      <c r="J3873">
        <v>730049093</v>
      </c>
      <c r="K3873">
        <v>512067973</v>
      </c>
      <c r="L3873">
        <v>322099648</v>
      </c>
      <c r="M3873">
        <v>209689925</v>
      </c>
      <c r="N3873">
        <v>155444100</v>
      </c>
      <c r="O3873">
        <v>119540214</v>
      </c>
      <c r="P3873">
        <v>826</v>
      </c>
      <c r="Q3873" t="s">
        <v>8092</v>
      </c>
    </row>
    <row r="3874" spans="1:17" x14ac:dyDescent="0.3">
      <c r="A3874" t="s">
        <v>4729</v>
      </c>
      <c r="B3874" t="str">
        <f>"300074"</f>
        <v>300074</v>
      </c>
      <c r="C3874" t="s">
        <v>8093</v>
      </c>
      <c r="D3874" t="s">
        <v>945</v>
      </c>
      <c r="F3874">
        <v>512922792</v>
      </c>
      <c r="G3874">
        <v>437064501</v>
      </c>
      <c r="H3874">
        <v>382622473</v>
      </c>
      <c r="I3874">
        <v>295120860</v>
      </c>
      <c r="J3874">
        <v>244141286</v>
      </c>
      <c r="K3874">
        <v>165580954</v>
      </c>
      <c r="L3874">
        <v>138944751</v>
      </c>
      <c r="M3874">
        <v>124459361</v>
      </c>
      <c r="N3874">
        <v>130916033</v>
      </c>
      <c r="O3874">
        <v>132470725</v>
      </c>
      <c r="P3874">
        <v>162</v>
      </c>
      <c r="Q3874" t="s">
        <v>8094</v>
      </c>
    </row>
    <row r="3875" spans="1:17" x14ac:dyDescent="0.3">
      <c r="A3875" t="s">
        <v>4729</v>
      </c>
      <c r="B3875" t="str">
        <f>"300075"</f>
        <v>300075</v>
      </c>
      <c r="C3875" t="s">
        <v>8095</v>
      </c>
      <c r="D3875" t="s">
        <v>945</v>
      </c>
      <c r="F3875">
        <v>1273335411</v>
      </c>
      <c r="G3875">
        <v>1072417057</v>
      </c>
      <c r="H3875">
        <v>1160112826</v>
      </c>
      <c r="I3875">
        <v>1067276237</v>
      </c>
      <c r="J3875">
        <v>1024697948</v>
      </c>
      <c r="K3875">
        <v>682737784</v>
      </c>
      <c r="L3875">
        <v>488407780</v>
      </c>
      <c r="M3875">
        <v>364451160</v>
      </c>
      <c r="N3875">
        <v>206278466</v>
      </c>
      <c r="O3875">
        <v>153805820</v>
      </c>
      <c r="P3875">
        <v>258</v>
      </c>
      <c r="Q3875" t="s">
        <v>8096</v>
      </c>
    </row>
    <row r="3876" spans="1:17" x14ac:dyDescent="0.3">
      <c r="A3876" t="s">
        <v>4729</v>
      </c>
      <c r="B3876" t="str">
        <f>"300076"</f>
        <v>300076</v>
      </c>
      <c r="C3876" t="s">
        <v>8097</v>
      </c>
      <c r="D3876" t="s">
        <v>1117</v>
      </c>
      <c r="F3876">
        <v>106357109</v>
      </c>
      <c r="G3876">
        <v>107280751</v>
      </c>
      <c r="H3876">
        <v>70100826</v>
      </c>
      <c r="I3876">
        <v>94810743</v>
      </c>
      <c r="J3876">
        <v>111869338</v>
      </c>
      <c r="K3876">
        <v>133974098</v>
      </c>
      <c r="L3876">
        <v>145809669</v>
      </c>
      <c r="M3876">
        <v>140363906</v>
      </c>
      <c r="N3876">
        <v>149080400</v>
      </c>
      <c r="O3876">
        <v>154081078</v>
      </c>
      <c r="P3876">
        <v>93</v>
      </c>
      <c r="Q3876" t="s">
        <v>8098</v>
      </c>
    </row>
    <row r="3877" spans="1:17" x14ac:dyDescent="0.3">
      <c r="A3877" t="s">
        <v>4729</v>
      </c>
      <c r="B3877" t="str">
        <f>"300077"</f>
        <v>300077</v>
      </c>
      <c r="C3877" t="s">
        <v>8099</v>
      </c>
      <c r="D3877" t="s">
        <v>461</v>
      </c>
      <c r="F3877">
        <v>207571088</v>
      </c>
      <c r="G3877">
        <v>202917874</v>
      </c>
      <c r="H3877">
        <v>230342373</v>
      </c>
      <c r="I3877">
        <v>488476189</v>
      </c>
      <c r="J3877">
        <v>365196555</v>
      </c>
      <c r="K3877">
        <v>427302888</v>
      </c>
      <c r="L3877">
        <v>340092181</v>
      </c>
      <c r="M3877">
        <v>220808638</v>
      </c>
      <c r="N3877">
        <v>173041372</v>
      </c>
      <c r="O3877">
        <v>171932209</v>
      </c>
      <c r="P3877">
        <v>3150</v>
      </c>
      <c r="Q3877" t="s">
        <v>8100</v>
      </c>
    </row>
    <row r="3878" spans="1:17" x14ac:dyDescent="0.3">
      <c r="A3878" t="s">
        <v>4729</v>
      </c>
      <c r="B3878" t="str">
        <f>"300078"</f>
        <v>300078</v>
      </c>
      <c r="C3878" t="s">
        <v>8101</v>
      </c>
      <c r="D3878" t="s">
        <v>316</v>
      </c>
      <c r="F3878">
        <v>878207666</v>
      </c>
      <c r="G3878">
        <v>1029109000</v>
      </c>
      <c r="H3878">
        <v>1057208363</v>
      </c>
      <c r="I3878">
        <v>775700937</v>
      </c>
      <c r="J3878">
        <v>600132291</v>
      </c>
      <c r="K3878">
        <v>537870940</v>
      </c>
      <c r="L3878">
        <v>449059963</v>
      </c>
      <c r="M3878">
        <v>94875546</v>
      </c>
      <c r="N3878">
        <v>76260368</v>
      </c>
      <c r="O3878">
        <v>54031336</v>
      </c>
      <c r="P3878">
        <v>296</v>
      </c>
      <c r="Q3878" t="s">
        <v>8102</v>
      </c>
    </row>
    <row r="3879" spans="1:17" x14ac:dyDescent="0.3">
      <c r="A3879" t="s">
        <v>4729</v>
      </c>
      <c r="B3879" t="str">
        <f>"300079"</f>
        <v>300079</v>
      </c>
      <c r="C3879" t="s">
        <v>8103</v>
      </c>
      <c r="D3879" t="s">
        <v>316</v>
      </c>
      <c r="F3879">
        <v>289357587</v>
      </c>
      <c r="G3879">
        <v>396999150</v>
      </c>
      <c r="H3879">
        <v>486800097</v>
      </c>
      <c r="I3879">
        <v>911595370</v>
      </c>
      <c r="J3879">
        <v>684556507</v>
      </c>
      <c r="K3879">
        <v>513874690</v>
      </c>
      <c r="L3879">
        <v>456001339</v>
      </c>
      <c r="M3879">
        <v>272348135</v>
      </c>
      <c r="N3879">
        <v>306853342</v>
      </c>
      <c r="O3879">
        <v>383886720</v>
      </c>
      <c r="P3879">
        <v>261</v>
      </c>
      <c r="Q3879" t="s">
        <v>8104</v>
      </c>
    </row>
    <row r="3880" spans="1:17" x14ac:dyDescent="0.3">
      <c r="A3880" t="s">
        <v>4729</v>
      </c>
      <c r="B3880" t="str">
        <f>"300080"</f>
        <v>300080</v>
      </c>
      <c r="C3880" t="s">
        <v>8105</v>
      </c>
      <c r="D3880" t="s">
        <v>404</v>
      </c>
      <c r="F3880">
        <v>533987039</v>
      </c>
      <c r="G3880">
        <v>345435180</v>
      </c>
      <c r="H3880">
        <v>497058335</v>
      </c>
      <c r="I3880">
        <v>494552945</v>
      </c>
      <c r="J3880">
        <v>950447898</v>
      </c>
      <c r="K3880">
        <v>1063923748</v>
      </c>
      <c r="L3880">
        <v>644420570</v>
      </c>
      <c r="M3880">
        <v>693156674</v>
      </c>
      <c r="N3880">
        <v>835964258</v>
      </c>
      <c r="O3880">
        <v>437210597</v>
      </c>
      <c r="P3880">
        <v>111</v>
      </c>
      <c r="Q3880" t="s">
        <v>8106</v>
      </c>
    </row>
    <row r="3881" spans="1:17" x14ac:dyDescent="0.3">
      <c r="A3881" t="s">
        <v>4729</v>
      </c>
      <c r="B3881" t="str">
        <f>"300081"</f>
        <v>300081</v>
      </c>
      <c r="C3881" t="s">
        <v>8107</v>
      </c>
      <c r="D3881" t="s">
        <v>5670</v>
      </c>
      <c r="F3881">
        <v>130706290</v>
      </c>
      <c r="G3881">
        <v>241275800</v>
      </c>
      <c r="H3881">
        <v>347879945</v>
      </c>
      <c r="I3881">
        <v>258705901</v>
      </c>
      <c r="J3881">
        <v>111126228</v>
      </c>
      <c r="K3881">
        <v>56277886</v>
      </c>
      <c r="L3881">
        <v>35818576</v>
      </c>
      <c r="M3881">
        <v>42214809</v>
      </c>
      <c r="N3881">
        <v>66571482</v>
      </c>
      <c r="O3881">
        <v>71160413</v>
      </c>
      <c r="P3881">
        <v>160</v>
      </c>
      <c r="Q3881" t="s">
        <v>8108</v>
      </c>
    </row>
    <row r="3882" spans="1:17" x14ac:dyDescent="0.3">
      <c r="A3882" t="s">
        <v>4729</v>
      </c>
      <c r="B3882" t="str">
        <f>"300082"</f>
        <v>300082</v>
      </c>
      <c r="C3882" t="s">
        <v>8109</v>
      </c>
      <c r="D3882" t="s">
        <v>1233</v>
      </c>
      <c r="F3882">
        <v>395178532</v>
      </c>
      <c r="G3882">
        <v>290268582</v>
      </c>
      <c r="H3882">
        <v>325214886</v>
      </c>
      <c r="I3882">
        <v>441896943</v>
      </c>
      <c r="J3882">
        <v>546682658</v>
      </c>
      <c r="K3882">
        <v>592861635</v>
      </c>
      <c r="L3882">
        <v>606293459</v>
      </c>
      <c r="M3882">
        <v>597072554</v>
      </c>
      <c r="N3882">
        <v>454598781</v>
      </c>
      <c r="O3882">
        <v>457132647</v>
      </c>
      <c r="P3882">
        <v>176</v>
      </c>
      <c r="Q3882" t="s">
        <v>8110</v>
      </c>
    </row>
    <row r="3883" spans="1:17" x14ac:dyDescent="0.3">
      <c r="A3883" t="s">
        <v>4729</v>
      </c>
      <c r="B3883" t="str">
        <f>"300083"</f>
        <v>300083</v>
      </c>
      <c r="C3883" t="s">
        <v>8111</v>
      </c>
      <c r="D3883" t="s">
        <v>2432</v>
      </c>
      <c r="F3883">
        <v>1045877896</v>
      </c>
      <c r="G3883">
        <v>1139271491</v>
      </c>
      <c r="H3883">
        <v>1331070079</v>
      </c>
      <c r="I3883">
        <v>1639691695</v>
      </c>
      <c r="J3883">
        <v>1611429687</v>
      </c>
      <c r="K3883">
        <v>1192002403</v>
      </c>
      <c r="L3883">
        <v>1116131009</v>
      </c>
      <c r="M3883">
        <v>669277376</v>
      </c>
      <c r="N3883">
        <v>391700101</v>
      </c>
      <c r="O3883">
        <v>317157520</v>
      </c>
      <c r="P3883">
        <v>487</v>
      </c>
      <c r="Q3883" t="s">
        <v>8112</v>
      </c>
    </row>
    <row r="3884" spans="1:17" x14ac:dyDescent="0.3">
      <c r="A3884" t="s">
        <v>4729</v>
      </c>
      <c r="B3884" t="str">
        <f>"300084"</f>
        <v>300084</v>
      </c>
      <c r="C3884" t="s">
        <v>8113</v>
      </c>
      <c r="D3884" t="s">
        <v>395</v>
      </c>
      <c r="F3884">
        <v>546429865</v>
      </c>
      <c r="G3884">
        <v>566327369</v>
      </c>
      <c r="H3884">
        <v>712874673</v>
      </c>
      <c r="I3884">
        <v>700545941</v>
      </c>
      <c r="J3884">
        <v>634297046</v>
      </c>
      <c r="K3884">
        <v>296215193</v>
      </c>
      <c r="L3884">
        <v>233449148</v>
      </c>
      <c r="M3884">
        <v>260085549</v>
      </c>
      <c r="N3884">
        <v>138324218</v>
      </c>
      <c r="O3884">
        <v>133527499</v>
      </c>
      <c r="P3884">
        <v>69</v>
      </c>
      <c r="Q3884" t="s">
        <v>8114</v>
      </c>
    </row>
    <row r="3885" spans="1:17" x14ac:dyDescent="0.3">
      <c r="A3885" t="s">
        <v>4729</v>
      </c>
      <c r="B3885" t="str">
        <f>"300085"</f>
        <v>300085</v>
      </c>
      <c r="C3885" t="s">
        <v>8115</v>
      </c>
      <c r="D3885" t="s">
        <v>945</v>
      </c>
      <c r="F3885">
        <v>258341636</v>
      </c>
      <c r="G3885">
        <v>361533981</v>
      </c>
      <c r="H3885">
        <v>406195706</v>
      </c>
      <c r="I3885">
        <v>387092860</v>
      </c>
      <c r="J3885">
        <v>288950321</v>
      </c>
      <c r="K3885">
        <v>290685367</v>
      </c>
      <c r="L3885">
        <v>280029194</v>
      </c>
      <c r="M3885">
        <v>174536753</v>
      </c>
      <c r="N3885">
        <v>91468106</v>
      </c>
      <c r="O3885">
        <v>67521521</v>
      </c>
      <c r="P3885">
        <v>255</v>
      </c>
      <c r="Q3885" t="s">
        <v>8116</v>
      </c>
    </row>
    <row r="3886" spans="1:17" x14ac:dyDescent="0.3">
      <c r="A3886" t="s">
        <v>4729</v>
      </c>
      <c r="B3886" t="str">
        <f>"300086"</f>
        <v>300086</v>
      </c>
      <c r="C3886" t="s">
        <v>8117</v>
      </c>
      <c r="D3886" t="s">
        <v>143</v>
      </c>
      <c r="F3886">
        <v>149393060</v>
      </c>
      <c r="G3886">
        <v>145673132</v>
      </c>
      <c r="H3886">
        <v>100841388</v>
      </c>
      <c r="I3886">
        <v>113569969</v>
      </c>
      <c r="J3886">
        <v>92530289</v>
      </c>
      <c r="K3886">
        <v>68635761</v>
      </c>
      <c r="L3886">
        <v>83840327</v>
      </c>
      <c r="M3886">
        <v>25643305</v>
      </c>
      <c r="N3886">
        <v>26033699</v>
      </c>
      <c r="O3886">
        <v>46381056</v>
      </c>
      <c r="P3886">
        <v>106</v>
      </c>
      <c r="Q3886" t="s">
        <v>8118</v>
      </c>
    </row>
    <row r="3887" spans="1:17" x14ac:dyDescent="0.3">
      <c r="A3887" t="s">
        <v>4729</v>
      </c>
      <c r="B3887" t="str">
        <f>"300087"</f>
        <v>300087</v>
      </c>
      <c r="C3887" t="s">
        <v>8119</v>
      </c>
      <c r="D3887" t="s">
        <v>706</v>
      </c>
      <c r="F3887">
        <v>252072956</v>
      </c>
      <c r="G3887">
        <v>218149991</v>
      </c>
      <c r="H3887">
        <v>134776458</v>
      </c>
      <c r="I3887">
        <v>81730891</v>
      </c>
      <c r="J3887">
        <v>74900605</v>
      </c>
      <c r="K3887">
        <v>63765666</v>
      </c>
      <c r="L3887">
        <v>40996170</v>
      </c>
      <c r="M3887">
        <v>34885876</v>
      </c>
      <c r="N3887">
        <v>38223387</v>
      </c>
      <c r="O3887">
        <v>34022946</v>
      </c>
      <c r="P3887">
        <v>231</v>
      </c>
      <c r="Q3887" t="s">
        <v>8120</v>
      </c>
    </row>
    <row r="3888" spans="1:17" x14ac:dyDescent="0.3">
      <c r="A3888" t="s">
        <v>4729</v>
      </c>
      <c r="B3888" t="str">
        <f>"300088"</f>
        <v>300088</v>
      </c>
      <c r="C3888" t="s">
        <v>8121</v>
      </c>
      <c r="D3888" t="s">
        <v>1117</v>
      </c>
      <c r="F3888">
        <v>1793312037</v>
      </c>
      <c r="G3888">
        <v>1394884552</v>
      </c>
      <c r="H3888">
        <v>1067930783</v>
      </c>
      <c r="I3888">
        <v>1700200883</v>
      </c>
      <c r="J3888">
        <v>1213141950</v>
      </c>
      <c r="K3888">
        <v>1034331456</v>
      </c>
      <c r="L3888">
        <v>514063351</v>
      </c>
      <c r="M3888">
        <v>613515017</v>
      </c>
      <c r="N3888">
        <v>370792373</v>
      </c>
      <c r="O3888">
        <v>263865905</v>
      </c>
      <c r="P3888">
        <v>950</v>
      </c>
      <c r="Q3888" t="s">
        <v>8122</v>
      </c>
    </row>
    <row r="3889" spans="1:17" x14ac:dyDescent="0.3">
      <c r="A3889" t="s">
        <v>4729</v>
      </c>
      <c r="B3889" t="str">
        <f>"300089"</f>
        <v>300089</v>
      </c>
      <c r="C3889" t="s">
        <v>8123</v>
      </c>
      <c r="D3889" t="s">
        <v>1336</v>
      </c>
      <c r="F3889">
        <v>44940733</v>
      </c>
      <c r="G3889">
        <v>133757780</v>
      </c>
      <c r="H3889">
        <v>217511152</v>
      </c>
      <c r="I3889">
        <v>228742487</v>
      </c>
      <c r="J3889">
        <v>181820431</v>
      </c>
      <c r="K3889">
        <v>227299477</v>
      </c>
      <c r="L3889">
        <v>187539063</v>
      </c>
      <c r="M3889">
        <v>177200970</v>
      </c>
      <c r="N3889">
        <v>171573608</v>
      </c>
      <c r="O3889">
        <v>132649315</v>
      </c>
      <c r="P3889">
        <v>101</v>
      </c>
      <c r="Q3889" t="s">
        <v>8124</v>
      </c>
    </row>
    <row r="3890" spans="1:17" x14ac:dyDescent="0.3">
      <c r="A3890" t="s">
        <v>4729</v>
      </c>
      <c r="B3890" t="str">
        <f>"300090"</f>
        <v>300090</v>
      </c>
      <c r="C3890" t="s">
        <v>8125</v>
      </c>
      <c r="H3890">
        <v>849885630</v>
      </c>
      <c r="I3890">
        <v>1038295685</v>
      </c>
      <c r="J3890">
        <v>1339279129</v>
      </c>
      <c r="K3890">
        <v>996397749</v>
      </c>
      <c r="L3890">
        <v>1038365164</v>
      </c>
      <c r="M3890">
        <v>890300104</v>
      </c>
      <c r="N3890">
        <v>890599754</v>
      </c>
      <c r="O3890">
        <v>381796627</v>
      </c>
      <c r="P3890">
        <v>72</v>
      </c>
      <c r="Q3890" t="s">
        <v>8126</v>
      </c>
    </row>
    <row r="3891" spans="1:17" x14ac:dyDescent="0.3">
      <c r="A3891" t="s">
        <v>4729</v>
      </c>
      <c r="B3891" t="str">
        <f>"300091"</f>
        <v>300091</v>
      </c>
      <c r="C3891" t="s">
        <v>8127</v>
      </c>
      <c r="D3891" t="s">
        <v>560</v>
      </c>
      <c r="F3891">
        <v>918315762</v>
      </c>
      <c r="G3891">
        <v>954417284</v>
      </c>
      <c r="H3891">
        <v>886104775</v>
      </c>
      <c r="I3891">
        <v>858026599</v>
      </c>
      <c r="J3891">
        <v>856121707</v>
      </c>
      <c r="K3891">
        <v>734065857</v>
      </c>
      <c r="L3891">
        <v>733164775</v>
      </c>
      <c r="M3891">
        <v>613786212</v>
      </c>
      <c r="N3891">
        <v>489673244</v>
      </c>
      <c r="O3891">
        <v>393221501</v>
      </c>
      <c r="P3891">
        <v>101</v>
      </c>
      <c r="Q3891" t="s">
        <v>8128</v>
      </c>
    </row>
    <row r="3892" spans="1:17" x14ac:dyDescent="0.3">
      <c r="A3892" t="s">
        <v>4729</v>
      </c>
      <c r="B3892" t="str">
        <f>"300092"</f>
        <v>300092</v>
      </c>
      <c r="C3892" t="s">
        <v>8129</v>
      </c>
      <c r="D3892" t="s">
        <v>274</v>
      </c>
      <c r="F3892">
        <v>197158887</v>
      </c>
      <c r="G3892">
        <v>174870627</v>
      </c>
      <c r="H3892">
        <v>215227763</v>
      </c>
      <c r="I3892">
        <v>299636359</v>
      </c>
      <c r="J3892">
        <v>225925711</v>
      </c>
      <c r="K3892">
        <v>220633325</v>
      </c>
      <c r="L3892">
        <v>125810775</v>
      </c>
      <c r="M3892">
        <v>170618522</v>
      </c>
      <c r="N3892">
        <v>130246947</v>
      </c>
      <c r="O3892">
        <v>106294617</v>
      </c>
      <c r="P3892">
        <v>81</v>
      </c>
      <c r="Q3892" t="s">
        <v>8130</v>
      </c>
    </row>
    <row r="3893" spans="1:17" x14ac:dyDescent="0.3">
      <c r="A3893" t="s">
        <v>4729</v>
      </c>
      <c r="B3893" t="str">
        <f>"300093"</f>
        <v>300093</v>
      </c>
      <c r="C3893" t="s">
        <v>8131</v>
      </c>
      <c r="D3893" t="s">
        <v>666</v>
      </c>
      <c r="F3893">
        <v>277795685</v>
      </c>
      <c r="G3893">
        <v>266582868</v>
      </c>
      <c r="H3893">
        <v>262948730</v>
      </c>
      <c r="I3893">
        <v>277826389</v>
      </c>
      <c r="J3893">
        <v>267520095</v>
      </c>
      <c r="K3893">
        <v>163120213</v>
      </c>
      <c r="L3893">
        <v>131306550</v>
      </c>
      <c r="M3893">
        <v>120292795</v>
      </c>
      <c r="N3893">
        <v>108966403</v>
      </c>
      <c r="O3893">
        <v>98250449</v>
      </c>
      <c r="P3893">
        <v>80</v>
      </c>
      <c r="Q3893" t="s">
        <v>8132</v>
      </c>
    </row>
    <row r="3894" spans="1:17" x14ac:dyDescent="0.3">
      <c r="A3894" t="s">
        <v>4729</v>
      </c>
      <c r="B3894" t="str">
        <f>"300094"</f>
        <v>300094</v>
      </c>
      <c r="C3894" t="s">
        <v>8133</v>
      </c>
      <c r="D3894" t="s">
        <v>587</v>
      </c>
      <c r="F3894">
        <v>572898759</v>
      </c>
      <c r="G3894">
        <v>587062441</v>
      </c>
      <c r="H3894">
        <v>615268632</v>
      </c>
      <c r="I3894">
        <v>814505488</v>
      </c>
      <c r="J3894">
        <v>745757062</v>
      </c>
      <c r="K3894">
        <v>780757700</v>
      </c>
      <c r="L3894">
        <v>633073485</v>
      </c>
      <c r="M3894">
        <v>592358628</v>
      </c>
      <c r="N3894">
        <v>555453046</v>
      </c>
      <c r="O3894">
        <v>430781599</v>
      </c>
      <c r="P3894">
        <v>123</v>
      </c>
      <c r="Q3894" t="s">
        <v>8134</v>
      </c>
    </row>
    <row r="3895" spans="1:17" x14ac:dyDescent="0.3">
      <c r="A3895" t="s">
        <v>4729</v>
      </c>
      <c r="B3895" t="str">
        <f>"300095"</f>
        <v>300095</v>
      </c>
      <c r="C3895" t="s">
        <v>8135</v>
      </c>
      <c r="D3895" t="s">
        <v>274</v>
      </c>
      <c r="F3895">
        <v>776371607</v>
      </c>
      <c r="G3895">
        <v>716763477</v>
      </c>
      <c r="H3895">
        <v>656702186</v>
      </c>
      <c r="I3895">
        <v>553341511</v>
      </c>
      <c r="J3895">
        <v>405020994</v>
      </c>
      <c r="K3895">
        <v>360811389</v>
      </c>
      <c r="L3895">
        <v>292212392</v>
      </c>
      <c r="M3895">
        <v>265295825</v>
      </c>
      <c r="N3895">
        <v>199304219</v>
      </c>
      <c r="O3895">
        <v>130213607</v>
      </c>
      <c r="P3895">
        <v>128</v>
      </c>
      <c r="Q3895" t="s">
        <v>8136</v>
      </c>
    </row>
    <row r="3896" spans="1:17" x14ac:dyDescent="0.3">
      <c r="A3896" t="s">
        <v>4729</v>
      </c>
      <c r="B3896" t="str">
        <f>"300096"</f>
        <v>300096</v>
      </c>
      <c r="C3896" t="s">
        <v>8137</v>
      </c>
      <c r="D3896" t="s">
        <v>316</v>
      </c>
      <c r="F3896">
        <v>253832894</v>
      </c>
      <c r="G3896">
        <v>265202981</v>
      </c>
      <c r="H3896">
        <v>514907457</v>
      </c>
      <c r="I3896">
        <v>739844880</v>
      </c>
      <c r="J3896">
        <v>683185951</v>
      </c>
      <c r="K3896">
        <v>642025407</v>
      </c>
      <c r="L3896">
        <v>206303365</v>
      </c>
      <c r="M3896">
        <v>232640575</v>
      </c>
      <c r="N3896">
        <v>191320770</v>
      </c>
      <c r="O3896">
        <v>187412020</v>
      </c>
      <c r="P3896">
        <v>169</v>
      </c>
      <c r="Q3896" t="s">
        <v>8138</v>
      </c>
    </row>
    <row r="3897" spans="1:17" x14ac:dyDescent="0.3">
      <c r="A3897" t="s">
        <v>4729</v>
      </c>
      <c r="B3897" t="str">
        <f>"300097"</f>
        <v>300097</v>
      </c>
      <c r="C3897" t="s">
        <v>8139</v>
      </c>
      <c r="D3897" t="s">
        <v>3477</v>
      </c>
      <c r="F3897">
        <v>341232810</v>
      </c>
      <c r="G3897">
        <v>569122246</v>
      </c>
      <c r="H3897">
        <v>368165801</v>
      </c>
      <c r="I3897">
        <v>679884679</v>
      </c>
      <c r="J3897">
        <v>578545265</v>
      </c>
      <c r="K3897">
        <v>464025000</v>
      </c>
      <c r="L3897">
        <v>342251179</v>
      </c>
      <c r="M3897">
        <v>125240731</v>
      </c>
      <c r="N3897">
        <v>97379591</v>
      </c>
      <c r="O3897">
        <v>90209994</v>
      </c>
      <c r="P3897">
        <v>203</v>
      </c>
      <c r="Q3897" t="s">
        <v>8140</v>
      </c>
    </row>
    <row r="3898" spans="1:17" x14ac:dyDescent="0.3">
      <c r="A3898" t="s">
        <v>4729</v>
      </c>
      <c r="B3898" t="str">
        <f>"300098"</f>
        <v>300098</v>
      </c>
      <c r="C3898" t="s">
        <v>8141</v>
      </c>
      <c r="D3898" t="s">
        <v>945</v>
      </c>
      <c r="F3898">
        <v>1647019064</v>
      </c>
      <c r="G3898">
        <v>1667834386</v>
      </c>
      <c r="H3898">
        <v>1837690237</v>
      </c>
      <c r="I3898">
        <v>1732344400</v>
      </c>
      <c r="J3898">
        <v>1003101359</v>
      </c>
      <c r="K3898">
        <v>660751025</v>
      </c>
      <c r="L3898">
        <v>487636457</v>
      </c>
      <c r="M3898">
        <v>288426862</v>
      </c>
      <c r="N3898">
        <v>264810158</v>
      </c>
      <c r="O3898">
        <v>258306461</v>
      </c>
      <c r="P3898">
        <v>368</v>
      </c>
      <c r="Q3898" t="s">
        <v>8142</v>
      </c>
    </row>
    <row r="3899" spans="1:17" x14ac:dyDescent="0.3">
      <c r="A3899" t="s">
        <v>4729</v>
      </c>
      <c r="B3899" t="str">
        <f>"300099"</f>
        <v>300099</v>
      </c>
      <c r="C3899" t="s">
        <v>8143</v>
      </c>
      <c r="D3899" t="s">
        <v>395</v>
      </c>
      <c r="F3899">
        <v>372725961</v>
      </c>
      <c r="G3899">
        <v>230566075</v>
      </c>
      <c r="H3899">
        <v>206165351</v>
      </c>
      <c r="I3899">
        <v>323326530</v>
      </c>
      <c r="J3899">
        <v>326973206</v>
      </c>
      <c r="K3899">
        <v>244402498</v>
      </c>
      <c r="L3899">
        <v>243182272</v>
      </c>
      <c r="M3899">
        <v>236776431</v>
      </c>
      <c r="N3899">
        <v>166970680</v>
      </c>
      <c r="O3899">
        <v>136539600</v>
      </c>
      <c r="P3899">
        <v>134</v>
      </c>
      <c r="Q3899" t="s">
        <v>8144</v>
      </c>
    </row>
    <row r="3900" spans="1:17" x14ac:dyDescent="0.3">
      <c r="A3900" t="s">
        <v>4729</v>
      </c>
      <c r="B3900" t="str">
        <f>"300100"</f>
        <v>300100</v>
      </c>
      <c r="C3900" t="s">
        <v>8145</v>
      </c>
      <c r="D3900" t="s">
        <v>191</v>
      </c>
      <c r="F3900">
        <v>867384816</v>
      </c>
      <c r="G3900">
        <v>929970817</v>
      </c>
      <c r="H3900">
        <v>831498247</v>
      </c>
      <c r="I3900">
        <v>918801272</v>
      </c>
      <c r="J3900">
        <v>987240077</v>
      </c>
      <c r="K3900">
        <v>1002916244</v>
      </c>
      <c r="L3900">
        <v>599640089</v>
      </c>
      <c r="M3900">
        <v>546429889</v>
      </c>
      <c r="N3900">
        <v>351924307</v>
      </c>
      <c r="O3900">
        <v>257873498</v>
      </c>
      <c r="P3900">
        <v>129</v>
      </c>
      <c r="Q3900" t="s">
        <v>8146</v>
      </c>
    </row>
    <row r="3901" spans="1:17" x14ac:dyDescent="0.3">
      <c r="A3901" t="s">
        <v>4729</v>
      </c>
      <c r="B3901" t="str">
        <f>"300101"</f>
        <v>300101</v>
      </c>
      <c r="C3901" t="s">
        <v>8147</v>
      </c>
      <c r="D3901" t="s">
        <v>1136</v>
      </c>
      <c r="F3901">
        <v>509671201</v>
      </c>
      <c r="G3901">
        <v>445891581</v>
      </c>
      <c r="H3901">
        <v>428311338</v>
      </c>
      <c r="I3901">
        <v>337538823</v>
      </c>
      <c r="J3901">
        <v>367155826</v>
      </c>
      <c r="K3901">
        <v>276103817</v>
      </c>
      <c r="L3901">
        <v>175357276</v>
      </c>
      <c r="M3901">
        <v>128974244</v>
      </c>
      <c r="N3901">
        <v>159533636</v>
      </c>
      <c r="O3901">
        <v>123836304</v>
      </c>
      <c r="P3901">
        <v>3120</v>
      </c>
      <c r="Q3901" t="s">
        <v>8148</v>
      </c>
    </row>
    <row r="3902" spans="1:17" x14ac:dyDescent="0.3">
      <c r="A3902" t="s">
        <v>4729</v>
      </c>
      <c r="B3902" t="str">
        <f>"300102"</f>
        <v>300102</v>
      </c>
      <c r="C3902" t="s">
        <v>8149</v>
      </c>
      <c r="D3902" t="s">
        <v>803</v>
      </c>
      <c r="F3902">
        <v>695483438</v>
      </c>
      <c r="G3902">
        <v>774224228</v>
      </c>
      <c r="H3902">
        <v>695330961</v>
      </c>
      <c r="I3902">
        <v>563010054</v>
      </c>
      <c r="J3902">
        <v>535170882</v>
      </c>
      <c r="K3902">
        <v>607409469</v>
      </c>
      <c r="L3902">
        <v>365686756</v>
      </c>
      <c r="M3902">
        <v>291080112</v>
      </c>
      <c r="N3902">
        <v>345194542</v>
      </c>
      <c r="O3902">
        <v>269434848</v>
      </c>
      <c r="P3902">
        <v>158</v>
      </c>
      <c r="Q3902" t="s">
        <v>8150</v>
      </c>
    </row>
    <row r="3903" spans="1:17" x14ac:dyDescent="0.3">
      <c r="A3903" t="s">
        <v>4729</v>
      </c>
      <c r="B3903" t="str">
        <f>"300103"</f>
        <v>300103</v>
      </c>
      <c r="C3903" t="s">
        <v>8151</v>
      </c>
      <c r="D3903" t="s">
        <v>741</v>
      </c>
      <c r="F3903">
        <v>225798742</v>
      </c>
      <c r="G3903">
        <v>183900645</v>
      </c>
      <c r="H3903">
        <v>116796455</v>
      </c>
      <c r="I3903">
        <v>114270769</v>
      </c>
      <c r="J3903">
        <v>93031462</v>
      </c>
      <c r="K3903">
        <v>82413999</v>
      </c>
      <c r="L3903">
        <v>89991124</v>
      </c>
      <c r="M3903">
        <v>121810169</v>
      </c>
      <c r="N3903">
        <v>166579937</v>
      </c>
      <c r="O3903">
        <v>59431089</v>
      </c>
      <c r="P3903">
        <v>53</v>
      </c>
      <c r="Q3903" t="s">
        <v>8152</v>
      </c>
    </row>
    <row r="3904" spans="1:17" x14ac:dyDescent="0.3">
      <c r="A3904" t="s">
        <v>4729</v>
      </c>
      <c r="B3904" t="str">
        <f>"300104"</f>
        <v>300104</v>
      </c>
      <c r="C3904" t="s">
        <v>8153</v>
      </c>
      <c r="H3904">
        <v>382369005</v>
      </c>
      <c r="I3904">
        <v>1102424978</v>
      </c>
      <c r="J3904">
        <v>3614408001</v>
      </c>
      <c r="K3904">
        <v>8685855148</v>
      </c>
      <c r="L3904">
        <v>3359683070.3400002</v>
      </c>
      <c r="M3904">
        <v>1892606343.05</v>
      </c>
      <c r="N3904">
        <v>950248021.05999994</v>
      </c>
      <c r="O3904">
        <v>370951795.99000001</v>
      </c>
      <c r="P3904">
        <v>205</v>
      </c>
      <c r="Q3904" t="s">
        <v>8154</v>
      </c>
    </row>
    <row r="3905" spans="1:17" x14ac:dyDescent="0.3">
      <c r="A3905" t="s">
        <v>4729</v>
      </c>
      <c r="B3905" t="str">
        <f>"300105"</f>
        <v>300105</v>
      </c>
      <c r="C3905" t="s">
        <v>8155</v>
      </c>
      <c r="D3905" t="s">
        <v>470</v>
      </c>
      <c r="F3905">
        <v>340929632</v>
      </c>
      <c r="G3905">
        <v>328960058</v>
      </c>
      <c r="H3905">
        <v>358976598</v>
      </c>
      <c r="I3905">
        <v>405708361</v>
      </c>
      <c r="J3905">
        <v>498494974</v>
      </c>
      <c r="K3905">
        <v>672631773</v>
      </c>
      <c r="L3905">
        <v>1018821723</v>
      </c>
      <c r="M3905">
        <v>1092168526</v>
      </c>
      <c r="N3905">
        <v>824679205</v>
      </c>
      <c r="O3905">
        <v>670921987</v>
      </c>
      <c r="P3905">
        <v>56</v>
      </c>
      <c r="Q3905" t="s">
        <v>8156</v>
      </c>
    </row>
    <row r="3906" spans="1:17" x14ac:dyDescent="0.3">
      <c r="A3906" t="s">
        <v>4729</v>
      </c>
      <c r="B3906" t="str">
        <f>"300106"</f>
        <v>300106</v>
      </c>
      <c r="C3906" t="s">
        <v>8157</v>
      </c>
      <c r="D3906" t="s">
        <v>900</v>
      </c>
      <c r="F3906">
        <v>77151713</v>
      </c>
      <c r="G3906">
        <v>56051148</v>
      </c>
      <c r="H3906">
        <v>93283471</v>
      </c>
      <c r="I3906">
        <v>76899395</v>
      </c>
      <c r="J3906">
        <v>122347358</v>
      </c>
      <c r="K3906">
        <v>94337374</v>
      </c>
      <c r="L3906">
        <v>63231444</v>
      </c>
      <c r="M3906">
        <v>177467935</v>
      </c>
      <c r="N3906">
        <v>45854215</v>
      </c>
      <c r="O3906">
        <v>51312113</v>
      </c>
      <c r="P3906">
        <v>124</v>
      </c>
      <c r="Q3906" t="s">
        <v>8158</v>
      </c>
    </row>
    <row r="3907" spans="1:17" x14ac:dyDescent="0.3">
      <c r="A3907" t="s">
        <v>4729</v>
      </c>
      <c r="B3907" t="str">
        <f>"300107"</f>
        <v>300107</v>
      </c>
      <c r="C3907" t="s">
        <v>8159</v>
      </c>
      <c r="D3907" t="s">
        <v>779</v>
      </c>
      <c r="F3907">
        <v>97844657</v>
      </c>
      <c r="G3907">
        <v>52736113</v>
      </c>
      <c r="H3907">
        <v>80366543</v>
      </c>
      <c r="I3907">
        <v>161955377</v>
      </c>
      <c r="J3907">
        <v>66459104</v>
      </c>
      <c r="K3907">
        <v>40760953</v>
      </c>
      <c r="L3907">
        <v>59701661</v>
      </c>
      <c r="M3907">
        <v>54669754</v>
      </c>
      <c r="N3907">
        <v>51556970</v>
      </c>
      <c r="O3907">
        <v>41454678</v>
      </c>
      <c r="P3907">
        <v>239</v>
      </c>
      <c r="Q3907" t="s">
        <v>8160</v>
      </c>
    </row>
    <row r="3908" spans="1:17" x14ac:dyDescent="0.3">
      <c r="A3908" t="s">
        <v>4729</v>
      </c>
      <c r="B3908" t="str">
        <f>"300108"</f>
        <v>300108</v>
      </c>
      <c r="C3908" t="s">
        <v>8161</v>
      </c>
      <c r="D3908" t="s">
        <v>188</v>
      </c>
      <c r="G3908">
        <v>356718306</v>
      </c>
      <c r="H3908">
        <v>570653275</v>
      </c>
      <c r="I3908">
        <v>704797024</v>
      </c>
      <c r="J3908">
        <v>457093577</v>
      </c>
      <c r="K3908">
        <v>394760979</v>
      </c>
      <c r="L3908">
        <v>231754323</v>
      </c>
      <c r="M3908">
        <v>236917021</v>
      </c>
      <c r="N3908">
        <v>65212211</v>
      </c>
      <c r="O3908">
        <v>41037711</v>
      </c>
      <c r="P3908">
        <v>121</v>
      </c>
      <c r="Q3908" t="s">
        <v>8162</v>
      </c>
    </row>
    <row r="3909" spans="1:17" x14ac:dyDescent="0.3">
      <c r="A3909" t="s">
        <v>4729</v>
      </c>
      <c r="B3909" t="str">
        <f>"300109"</f>
        <v>300109</v>
      </c>
      <c r="C3909" t="s">
        <v>8163</v>
      </c>
      <c r="D3909" t="s">
        <v>386</v>
      </c>
      <c r="F3909">
        <v>288877080</v>
      </c>
      <c r="G3909">
        <v>308153306</v>
      </c>
      <c r="H3909">
        <v>296207838</v>
      </c>
      <c r="I3909">
        <v>185983287</v>
      </c>
      <c r="J3909">
        <v>103364193</v>
      </c>
      <c r="K3909">
        <v>76315080</v>
      </c>
      <c r="L3909">
        <v>64456142</v>
      </c>
      <c r="M3909">
        <v>28340680</v>
      </c>
      <c r="N3909">
        <v>26090250</v>
      </c>
      <c r="O3909">
        <v>22333855</v>
      </c>
      <c r="P3909">
        <v>122</v>
      </c>
      <c r="Q3909" t="s">
        <v>8164</v>
      </c>
    </row>
    <row r="3910" spans="1:17" x14ac:dyDescent="0.3">
      <c r="A3910" t="s">
        <v>4729</v>
      </c>
      <c r="B3910" t="str">
        <f>"300110"</f>
        <v>300110</v>
      </c>
      <c r="C3910" t="s">
        <v>8165</v>
      </c>
      <c r="D3910" t="s">
        <v>143</v>
      </c>
      <c r="F3910">
        <v>802986279</v>
      </c>
      <c r="G3910">
        <v>862712538</v>
      </c>
      <c r="H3910">
        <v>549392967</v>
      </c>
      <c r="I3910">
        <v>583471570</v>
      </c>
      <c r="J3910">
        <v>625240604</v>
      </c>
      <c r="K3910">
        <v>601635524</v>
      </c>
      <c r="L3910">
        <v>593995545</v>
      </c>
      <c r="M3910">
        <v>492613630</v>
      </c>
      <c r="N3910">
        <v>402086689</v>
      </c>
      <c r="O3910">
        <v>248945789</v>
      </c>
      <c r="P3910">
        <v>126</v>
      </c>
      <c r="Q3910" t="s">
        <v>8166</v>
      </c>
    </row>
    <row r="3911" spans="1:17" x14ac:dyDescent="0.3">
      <c r="A3911" t="s">
        <v>4729</v>
      </c>
      <c r="B3911" t="str">
        <f>"300111"</f>
        <v>300111</v>
      </c>
      <c r="C3911" t="s">
        <v>8167</v>
      </c>
      <c r="D3911" t="s">
        <v>356</v>
      </c>
      <c r="F3911">
        <v>93618541</v>
      </c>
      <c r="G3911">
        <v>64913745</v>
      </c>
      <c r="H3911">
        <v>73262066</v>
      </c>
      <c r="I3911">
        <v>242376085</v>
      </c>
      <c r="J3911">
        <v>431941280</v>
      </c>
      <c r="K3911">
        <v>501590357</v>
      </c>
      <c r="L3911">
        <v>764790589</v>
      </c>
      <c r="M3911">
        <v>526616346</v>
      </c>
      <c r="N3911">
        <v>184240606</v>
      </c>
      <c r="O3911">
        <v>189866349</v>
      </c>
      <c r="P3911">
        <v>124</v>
      </c>
      <c r="Q3911" t="s">
        <v>8168</v>
      </c>
    </row>
    <row r="3912" spans="1:17" x14ac:dyDescent="0.3">
      <c r="A3912" t="s">
        <v>4729</v>
      </c>
      <c r="B3912" t="str">
        <f>"300112"</f>
        <v>300112</v>
      </c>
      <c r="C3912" t="s">
        <v>8169</v>
      </c>
      <c r="D3912" t="s">
        <v>2566</v>
      </c>
      <c r="F3912">
        <v>242592685</v>
      </c>
      <c r="G3912">
        <v>222986702</v>
      </c>
      <c r="H3912">
        <v>219650012</v>
      </c>
      <c r="I3912">
        <v>193464702</v>
      </c>
      <c r="J3912">
        <v>196439954</v>
      </c>
      <c r="K3912">
        <v>167854111</v>
      </c>
      <c r="L3912">
        <v>166495362</v>
      </c>
      <c r="M3912">
        <v>79572379</v>
      </c>
      <c r="N3912">
        <v>82293223</v>
      </c>
      <c r="O3912">
        <v>76263285</v>
      </c>
      <c r="P3912">
        <v>123</v>
      </c>
      <c r="Q3912" t="s">
        <v>8170</v>
      </c>
    </row>
    <row r="3913" spans="1:17" x14ac:dyDescent="0.3">
      <c r="A3913" t="s">
        <v>4729</v>
      </c>
      <c r="B3913" t="str">
        <f>"300113"</f>
        <v>300113</v>
      </c>
      <c r="C3913" t="s">
        <v>8171</v>
      </c>
      <c r="D3913" t="s">
        <v>517</v>
      </c>
      <c r="F3913">
        <v>89137865</v>
      </c>
      <c r="G3913">
        <v>88518870</v>
      </c>
      <c r="H3913">
        <v>171709290</v>
      </c>
      <c r="I3913">
        <v>180208499</v>
      </c>
      <c r="J3913">
        <v>240318843</v>
      </c>
      <c r="K3913">
        <v>189970467</v>
      </c>
      <c r="L3913">
        <v>152368217</v>
      </c>
      <c r="M3913">
        <v>132897806</v>
      </c>
      <c r="N3913">
        <v>126348588</v>
      </c>
      <c r="O3913">
        <v>84473496</v>
      </c>
      <c r="P3913">
        <v>481</v>
      </c>
      <c r="Q3913" t="s">
        <v>8172</v>
      </c>
    </row>
    <row r="3914" spans="1:17" x14ac:dyDescent="0.3">
      <c r="A3914" t="s">
        <v>4729</v>
      </c>
      <c r="B3914" t="str">
        <f>"300114"</f>
        <v>300114</v>
      </c>
      <c r="C3914" t="s">
        <v>8173</v>
      </c>
      <c r="D3914" t="s">
        <v>1136</v>
      </c>
      <c r="F3914">
        <v>756728557</v>
      </c>
      <c r="G3914">
        <v>576338393</v>
      </c>
      <c r="H3914">
        <v>475852777</v>
      </c>
      <c r="I3914">
        <v>458478293</v>
      </c>
      <c r="J3914">
        <v>347768036</v>
      </c>
      <c r="K3914">
        <v>277888984</v>
      </c>
      <c r="L3914">
        <v>351745260</v>
      </c>
      <c r="M3914">
        <v>277253462</v>
      </c>
      <c r="N3914">
        <v>179045608</v>
      </c>
      <c r="O3914">
        <v>150339920</v>
      </c>
      <c r="P3914">
        <v>258</v>
      </c>
      <c r="Q3914" t="s">
        <v>8174</v>
      </c>
    </row>
    <row r="3915" spans="1:17" x14ac:dyDescent="0.3">
      <c r="A3915" t="s">
        <v>4729</v>
      </c>
      <c r="B3915" t="str">
        <f>"300115"</f>
        <v>300115</v>
      </c>
      <c r="C3915" t="s">
        <v>8175</v>
      </c>
      <c r="D3915" t="s">
        <v>313</v>
      </c>
      <c r="F3915">
        <v>2723254059</v>
      </c>
      <c r="G3915">
        <v>2260415396</v>
      </c>
      <c r="H3915">
        <v>1654087423</v>
      </c>
      <c r="I3915">
        <v>1492956372</v>
      </c>
      <c r="J3915">
        <v>1619858158</v>
      </c>
      <c r="K3915">
        <v>1282655518</v>
      </c>
      <c r="L3915">
        <v>943390550</v>
      </c>
      <c r="M3915">
        <v>776288604</v>
      </c>
      <c r="N3915">
        <v>379935994</v>
      </c>
      <c r="O3915">
        <v>297579569</v>
      </c>
      <c r="P3915">
        <v>870</v>
      </c>
      <c r="Q3915" t="s">
        <v>8176</v>
      </c>
    </row>
    <row r="3916" spans="1:17" x14ac:dyDescent="0.3">
      <c r="A3916" t="s">
        <v>4729</v>
      </c>
      <c r="B3916" t="str">
        <f>"300116"</f>
        <v>300116</v>
      </c>
      <c r="C3916" t="s">
        <v>8177</v>
      </c>
      <c r="D3916" t="s">
        <v>359</v>
      </c>
      <c r="F3916">
        <v>109197810</v>
      </c>
      <c r="G3916">
        <v>150372952</v>
      </c>
      <c r="H3916">
        <v>83517870</v>
      </c>
      <c r="I3916">
        <v>8911451791</v>
      </c>
      <c r="J3916">
        <v>8438078528</v>
      </c>
      <c r="K3916">
        <v>4983481799</v>
      </c>
      <c r="L3916">
        <v>342051578</v>
      </c>
      <c r="M3916">
        <v>277828417</v>
      </c>
      <c r="N3916">
        <v>208097446</v>
      </c>
      <c r="O3916">
        <v>137967905</v>
      </c>
      <c r="P3916">
        <v>173</v>
      </c>
      <c r="Q3916" t="s">
        <v>8178</v>
      </c>
    </row>
    <row r="3917" spans="1:17" x14ac:dyDescent="0.3">
      <c r="A3917" t="s">
        <v>4729</v>
      </c>
      <c r="B3917" t="str">
        <f>"300117"</f>
        <v>300117</v>
      </c>
      <c r="C3917" t="s">
        <v>8179</v>
      </c>
      <c r="D3917" t="s">
        <v>1992</v>
      </c>
      <c r="F3917">
        <v>1108111365</v>
      </c>
      <c r="G3917">
        <v>1010255001</v>
      </c>
      <c r="H3917">
        <v>1627202319</v>
      </c>
      <c r="I3917">
        <v>1566699488</v>
      </c>
      <c r="J3917">
        <v>1026719955</v>
      </c>
      <c r="K3917">
        <v>687714983</v>
      </c>
      <c r="L3917">
        <v>711486951</v>
      </c>
      <c r="M3917">
        <v>578695539</v>
      </c>
      <c r="N3917">
        <v>434922503</v>
      </c>
      <c r="O3917">
        <v>357610828</v>
      </c>
      <c r="P3917">
        <v>179</v>
      </c>
      <c r="Q3917" t="s">
        <v>8180</v>
      </c>
    </row>
    <row r="3918" spans="1:17" x14ac:dyDescent="0.3">
      <c r="A3918" t="s">
        <v>4729</v>
      </c>
      <c r="B3918" t="str">
        <f>"300118"</f>
        <v>300118</v>
      </c>
      <c r="C3918" t="s">
        <v>8181</v>
      </c>
      <c r="D3918" t="s">
        <v>356</v>
      </c>
      <c r="F3918">
        <v>2611246098</v>
      </c>
      <c r="G3918">
        <v>3726828438</v>
      </c>
      <c r="H3918">
        <v>3083648532</v>
      </c>
      <c r="I3918">
        <v>3781100479</v>
      </c>
      <c r="J3918">
        <v>2695938609</v>
      </c>
      <c r="K3918">
        <v>2558019522</v>
      </c>
      <c r="L3918">
        <v>2363937757</v>
      </c>
      <c r="M3918">
        <v>1791212014</v>
      </c>
      <c r="N3918">
        <v>788723001</v>
      </c>
      <c r="O3918">
        <v>588799877</v>
      </c>
      <c r="P3918">
        <v>443</v>
      </c>
      <c r="Q3918" t="s">
        <v>8182</v>
      </c>
    </row>
    <row r="3919" spans="1:17" x14ac:dyDescent="0.3">
      <c r="A3919" t="s">
        <v>4729</v>
      </c>
      <c r="B3919" t="str">
        <f>"300119"</f>
        <v>300119</v>
      </c>
      <c r="C3919" t="s">
        <v>8183</v>
      </c>
      <c r="D3919" t="s">
        <v>453</v>
      </c>
      <c r="F3919">
        <v>572868890</v>
      </c>
      <c r="G3919">
        <v>442975075</v>
      </c>
      <c r="H3919">
        <v>347915516</v>
      </c>
      <c r="I3919">
        <v>381073580</v>
      </c>
      <c r="J3919">
        <v>343659699</v>
      </c>
      <c r="K3919">
        <v>308209380</v>
      </c>
      <c r="L3919">
        <v>295692455</v>
      </c>
      <c r="M3919">
        <v>271204854</v>
      </c>
      <c r="N3919">
        <v>325063203</v>
      </c>
      <c r="O3919">
        <v>192549413</v>
      </c>
      <c r="P3919">
        <v>388</v>
      </c>
      <c r="Q3919" t="s">
        <v>8184</v>
      </c>
    </row>
    <row r="3920" spans="1:17" x14ac:dyDescent="0.3">
      <c r="A3920" t="s">
        <v>4729</v>
      </c>
      <c r="B3920" t="str">
        <f>"300120"</f>
        <v>300120</v>
      </c>
      <c r="C3920" t="s">
        <v>8185</v>
      </c>
      <c r="D3920" t="s">
        <v>1117</v>
      </c>
      <c r="F3920">
        <v>764609139</v>
      </c>
      <c r="G3920">
        <v>768951205</v>
      </c>
      <c r="H3920">
        <v>617024934</v>
      </c>
      <c r="I3920">
        <v>627994858</v>
      </c>
      <c r="J3920">
        <v>565926942</v>
      </c>
      <c r="K3920">
        <v>138505040</v>
      </c>
      <c r="L3920">
        <v>84266292</v>
      </c>
      <c r="M3920">
        <v>99774868</v>
      </c>
      <c r="N3920">
        <v>112496996</v>
      </c>
      <c r="O3920">
        <v>83748965</v>
      </c>
      <c r="P3920">
        <v>105</v>
      </c>
      <c r="Q3920" t="s">
        <v>8186</v>
      </c>
    </row>
    <row r="3921" spans="1:17" x14ac:dyDescent="0.3">
      <c r="A3921" t="s">
        <v>4729</v>
      </c>
      <c r="B3921" t="str">
        <f>"300121"</f>
        <v>300121</v>
      </c>
      <c r="C3921" t="s">
        <v>8187</v>
      </c>
      <c r="D3921" t="s">
        <v>3128</v>
      </c>
      <c r="F3921">
        <v>741363125</v>
      </c>
      <c r="G3921">
        <v>560309435</v>
      </c>
      <c r="H3921">
        <v>498258594</v>
      </c>
      <c r="I3921">
        <v>521684121</v>
      </c>
      <c r="J3921">
        <v>436415734</v>
      </c>
      <c r="K3921">
        <v>389262262</v>
      </c>
      <c r="L3921">
        <v>289186971</v>
      </c>
      <c r="M3921">
        <v>220869360</v>
      </c>
      <c r="N3921">
        <v>202385635</v>
      </c>
      <c r="O3921">
        <v>104437210</v>
      </c>
      <c r="P3921">
        <v>353</v>
      </c>
      <c r="Q3921" t="s">
        <v>8188</v>
      </c>
    </row>
    <row r="3922" spans="1:17" x14ac:dyDescent="0.3">
      <c r="A3922" t="s">
        <v>4729</v>
      </c>
      <c r="B3922" t="str">
        <f>"300122"</f>
        <v>300122</v>
      </c>
      <c r="C3922" t="s">
        <v>8189</v>
      </c>
      <c r="D3922" t="s">
        <v>1499</v>
      </c>
      <c r="F3922">
        <v>12867543958</v>
      </c>
      <c r="G3922">
        <v>6624170327</v>
      </c>
      <c r="H3922">
        <v>4436930947</v>
      </c>
      <c r="I3922">
        <v>1975573196</v>
      </c>
      <c r="J3922">
        <v>700636144</v>
      </c>
      <c r="K3922">
        <v>299694416</v>
      </c>
      <c r="L3922">
        <v>314734529</v>
      </c>
      <c r="M3922">
        <v>312638237</v>
      </c>
      <c r="N3922">
        <v>298938006</v>
      </c>
      <c r="O3922">
        <v>303371265</v>
      </c>
      <c r="P3922">
        <v>3426</v>
      </c>
      <c r="Q3922" t="s">
        <v>8190</v>
      </c>
    </row>
    <row r="3923" spans="1:17" x14ac:dyDescent="0.3">
      <c r="A3923" t="s">
        <v>4729</v>
      </c>
      <c r="B3923" t="str">
        <f>"300123"</f>
        <v>300123</v>
      </c>
      <c r="C3923" t="s">
        <v>8191</v>
      </c>
      <c r="D3923" t="s">
        <v>1136</v>
      </c>
      <c r="F3923">
        <v>1288818570</v>
      </c>
      <c r="G3923">
        <v>1205252411</v>
      </c>
      <c r="H3923">
        <v>1228251992</v>
      </c>
      <c r="I3923">
        <v>1074492683</v>
      </c>
      <c r="J3923">
        <v>984734158</v>
      </c>
      <c r="K3923">
        <v>176007087</v>
      </c>
      <c r="L3923">
        <v>121414445</v>
      </c>
      <c r="M3923">
        <v>105763627</v>
      </c>
      <c r="N3923">
        <v>145317102</v>
      </c>
      <c r="O3923">
        <v>74660901</v>
      </c>
      <c r="P3923">
        <v>232</v>
      </c>
      <c r="Q3923" t="s">
        <v>8192</v>
      </c>
    </row>
    <row r="3924" spans="1:17" x14ac:dyDescent="0.3">
      <c r="A3924" t="s">
        <v>4729</v>
      </c>
      <c r="B3924" t="str">
        <f>"300124"</f>
        <v>300124</v>
      </c>
      <c r="C3924" t="s">
        <v>8193</v>
      </c>
      <c r="D3924" t="s">
        <v>2432</v>
      </c>
      <c r="F3924">
        <v>4390581274</v>
      </c>
      <c r="G3924">
        <v>2999301526</v>
      </c>
      <c r="H3924">
        <v>2432301599</v>
      </c>
      <c r="I3924">
        <v>1969242531</v>
      </c>
      <c r="J3924">
        <v>1419109901</v>
      </c>
      <c r="K3924">
        <v>1130722742</v>
      </c>
      <c r="L3924">
        <v>781530445</v>
      </c>
      <c r="M3924">
        <v>489441235</v>
      </c>
      <c r="N3924">
        <v>354934969</v>
      </c>
      <c r="O3924">
        <v>195351286</v>
      </c>
      <c r="P3924">
        <v>2412</v>
      </c>
      <c r="Q3924" t="s">
        <v>8194</v>
      </c>
    </row>
    <row r="3925" spans="1:17" x14ac:dyDescent="0.3">
      <c r="A3925" t="s">
        <v>4729</v>
      </c>
      <c r="B3925" t="str">
        <f>"300125"</f>
        <v>300125</v>
      </c>
      <c r="C3925" t="s">
        <v>8195</v>
      </c>
      <c r="D3925" t="s">
        <v>86</v>
      </c>
      <c r="F3925">
        <v>180595041</v>
      </c>
      <c r="G3925">
        <v>218688827</v>
      </c>
      <c r="H3925">
        <v>152180628</v>
      </c>
      <c r="I3925">
        <v>168125487</v>
      </c>
      <c r="J3925">
        <v>104310318</v>
      </c>
      <c r="K3925">
        <v>88964294</v>
      </c>
      <c r="L3925">
        <v>117876085</v>
      </c>
      <c r="M3925">
        <v>97945066</v>
      </c>
      <c r="N3925">
        <v>163218717</v>
      </c>
      <c r="O3925">
        <v>170619361</v>
      </c>
      <c r="P3925">
        <v>59</v>
      </c>
      <c r="Q3925" t="s">
        <v>8196</v>
      </c>
    </row>
    <row r="3926" spans="1:17" x14ac:dyDescent="0.3">
      <c r="A3926" t="s">
        <v>4729</v>
      </c>
      <c r="B3926" t="str">
        <f>"300126"</f>
        <v>300126</v>
      </c>
      <c r="C3926" t="s">
        <v>8197</v>
      </c>
      <c r="D3926" t="s">
        <v>560</v>
      </c>
      <c r="F3926">
        <v>75704877</v>
      </c>
      <c r="G3926">
        <v>61884174</v>
      </c>
      <c r="H3926">
        <v>58085623</v>
      </c>
      <c r="I3926">
        <v>83365700</v>
      </c>
      <c r="J3926">
        <v>167204900</v>
      </c>
      <c r="K3926">
        <v>194289751</v>
      </c>
      <c r="L3926">
        <v>261222286</v>
      </c>
      <c r="M3926">
        <v>167312224</v>
      </c>
      <c r="N3926">
        <v>105907842</v>
      </c>
      <c r="O3926">
        <v>101614795</v>
      </c>
      <c r="P3926">
        <v>50</v>
      </c>
      <c r="Q3926" t="s">
        <v>8198</v>
      </c>
    </row>
    <row r="3927" spans="1:17" x14ac:dyDescent="0.3">
      <c r="A3927" t="s">
        <v>4729</v>
      </c>
      <c r="B3927" t="str">
        <f>"300127"</f>
        <v>300127</v>
      </c>
      <c r="C3927" t="s">
        <v>8199</v>
      </c>
      <c r="D3927" t="s">
        <v>808</v>
      </c>
      <c r="F3927">
        <v>235413436</v>
      </c>
      <c r="G3927">
        <v>168955713</v>
      </c>
      <c r="H3927">
        <v>167884961</v>
      </c>
      <c r="I3927">
        <v>170070504</v>
      </c>
      <c r="J3927">
        <v>147150281</v>
      </c>
      <c r="K3927">
        <v>126924075</v>
      </c>
      <c r="L3927">
        <v>111713532</v>
      </c>
      <c r="M3927">
        <v>100990443</v>
      </c>
      <c r="N3927">
        <v>103519431</v>
      </c>
      <c r="O3927">
        <v>116165372</v>
      </c>
      <c r="P3927">
        <v>205</v>
      </c>
      <c r="Q3927" t="s">
        <v>8200</v>
      </c>
    </row>
    <row r="3928" spans="1:17" x14ac:dyDescent="0.3">
      <c r="A3928" t="s">
        <v>4729</v>
      </c>
      <c r="B3928" t="str">
        <f>"300128"</f>
        <v>300128</v>
      </c>
      <c r="C3928" t="s">
        <v>8201</v>
      </c>
      <c r="D3928" t="s">
        <v>1117</v>
      </c>
      <c r="F3928">
        <v>401209894</v>
      </c>
      <c r="G3928">
        <v>441836326</v>
      </c>
      <c r="H3928">
        <v>447231168</v>
      </c>
      <c r="I3928">
        <v>533149447</v>
      </c>
      <c r="J3928">
        <v>746431022</v>
      </c>
      <c r="K3928">
        <v>780767931</v>
      </c>
      <c r="L3928">
        <v>659737902</v>
      </c>
      <c r="M3928">
        <v>816412070</v>
      </c>
      <c r="N3928">
        <v>594923648</v>
      </c>
      <c r="O3928">
        <v>659348728</v>
      </c>
      <c r="P3928">
        <v>145</v>
      </c>
      <c r="Q3928" t="s">
        <v>8202</v>
      </c>
    </row>
    <row r="3929" spans="1:17" x14ac:dyDescent="0.3">
      <c r="A3929" t="s">
        <v>4729</v>
      </c>
      <c r="B3929" t="str">
        <f>"300129"</f>
        <v>300129</v>
      </c>
      <c r="C3929" t="s">
        <v>8203</v>
      </c>
      <c r="D3929" t="s">
        <v>950</v>
      </c>
      <c r="F3929">
        <v>1953152374</v>
      </c>
      <c r="G3929">
        <v>1363896625</v>
      </c>
      <c r="H3929">
        <v>803726440</v>
      </c>
      <c r="I3929">
        <v>667223759</v>
      </c>
      <c r="J3929">
        <v>672663484</v>
      </c>
      <c r="K3929">
        <v>725366324</v>
      </c>
      <c r="L3929">
        <v>715371134</v>
      </c>
      <c r="M3929">
        <v>427496729</v>
      </c>
      <c r="N3929">
        <v>372103225</v>
      </c>
      <c r="O3929">
        <v>286063870</v>
      </c>
      <c r="P3929">
        <v>183</v>
      </c>
      <c r="Q3929" t="s">
        <v>8204</v>
      </c>
    </row>
    <row r="3930" spans="1:17" x14ac:dyDescent="0.3">
      <c r="A3930" t="s">
        <v>4729</v>
      </c>
      <c r="B3930" t="str">
        <f>"300130"</f>
        <v>300130</v>
      </c>
      <c r="C3930" t="s">
        <v>8205</v>
      </c>
      <c r="D3930" t="s">
        <v>236</v>
      </c>
      <c r="F3930">
        <v>463512868</v>
      </c>
      <c r="G3930">
        <v>403108280</v>
      </c>
      <c r="H3930">
        <v>471423151</v>
      </c>
      <c r="I3930">
        <v>332465987</v>
      </c>
      <c r="J3930">
        <v>424972668</v>
      </c>
      <c r="K3930">
        <v>276804933</v>
      </c>
      <c r="L3930">
        <v>358297455</v>
      </c>
      <c r="M3930">
        <v>299105960</v>
      </c>
      <c r="N3930">
        <v>182477851</v>
      </c>
      <c r="O3930">
        <v>196696957</v>
      </c>
      <c r="P3930">
        <v>202</v>
      </c>
      <c r="Q3930" t="s">
        <v>8206</v>
      </c>
    </row>
    <row r="3931" spans="1:17" x14ac:dyDescent="0.3">
      <c r="A3931" t="s">
        <v>4729</v>
      </c>
      <c r="B3931" t="str">
        <f>"300131"</f>
        <v>300131</v>
      </c>
      <c r="C3931" t="s">
        <v>8207</v>
      </c>
      <c r="D3931" t="s">
        <v>313</v>
      </c>
      <c r="F3931">
        <v>848942010</v>
      </c>
      <c r="G3931">
        <v>867686750</v>
      </c>
      <c r="H3931">
        <v>1682648618</v>
      </c>
      <c r="I3931">
        <v>2463132408</v>
      </c>
      <c r="J3931">
        <v>1613052020</v>
      </c>
      <c r="K3931">
        <v>1123180801</v>
      </c>
      <c r="L3931">
        <v>643367998</v>
      </c>
      <c r="M3931">
        <v>133982176</v>
      </c>
      <c r="N3931">
        <v>110990567</v>
      </c>
      <c r="O3931">
        <v>104261697</v>
      </c>
      <c r="P3931">
        <v>207</v>
      </c>
      <c r="Q3931" t="s">
        <v>8208</v>
      </c>
    </row>
    <row r="3932" spans="1:17" x14ac:dyDescent="0.3">
      <c r="A3932" t="s">
        <v>4729</v>
      </c>
      <c r="B3932" t="str">
        <f>"300132"</f>
        <v>300132</v>
      </c>
      <c r="C3932" t="s">
        <v>8209</v>
      </c>
      <c r="D3932" t="s">
        <v>5979</v>
      </c>
      <c r="F3932">
        <v>714566464</v>
      </c>
      <c r="G3932">
        <v>671510638</v>
      </c>
      <c r="H3932">
        <v>679198310</v>
      </c>
      <c r="I3932">
        <v>179334601</v>
      </c>
      <c r="J3932">
        <v>67429335</v>
      </c>
      <c r="K3932">
        <v>66396970</v>
      </c>
      <c r="L3932">
        <v>67484268</v>
      </c>
      <c r="M3932">
        <v>140186570</v>
      </c>
      <c r="N3932">
        <v>72516917</v>
      </c>
      <c r="O3932">
        <v>48319749</v>
      </c>
      <c r="P3932">
        <v>399</v>
      </c>
      <c r="Q3932" t="s">
        <v>8210</v>
      </c>
    </row>
    <row r="3933" spans="1:17" x14ac:dyDescent="0.3">
      <c r="A3933" t="s">
        <v>4729</v>
      </c>
      <c r="B3933" t="str">
        <f>"300133"</f>
        <v>300133</v>
      </c>
      <c r="C3933" t="s">
        <v>8211</v>
      </c>
      <c r="D3933" t="s">
        <v>113</v>
      </c>
      <c r="F3933">
        <v>734056741</v>
      </c>
      <c r="G3933">
        <v>1279707335</v>
      </c>
      <c r="H3933">
        <v>2364878600</v>
      </c>
      <c r="I3933">
        <v>4248267151</v>
      </c>
      <c r="J3933">
        <v>4024869079</v>
      </c>
      <c r="K3933">
        <v>2874244273</v>
      </c>
      <c r="L3933">
        <v>1946448461</v>
      </c>
      <c r="M3933">
        <v>1138365095</v>
      </c>
      <c r="N3933">
        <v>528328420</v>
      </c>
      <c r="O3933">
        <v>334467329</v>
      </c>
      <c r="P3933">
        <v>349</v>
      </c>
      <c r="Q3933" t="s">
        <v>8212</v>
      </c>
    </row>
    <row r="3934" spans="1:17" x14ac:dyDescent="0.3">
      <c r="A3934" t="s">
        <v>4729</v>
      </c>
      <c r="B3934" t="str">
        <f>"300134"</f>
        <v>300134</v>
      </c>
      <c r="C3934" t="s">
        <v>8213</v>
      </c>
      <c r="D3934" t="s">
        <v>1019</v>
      </c>
      <c r="F3934">
        <v>668783418</v>
      </c>
      <c r="G3934">
        <v>660279939</v>
      </c>
      <c r="H3934">
        <v>637906196</v>
      </c>
      <c r="I3934">
        <v>587152629</v>
      </c>
      <c r="J3934">
        <v>542849390</v>
      </c>
      <c r="K3934">
        <v>676411574</v>
      </c>
      <c r="L3934">
        <v>573508342</v>
      </c>
      <c r="M3934">
        <v>558870765</v>
      </c>
      <c r="N3934">
        <v>642195703</v>
      </c>
      <c r="O3934">
        <v>527338192</v>
      </c>
      <c r="P3934">
        <v>342</v>
      </c>
      <c r="Q3934" t="s">
        <v>8214</v>
      </c>
    </row>
    <row r="3935" spans="1:17" x14ac:dyDescent="0.3">
      <c r="A3935" t="s">
        <v>4729</v>
      </c>
      <c r="B3935" t="str">
        <f>"300135"</f>
        <v>300135</v>
      </c>
      <c r="C3935" t="s">
        <v>8215</v>
      </c>
      <c r="D3935" t="s">
        <v>1617</v>
      </c>
      <c r="F3935">
        <v>397851604</v>
      </c>
      <c r="G3935">
        <v>423379352</v>
      </c>
      <c r="H3935">
        <v>458603447</v>
      </c>
      <c r="I3935">
        <v>382441917</v>
      </c>
      <c r="J3935">
        <v>393102123</v>
      </c>
      <c r="K3935">
        <v>493369844</v>
      </c>
      <c r="L3935">
        <v>612426317</v>
      </c>
      <c r="M3935">
        <v>757432068</v>
      </c>
      <c r="N3935">
        <v>692088902</v>
      </c>
      <c r="O3935">
        <v>359128245</v>
      </c>
      <c r="P3935">
        <v>49</v>
      </c>
      <c r="Q3935" t="s">
        <v>8216</v>
      </c>
    </row>
    <row r="3936" spans="1:17" x14ac:dyDescent="0.3">
      <c r="A3936" t="s">
        <v>4729</v>
      </c>
      <c r="B3936" t="str">
        <f>"300136"</f>
        <v>300136</v>
      </c>
      <c r="C3936" t="s">
        <v>8217</v>
      </c>
      <c r="D3936" t="s">
        <v>313</v>
      </c>
      <c r="F3936">
        <v>2241017942</v>
      </c>
      <c r="G3936">
        <v>2464046361</v>
      </c>
      <c r="H3936">
        <v>2785394296</v>
      </c>
      <c r="I3936">
        <v>2196540296</v>
      </c>
      <c r="J3936">
        <v>1305667633</v>
      </c>
      <c r="K3936">
        <v>1123744100</v>
      </c>
      <c r="L3936">
        <v>476553147</v>
      </c>
      <c r="M3936">
        <v>234209034</v>
      </c>
      <c r="N3936">
        <v>155306016</v>
      </c>
      <c r="O3936">
        <v>148336745</v>
      </c>
      <c r="P3936">
        <v>2618</v>
      </c>
      <c r="Q3936" t="s">
        <v>8218</v>
      </c>
    </row>
    <row r="3937" spans="1:17" x14ac:dyDescent="0.3">
      <c r="A3937" t="s">
        <v>4729</v>
      </c>
      <c r="B3937" t="str">
        <f>"300137"</f>
        <v>300137</v>
      </c>
      <c r="C3937" t="s">
        <v>8219</v>
      </c>
      <c r="D3937" t="s">
        <v>1070</v>
      </c>
      <c r="F3937">
        <v>704519751</v>
      </c>
      <c r="G3937">
        <v>737670087</v>
      </c>
      <c r="H3937">
        <v>624662873</v>
      </c>
      <c r="I3937">
        <v>599886629</v>
      </c>
      <c r="J3937">
        <v>290837482</v>
      </c>
      <c r="K3937">
        <v>277192360</v>
      </c>
      <c r="L3937">
        <v>244474430</v>
      </c>
      <c r="M3937">
        <v>207763570</v>
      </c>
      <c r="N3937">
        <v>184714310</v>
      </c>
      <c r="O3937">
        <v>167426062</v>
      </c>
      <c r="P3937">
        <v>253</v>
      </c>
      <c r="Q3937" t="s">
        <v>8220</v>
      </c>
    </row>
    <row r="3938" spans="1:17" x14ac:dyDescent="0.3">
      <c r="A3938" t="s">
        <v>4729</v>
      </c>
      <c r="B3938" t="str">
        <f>"300138"</f>
        <v>300138</v>
      </c>
      <c r="C3938" t="s">
        <v>8221</v>
      </c>
      <c r="D3938" t="s">
        <v>445</v>
      </c>
      <c r="F3938">
        <v>393602213</v>
      </c>
      <c r="G3938">
        <v>295103397</v>
      </c>
      <c r="H3938">
        <v>291044307</v>
      </c>
      <c r="I3938">
        <v>280335420</v>
      </c>
      <c r="J3938">
        <v>217323410</v>
      </c>
      <c r="K3938">
        <v>245383106</v>
      </c>
      <c r="L3938">
        <v>128876649</v>
      </c>
      <c r="M3938">
        <v>81142837</v>
      </c>
      <c r="N3938">
        <v>76830635</v>
      </c>
      <c r="O3938">
        <v>68400062</v>
      </c>
      <c r="P3938">
        <v>264</v>
      </c>
      <c r="Q3938" t="s">
        <v>8222</v>
      </c>
    </row>
    <row r="3939" spans="1:17" x14ac:dyDescent="0.3">
      <c r="A3939" t="s">
        <v>4729</v>
      </c>
      <c r="B3939" t="str">
        <f>"300139"</f>
        <v>300139</v>
      </c>
      <c r="C3939" t="s">
        <v>8223</v>
      </c>
      <c r="D3939" t="s">
        <v>86</v>
      </c>
      <c r="F3939">
        <v>79385841</v>
      </c>
      <c r="G3939">
        <v>556307980</v>
      </c>
      <c r="H3939">
        <v>731492021</v>
      </c>
      <c r="I3939">
        <v>133520754</v>
      </c>
      <c r="J3939">
        <v>109138651</v>
      </c>
      <c r="K3939">
        <v>289940433</v>
      </c>
      <c r="L3939">
        <v>231195209</v>
      </c>
      <c r="M3939">
        <v>158417912</v>
      </c>
      <c r="N3939">
        <v>140960469</v>
      </c>
      <c r="O3939">
        <v>131786466</v>
      </c>
      <c r="P3939">
        <v>147</v>
      </c>
      <c r="Q3939" t="s">
        <v>8224</v>
      </c>
    </row>
    <row r="3940" spans="1:17" x14ac:dyDescent="0.3">
      <c r="A3940" t="s">
        <v>4729</v>
      </c>
      <c r="B3940" t="str">
        <f>"300140"</f>
        <v>300140</v>
      </c>
      <c r="C3940" t="s">
        <v>8225</v>
      </c>
      <c r="D3940" t="s">
        <v>1070</v>
      </c>
      <c r="F3940">
        <v>903555148</v>
      </c>
      <c r="G3940">
        <v>2224171082</v>
      </c>
      <c r="H3940">
        <v>2330166498</v>
      </c>
      <c r="I3940">
        <v>1921089804</v>
      </c>
      <c r="J3940">
        <v>1185406504</v>
      </c>
      <c r="K3940">
        <v>852918598</v>
      </c>
      <c r="L3940">
        <v>177187939</v>
      </c>
      <c r="M3940">
        <v>150712418</v>
      </c>
      <c r="N3940">
        <v>124400800</v>
      </c>
      <c r="O3940">
        <v>94455861</v>
      </c>
      <c r="P3940">
        <v>103</v>
      </c>
      <c r="Q3940" t="s">
        <v>8226</v>
      </c>
    </row>
    <row r="3941" spans="1:17" x14ac:dyDescent="0.3">
      <c r="A3941" t="s">
        <v>4729</v>
      </c>
      <c r="B3941" t="str">
        <f>"300141"</f>
        <v>300141</v>
      </c>
      <c r="C3941" t="s">
        <v>8227</v>
      </c>
      <c r="D3941" t="s">
        <v>657</v>
      </c>
      <c r="F3941">
        <v>309068545</v>
      </c>
      <c r="G3941">
        <v>374199373</v>
      </c>
      <c r="H3941">
        <v>428306935</v>
      </c>
      <c r="I3941">
        <v>525809333</v>
      </c>
      <c r="J3941">
        <v>502505198</v>
      </c>
      <c r="K3941">
        <v>300184538</v>
      </c>
      <c r="L3941">
        <v>261370812</v>
      </c>
      <c r="M3941">
        <v>239570761</v>
      </c>
      <c r="N3941">
        <v>196089623</v>
      </c>
      <c r="O3941">
        <v>78355658</v>
      </c>
      <c r="P3941">
        <v>91</v>
      </c>
      <c r="Q3941" t="s">
        <v>8228</v>
      </c>
    </row>
    <row r="3942" spans="1:17" x14ac:dyDescent="0.3">
      <c r="A3942" t="s">
        <v>4729</v>
      </c>
      <c r="B3942" t="str">
        <f>"300142"</f>
        <v>300142</v>
      </c>
      <c r="C3942" t="s">
        <v>8229</v>
      </c>
      <c r="D3942" t="s">
        <v>1499</v>
      </c>
      <c r="F3942">
        <v>2480507307</v>
      </c>
      <c r="G3942">
        <v>2003572650</v>
      </c>
      <c r="H3942">
        <v>512844133</v>
      </c>
      <c r="I3942">
        <v>437484057</v>
      </c>
      <c r="J3942">
        <v>297231947</v>
      </c>
      <c r="K3942">
        <v>219312558</v>
      </c>
      <c r="L3942">
        <v>551208313</v>
      </c>
      <c r="M3942">
        <v>418177014</v>
      </c>
      <c r="N3942">
        <v>592139692</v>
      </c>
      <c r="O3942">
        <v>440352953</v>
      </c>
      <c r="P3942">
        <v>1230</v>
      </c>
      <c r="Q3942" t="s">
        <v>8230</v>
      </c>
    </row>
    <row r="3943" spans="1:17" x14ac:dyDescent="0.3">
      <c r="A3943" t="s">
        <v>4729</v>
      </c>
      <c r="B3943" t="str">
        <f>"300143"</f>
        <v>300143</v>
      </c>
      <c r="C3943" t="s">
        <v>8231</v>
      </c>
      <c r="D3943" t="s">
        <v>1147</v>
      </c>
      <c r="F3943">
        <v>154966438</v>
      </c>
      <c r="G3943">
        <v>174930694</v>
      </c>
      <c r="H3943">
        <v>173555420</v>
      </c>
      <c r="I3943">
        <v>85562207</v>
      </c>
      <c r="J3943">
        <v>67728510</v>
      </c>
      <c r="K3943">
        <v>112354282</v>
      </c>
      <c r="L3943">
        <v>48734229</v>
      </c>
      <c r="M3943">
        <v>18908246</v>
      </c>
      <c r="N3943">
        <v>12261737</v>
      </c>
      <c r="O3943">
        <v>23218390</v>
      </c>
      <c r="P3943">
        <v>150</v>
      </c>
      <c r="Q3943" t="s">
        <v>8232</v>
      </c>
    </row>
    <row r="3944" spans="1:17" x14ac:dyDescent="0.3">
      <c r="A3944" t="s">
        <v>4729</v>
      </c>
      <c r="B3944" t="str">
        <f>"300144"</f>
        <v>300144</v>
      </c>
      <c r="C3944" t="s">
        <v>8233</v>
      </c>
      <c r="D3944" t="s">
        <v>333</v>
      </c>
      <c r="F3944">
        <v>2197594</v>
      </c>
      <c r="G3944">
        <v>5887012</v>
      </c>
      <c r="H3944">
        <v>5337855</v>
      </c>
      <c r="I3944">
        <v>66824328</v>
      </c>
      <c r="J3944">
        <v>33460408</v>
      </c>
      <c r="K3944">
        <v>18776243</v>
      </c>
      <c r="L3944">
        <v>15893180</v>
      </c>
      <c r="M3944">
        <v>5288890</v>
      </c>
      <c r="N3944">
        <v>4407431</v>
      </c>
      <c r="O3944">
        <v>3476168</v>
      </c>
      <c r="P3944">
        <v>3022</v>
      </c>
      <c r="Q3944" t="s">
        <v>8234</v>
      </c>
    </row>
    <row r="3945" spans="1:17" x14ac:dyDescent="0.3">
      <c r="A3945" t="s">
        <v>4729</v>
      </c>
      <c r="B3945" t="str">
        <f>"300145"</f>
        <v>300145</v>
      </c>
      <c r="C3945" t="s">
        <v>8235</v>
      </c>
      <c r="D3945" t="s">
        <v>560</v>
      </c>
      <c r="F3945">
        <v>936067496</v>
      </c>
      <c r="G3945">
        <v>1371257965</v>
      </c>
      <c r="H3945">
        <v>1400312992</v>
      </c>
      <c r="I3945">
        <v>1302101235</v>
      </c>
      <c r="J3945">
        <v>858003804</v>
      </c>
      <c r="K3945">
        <v>1009369434</v>
      </c>
      <c r="L3945">
        <v>617042175</v>
      </c>
      <c r="M3945">
        <v>164574640</v>
      </c>
      <c r="N3945">
        <v>106149887</v>
      </c>
      <c r="O3945">
        <v>90553314</v>
      </c>
      <c r="P3945">
        <v>281</v>
      </c>
      <c r="Q3945" t="s">
        <v>8236</v>
      </c>
    </row>
    <row r="3946" spans="1:17" x14ac:dyDescent="0.3">
      <c r="A3946" t="s">
        <v>4729</v>
      </c>
      <c r="B3946" t="str">
        <f>"300146"</f>
        <v>300146</v>
      </c>
      <c r="C3946" t="s">
        <v>8237</v>
      </c>
      <c r="D3946" t="s">
        <v>838</v>
      </c>
      <c r="F3946">
        <v>290496236</v>
      </c>
      <c r="G3946">
        <v>164177599</v>
      </c>
      <c r="H3946">
        <v>113530033</v>
      </c>
      <c r="I3946">
        <v>221472269</v>
      </c>
      <c r="J3946">
        <v>154433525</v>
      </c>
      <c r="K3946">
        <v>54391827</v>
      </c>
      <c r="L3946">
        <v>51831650</v>
      </c>
      <c r="M3946">
        <v>43469616</v>
      </c>
      <c r="N3946">
        <v>39956411</v>
      </c>
      <c r="O3946">
        <v>36948164</v>
      </c>
      <c r="P3946">
        <v>2832</v>
      </c>
      <c r="Q3946" t="s">
        <v>8238</v>
      </c>
    </row>
    <row r="3947" spans="1:17" x14ac:dyDescent="0.3">
      <c r="A3947" t="s">
        <v>4729</v>
      </c>
      <c r="B3947" t="str">
        <f>"300147"</f>
        <v>300147</v>
      </c>
      <c r="C3947" t="s">
        <v>8239</v>
      </c>
      <c r="D3947" t="s">
        <v>188</v>
      </c>
      <c r="F3947">
        <v>1096718187</v>
      </c>
      <c r="G3947">
        <v>1039039753</v>
      </c>
      <c r="H3947">
        <v>947381067</v>
      </c>
      <c r="I3947">
        <v>835702788</v>
      </c>
      <c r="J3947">
        <v>808223244</v>
      </c>
      <c r="K3947">
        <v>795180959</v>
      </c>
      <c r="L3947">
        <v>515774876</v>
      </c>
      <c r="M3947">
        <v>395560801</v>
      </c>
      <c r="N3947">
        <v>319851763</v>
      </c>
      <c r="O3947">
        <v>123057239</v>
      </c>
      <c r="P3947">
        <v>166</v>
      </c>
      <c r="Q3947" t="s">
        <v>8240</v>
      </c>
    </row>
    <row r="3948" spans="1:17" x14ac:dyDescent="0.3">
      <c r="A3948" t="s">
        <v>4729</v>
      </c>
      <c r="B3948" t="str">
        <f>"300148"</f>
        <v>300148</v>
      </c>
      <c r="C3948" t="s">
        <v>8241</v>
      </c>
      <c r="D3948" t="s">
        <v>517</v>
      </c>
      <c r="F3948">
        <v>88285462</v>
      </c>
      <c r="G3948">
        <v>147501401</v>
      </c>
      <c r="H3948">
        <v>356718822</v>
      </c>
      <c r="I3948">
        <v>289749399</v>
      </c>
      <c r="J3948">
        <v>274226350</v>
      </c>
      <c r="K3948">
        <v>219381204</v>
      </c>
      <c r="L3948">
        <v>54150584</v>
      </c>
      <c r="M3948">
        <v>63798729</v>
      </c>
      <c r="N3948">
        <v>42799454</v>
      </c>
      <c r="O3948">
        <v>46876168</v>
      </c>
      <c r="P3948">
        <v>99</v>
      </c>
      <c r="Q3948" t="s">
        <v>8242</v>
      </c>
    </row>
    <row r="3949" spans="1:17" x14ac:dyDescent="0.3">
      <c r="A3949" t="s">
        <v>4729</v>
      </c>
      <c r="B3949" t="str">
        <f>"300149"</f>
        <v>300149</v>
      </c>
      <c r="C3949" t="s">
        <v>8243</v>
      </c>
      <c r="D3949" t="s">
        <v>1461</v>
      </c>
      <c r="F3949">
        <v>335165522</v>
      </c>
      <c r="G3949">
        <v>384470762</v>
      </c>
      <c r="H3949">
        <v>408782988</v>
      </c>
      <c r="I3949">
        <v>335589921</v>
      </c>
      <c r="J3949">
        <v>50092502</v>
      </c>
      <c r="K3949">
        <v>46101796</v>
      </c>
      <c r="L3949">
        <v>35755062</v>
      </c>
      <c r="M3949">
        <v>53061135</v>
      </c>
      <c r="N3949">
        <v>30255731</v>
      </c>
      <c r="O3949">
        <v>35306405</v>
      </c>
      <c r="P3949">
        <v>193</v>
      </c>
      <c r="Q3949" t="s">
        <v>8244</v>
      </c>
    </row>
    <row r="3950" spans="1:17" x14ac:dyDescent="0.3">
      <c r="A3950" t="s">
        <v>4729</v>
      </c>
      <c r="B3950" t="str">
        <f>"300150"</f>
        <v>300150</v>
      </c>
      <c r="C3950" t="s">
        <v>8245</v>
      </c>
      <c r="D3950" t="s">
        <v>316</v>
      </c>
      <c r="F3950">
        <v>878452855</v>
      </c>
      <c r="G3950">
        <v>659871911</v>
      </c>
      <c r="H3950">
        <v>730078137</v>
      </c>
      <c r="I3950">
        <v>700886877</v>
      </c>
      <c r="J3950">
        <v>656222408</v>
      </c>
      <c r="K3950">
        <v>472265360</v>
      </c>
      <c r="L3950">
        <v>375494193</v>
      </c>
      <c r="M3950">
        <v>322130976</v>
      </c>
      <c r="N3950">
        <v>258797128</v>
      </c>
      <c r="O3950">
        <v>228415164</v>
      </c>
      <c r="P3950">
        <v>121</v>
      </c>
      <c r="Q3950" t="s">
        <v>8246</v>
      </c>
    </row>
    <row r="3951" spans="1:17" x14ac:dyDescent="0.3">
      <c r="A3951" t="s">
        <v>4729</v>
      </c>
      <c r="B3951" t="str">
        <f>"300151"</f>
        <v>300151</v>
      </c>
      <c r="C3951" t="s">
        <v>8247</v>
      </c>
      <c r="D3951" t="s">
        <v>741</v>
      </c>
      <c r="F3951">
        <v>247350230</v>
      </c>
      <c r="G3951">
        <v>199957929</v>
      </c>
      <c r="H3951">
        <v>148096509</v>
      </c>
      <c r="I3951">
        <v>171897850</v>
      </c>
      <c r="J3951">
        <v>136768824</v>
      </c>
      <c r="K3951">
        <v>132796307</v>
      </c>
      <c r="L3951">
        <v>105119844</v>
      </c>
      <c r="M3951">
        <v>113732936</v>
      </c>
      <c r="N3951">
        <v>133759908</v>
      </c>
      <c r="O3951">
        <v>138963524</v>
      </c>
      <c r="P3951">
        <v>155</v>
      </c>
      <c r="Q3951" t="s">
        <v>8248</v>
      </c>
    </row>
    <row r="3952" spans="1:17" x14ac:dyDescent="0.3">
      <c r="A3952" t="s">
        <v>4729</v>
      </c>
      <c r="B3952" t="str">
        <f>"300152"</f>
        <v>300152</v>
      </c>
      <c r="C3952" t="s">
        <v>8249</v>
      </c>
      <c r="D3952" t="s">
        <v>3575</v>
      </c>
      <c r="F3952">
        <v>163736669</v>
      </c>
      <c r="G3952">
        <v>201241709</v>
      </c>
      <c r="H3952">
        <v>398558642</v>
      </c>
      <c r="I3952">
        <v>533211783</v>
      </c>
      <c r="J3952">
        <v>718283664</v>
      </c>
      <c r="K3952">
        <v>744035484</v>
      </c>
      <c r="L3952">
        <v>924875147</v>
      </c>
      <c r="M3952">
        <v>797231640</v>
      </c>
      <c r="N3952">
        <v>571680598</v>
      </c>
      <c r="O3952">
        <v>332536798</v>
      </c>
      <c r="P3952">
        <v>92</v>
      </c>
      <c r="Q3952" t="s">
        <v>8250</v>
      </c>
    </row>
    <row r="3953" spans="1:17" x14ac:dyDescent="0.3">
      <c r="A3953" t="s">
        <v>4729</v>
      </c>
      <c r="B3953" t="str">
        <f>"300153"</f>
        <v>300153</v>
      </c>
      <c r="C3953" t="s">
        <v>8251</v>
      </c>
      <c r="D3953" t="s">
        <v>880</v>
      </c>
      <c r="F3953">
        <v>336134658</v>
      </c>
      <c r="G3953">
        <v>379702356</v>
      </c>
      <c r="H3953">
        <v>599751770</v>
      </c>
      <c r="I3953">
        <v>465492541</v>
      </c>
      <c r="J3953">
        <v>362801126</v>
      </c>
      <c r="K3953">
        <v>303429388</v>
      </c>
      <c r="L3953">
        <v>315936147</v>
      </c>
      <c r="M3953">
        <v>236919907</v>
      </c>
      <c r="N3953">
        <v>190513814</v>
      </c>
      <c r="O3953">
        <v>167104903</v>
      </c>
      <c r="P3953">
        <v>108</v>
      </c>
      <c r="Q3953" t="s">
        <v>8252</v>
      </c>
    </row>
    <row r="3954" spans="1:17" x14ac:dyDescent="0.3">
      <c r="A3954" t="s">
        <v>4729</v>
      </c>
      <c r="B3954" t="str">
        <f>"300154"</f>
        <v>300154</v>
      </c>
      <c r="C3954" t="s">
        <v>8253</v>
      </c>
      <c r="D3954" t="s">
        <v>560</v>
      </c>
      <c r="F3954">
        <v>150150653</v>
      </c>
      <c r="G3954">
        <v>69687977</v>
      </c>
      <c r="H3954">
        <v>67559332</v>
      </c>
      <c r="I3954">
        <v>45030725</v>
      </c>
      <c r="J3954">
        <v>43441401</v>
      </c>
      <c r="K3954">
        <v>47920992</v>
      </c>
      <c r="L3954">
        <v>58859311</v>
      </c>
      <c r="M3954">
        <v>76020736</v>
      </c>
      <c r="N3954">
        <v>68589195</v>
      </c>
      <c r="O3954">
        <v>61437384</v>
      </c>
      <c r="P3954">
        <v>82</v>
      </c>
      <c r="Q3954" t="s">
        <v>8254</v>
      </c>
    </row>
    <row r="3955" spans="1:17" x14ac:dyDescent="0.3">
      <c r="A3955" t="s">
        <v>4729</v>
      </c>
      <c r="B3955" t="str">
        <f>"300155"</f>
        <v>300155</v>
      </c>
      <c r="C3955" t="s">
        <v>8255</v>
      </c>
      <c r="D3955" t="s">
        <v>2980</v>
      </c>
      <c r="F3955">
        <v>360162605</v>
      </c>
      <c r="G3955">
        <v>470240285</v>
      </c>
      <c r="H3955">
        <v>383769955</v>
      </c>
      <c r="I3955">
        <v>371484515</v>
      </c>
      <c r="J3955">
        <v>291811787</v>
      </c>
      <c r="K3955">
        <v>219212138</v>
      </c>
      <c r="L3955">
        <v>216831334</v>
      </c>
      <c r="M3955">
        <v>175176873</v>
      </c>
      <c r="N3955">
        <v>121897218</v>
      </c>
      <c r="O3955">
        <v>68596972</v>
      </c>
      <c r="P3955">
        <v>68</v>
      </c>
      <c r="Q3955" t="s">
        <v>8256</v>
      </c>
    </row>
    <row r="3956" spans="1:17" x14ac:dyDescent="0.3">
      <c r="A3956" t="s">
        <v>4729</v>
      </c>
      <c r="B3956" t="str">
        <f>"300156"</f>
        <v>300156</v>
      </c>
      <c r="C3956" t="s">
        <v>8257</v>
      </c>
      <c r="I3956">
        <v>1382129419</v>
      </c>
      <c r="J3956">
        <v>2037540248</v>
      </c>
      <c r="K3956">
        <v>1056809300</v>
      </c>
      <c r="L3956">
        <v>635396301</v>
      </c>
      <c r="M3956">
        <v>242719769</v>
      </c>
      <c r="N3956">
        <v>551657183</v>
      </c>
      <c r="O3956">
        <v>452215118</v>
      </c>
      <c r="P3956">
        <v>300</v>
      </c>
      <c r="Q3956" t="s">
        <v>8258</v>
      </c>
    </row>
    <row r="3957" spans="1:17" x14ac:dyDescent="0.3">
      <c r="A3957" t="s">
        <v>4729</v>
      </c>
      <c r="B3957" t="str">
        <f>"300157"</f>
        <v>300157</v>
      </c>
      <c r="C3957" t="s">
        <v>8259</v>
      </c>
      <c r="D3957" t="s">
        <v>762</v>
      </c>
      <c r="F3957">
        <v>338697297</v>
      </c>
      <c r="G3957">
        <v>519483667</v>
      </c>
      <c r="H3957">
        <v>1026521768</v>
      </c>
      <c r="I3957">
        <v>1081342938</v>
      </c>
      <c r="J3957">
        <v>1186398181</v>
      </c>
      <c r="K3957">
        <v>1068258144</v>
      </c>
      <c r="L3957">
        <v>1065187619</v>
      </c>
      <c r="M3957">
        <v>779484705</v>
      </c>
      <c r="N3957">
        <v>655311247</v>
      </c>
      <c r="O3957">
        <v>453335122</v>
      </c>
      <c r="P3957">
        <v>76</v>
      </c>
      <c r="Q3957" t="s">
        <v>8260</v>
      </c>
    </row>
    <row r="3958" spans="1:17" x14ac:dyDescent="0.3">
      <c r="A3958" t="s">
        <v>4729</v>
      </c>
      <c r="B3958" t="str">
        <f>"300158"</f>
        <v>300158</v>
      </c>
      <c r="C3958" t="s">
        <v>8261</v>
      </c>
      <c r="D3958" t="s">
        <v>143</v>
      </c>
      <c r="F3958">
        <v>879397180</v>
      </c>
      <c r="G3958">
        <v>1133930516</v>
      </c>
      <c r="H3958">
        <v>1098020418</v>
      </c>
      <c r="I3958">
        <v>1203687108</v>
      </c>
      <c r="J3958">
        <v>1677901612</v>
      </c>
      <c r="K3958">
        <v>1200850740</v>
      </c>
      <c r="L3958">
        <v>772194156</v>
      </c>
      <c r="M3958">
        <v>466531547</v>
      </c>
      <c r="N3958">
        <v>452943870</v>
      </c>
      <c r="O3958">
        <v>381497605</v>
      </c>
      <c r="P3958">
        <v>176</v>
      </c>
      <c r="Q3958" t="s">
        <v>8262</v>
      </c>
    </row>
    <row r="3959" spans="1:17" x14ac:dyDescent="0.3">
      <c r="A3959" t="s">
        <v>4729</v>
      </c>
      <c r="B3959" t="str">
        <f>"300159"</f>
        <v>300159</v>
      </c>
      <c r="C3959" t="s">
        <v>8263</v>
      </c>
      <c r="D3959" t="s">
        <v>98</v>
      </c>
      <c r="F3959">
        <v>292098695</v>
      </c>
      <c r="G3959">
        <v>1390312978</v>
      </c>
      <c r="H3959">
        <v>1758607045</v>
      </c>
      <c r="I3959">
        <v>2112533623</v>
      </c>
      <c r="J3959">
        <v>1469559598</v>
      </c>
      <c r="K3959">
        <v>1118509944</v>
      </c>
      <c r="L3959">
        <v>814336764</v>
      </c>
      <c r="M3959">
        <v>252768039</v>
      </c>
      <c r="N3959">
        <v>160982052</v>
      </c>
      <c r="O3959">
        <v>183041446</v>
      </c>
      <c r="P3959">
        <v>126</v>
      </c>
      <c r="Q3959" t="s">
        <v>8264</v>
      </c>
    </row>
    <row r="3960" spans="1:17" x14ac:dyDescent="0.3">
      <c r="A3960" t="s">
        <v>4729</v>
      </c>
      <c r="B3960" t="str">
        <f>"300160"</f>
        <v>300160</v>
      </c>
      <c r="C3960" t="s">
        <v>8265</v>
      </c>
      <c r="D3960" t="s">
        <v>1253</v>
      </c>
      <c r="F3960">
        <v>417542150</v>
      </c>
      <c r="G3960">
        <v>379256189</v>
      </c>
      <c r="H3960">
        <v>275851370</v>
      </c>
      <c r="I3960">
        <v>326356743</v>
      </c>
      <c r="J3960">
        <v>310122095</v>
      </c>
      <c r="K3960">
        <v>231651872</v>
      </c>
      <c r="L3960">
        <v>285855921</v>
      </c>
      <c r="M3960">
        <v>259963885</v>
      </c>
      <c r="N3960">
        <v>258230069</v>
      </c>
      <c r="O3960">
        <v>242665307</v>
      </c>
      <c r="P3960">
        <v>150</v>
      </c>
      <c r="Q3960" t="s">
        <v>8266</v>
      </c>
    </row>
    <row r="3961" spans="1:17" x14ac:dyDescent="0.3">
      <c r="A3961" t="s">
        <v>4729</v>
      </c>
      <c r="B3961" t="str">
        <f>"300161"</f>
        <v>300161</v>
      </c>
      <c r="C3961" t="s">
        <v>8267</v>
      </c>
      <c r="D3961" t="s">
        <v>2321</v>
      </c>
      <c r="F3961">
        <v>682291969</v>
      </c>
      <c r="G3961">
        <v>556037926</v>
      </c>
      <c r="H3961">
        <v>532756138</v>
      </c>
      <c r="I3961">
        <v>523358285</v>
      </c>
      <c r="J3961">
        <v>589275080</v>
      </c>
      <c r="K3961">
        <v>523523955</v>
      </c>
      <c r="L3961">
        <v>322253125</v>
      </c>
      <c r="M3961">
        <v>296240198</v>
      </c>
      <c r="N3961">
        <v>264400568</v>
      </c>
      <c r="O3961">
        <v>230663710</v>
      </c>
      <c r="P3961">
        <v>159</v>
      </c>
      <c r="Q3961" t="s">
        <v>8268</v>
      </c>
    </row>
    <row r="3962" spans="1:17" x14ac:dyDescent="0.3">
      <c r="A3962" t="s">
        <v>4729</v>
      </c>
      <c r="B3962" t="str">
        <f>"300162"</f>
        <v>300162</v>
      </c>
      <c r="C3962" t="s">
        <v>8269</v>
      </c>
      <c r="D3962" t="s">
        <v>803</v>
      </c>
      <c r="F3962">
        <v>280224308</v>
      </c>
      <c r="G3962">
        <v>158633940</v>
      </c>
      <c r="H3962">
        <v>296288057</v>
      </c>
      <c r="I3962">
        <v>206350738</v>
      </c>
      <c r="J3962">
        <v>222658506</v>
      </c>
      <c r="K3962">
        <v>178509121</v>
      </c>
      <c r="L3962">
        <v>150359650</v>
      </c>
      <c r="M3962">
        <v>137713846</v>
      </c>
      <c r="N3962">
        <v>149817752</v>
      </c>
      <c r="O3962">
        <v>82883455</v>
      </c>
      <c r="P3962">
        <v>76</v>
      </c>
      <c r="Q3962" t="s">
        <v>8270</v>
      </c>
    </row>
    <row r="3963" spans="1:17" x14ac:dyDescent="0.3">
      <c r="A3963" t="s">
        <v>4729</v>
      </c>
      <c r="B3963" t="str">
        <f>"300163"</f>
        <v>300163</v>
      </c>
      <c r="C3963" t="s">
        <v>8271</v>
      </c>
      <c r="D3963" t="s">
        <v>386</v>
      </c>
      <c r="F3963">
        <v>136878688</v>
      </c>
      <c r="G3963">
        <v>94225488</v>
      </c>
      <c r="H3963">
        <v>178979254</v>
      </c>
      <c r="I3963">
        <v>129299482</v>
      </c>
      <c r="J3963">
        <v>107083303</v>
      </c>
      <c r="K3963">
        <v>102187616</v>
      </c>
      <c r="L3963">
        <v>89491744</v>
      </c>
      <c r="M3963">
        <v>67198440</v>
      </c>
      <c r="N3963">
        <v>60882052</v>
      </c>
      <c r="O3963">
        <v>54576839</v>
      </c>
      <c r="P3963">
        <v>75</v>
      </c>
      <c r="Q3963" t="s">
        <v>8272</v>
      </c>
    </row>
    <row r="3964" spans="1:17" x14ac:dyDescent="0.3">
      <c r="A3964" t="s">
        <v>4729</v>
      </c>
      <c r="B3964" t="str">
        <f>"300164"</f>
        <v>300164</v>
      </c>
      <c r="C3964" t="s">
        <v>8273</v>
      </c>
      <c r="D3964" t="s">
        <v>762</v>
      </c>
      <c r="F3964">
        <v>342341805</v>
      </c>
      <c r="G3964">
        <v>376486865</v>
      </c>
      <c r="H3964">
        <v>532588462</v>
      </c>
      <c r="I3964">
        <v>526446976</v>
      </c>
      <c r="J3964">
        <v>550351270</v>
      </c>
      <c r="K3964">
        <v>397391627</v>
      </c>
      <c r="L3964">
        <v>419263316</v>
      </c>
      <c r="M3964">
        <v>497762966</v>
      </c>
      <c r="N3964">
        <v>380588652</v>
      </c>
      <c r="O3964">
        <v>298887991</v>
      </c>
      <c r="P3964">
        <v>82</v>
      </c>
      <c r="Q3964" t="s">
        <v>8274</v>
      </c>
    </row>
    <row r="3965" spans="1:17" x14ac:dyDescent="0.3">
      <c r="A3965" t="s">
        <v>4729</v>
      </c>
      <c r="B3965" t="str">
        <f>"300165"</f>
        <v>300165</v>
      </c>
      <c r="C3965" t="s">
        <v>8275</v>
      </c>
      <c r="D3965" t="s">
        <v>2566</v>
      </c>
      <c r="F3965">
        <v>307522380</v>
      </c>
      <c r="G3965">
        <v>323033768</v>
      </c>
      <c r="H3965">
        <v>324199169</v>
      </c>
      <c r="I3965">
        <v>344959714</v>
      </c>
      <c r="J3965">
        <v>242065002</v>
      </c>
      <c r="K3965">
        <v>146365797</v>
      </c>
      <c r="L3965">
        <v>87010379</v>
      </c>
      <c r="M3965">
        <v>37200280</v>
      </c>
      <c r="N3965">
        <v>42322866</v>
      </c>
      <c r="O3965">
        <v>42647872</v>
      </c>
      <c r="P3965">
        <v>103</v>
      </c>
      <c r="Q3965" t="s">
        <v>8276</v>
      </c>
    </row>
    <row r="3966" spans="1:17" x14ac:dyDescent="0.3">
      <c r="A3966" t="s">
        <v>4729</v>
      </c>
      <c r="B3966" t="str">
        <f>"300166"</f>
        <v>300166</v>
      </c>
      <c r="C3966" t="s">
        <v>8277</v>
      </c>
      <c r="D3966" t="s">
        <v>316</v>
      </c>
      <c r="F3966">
        <v>1482807612</v>
      </c>
      <c r="G3966">
        <v>1465530220</v>
      </c>
      <c r="H3966">
        <v>1877617942</v>
      </c>
      <c r="I3966">
        <v>1667805249</v>
      </c>
      <c r="J3966">
        <v>1204665518</v>
      </c>
      <c r="K3966">
        <v>913844259</v>
      </c>
      <c r="L3966">
        <v>690105985</v>
      </c>
      <c r="M3966">
        <v>477969218</v>
      </c>
      <c r="N3966">
        <v>305330206</v>
      </c>
      <c r="O3966">
        <v>151679905</v>
      </c>
      <c r="P3966">
        <v>461</v>
      </c>
      <c r="Q3966" t="s">
        <v>8278</v>
      </c>
    </row>
    <row r="3967" spans="1:17" x14ac:dyDescent="0.3">
      <c r="A3967" t="s">
        <v>4729</v>
      </c>
      <c r="B3967" t="str">
        <f>"300167"</f>
        <v>300167</v>
      </c>
      <c r="C3967" t="s">
        <v>8279</v>
      </c>
      <c r="D3967" t="s">
        <v>316</v>
      </c>
      <c r="F3967">
        <v>322442811</v>
      </c>
      <c r="G3967">
        <v>252751642</v>
      </c>
      <c r="H3967">
        <v>324435458</v>
      </c>
      <c r="I3967">
        <v>227353485</v>
      </c>
      <c r="J3967">
        <v>276271163</v>
      </c>
      <c r="K3967">
        <v>216439016</v>
      </c>
      <c r="L3967">
        <v>277755105</v>
      </c>
      <c r="M3967">
        <v>372471001</v>
      </c>
      <c r="N3967">
        <v>163972350</v>
      </c>
      <c r="O3967">
        <v>177053318</v>
      </c>
      <c r="P3967">
        <v>131</v>
      </c>
      <c r="Q3967" t="s">
        <v>8280</v>
      </c>
    </row>
    <row r="3968" spans="1:17" x14ac:dyDescent="0.3">
      <c r="A3968" t="s">
        <v>4729</v>
      </c>
      <c r="B3968" t="str">
        <f>"300168"</f>
        <v>300168</v>
      </c>
      <c r="C3968" t="s">
        <v>8281</v>
      </c>
      <c r="D3968" t="s">
        <v>316</v>
      </c>
      <c r="F3968">
        <v>632523426</v>
      </c>
      <c r="G3968">
        <v>689423679</v>
      </c>
      <c r="H3968">
        <v>1324288242</v>
      </c>
      <c r="I3968">
        <v>1530034738</v>
      </c>
      <c r="J3968">
        <v>1183277649</v>
      </c>
      <c r="K3968">
        <v>810788486</v>
      </c>
      <c r="L3968">
        <v>783036513</v>
      </c>
      <c r="M3968">
        <v>697315631</v>
      </c>
      <c r="N3968">
        <v>414189522</v>
      </c>
      <c r="O3968">
        <v>255371225</v>
      </c>
      <c r="P3968">
        <v>368</v>
      </c>
      <c r="Q3968" t="s">
        <v>8282</v>
      </c>
    </row>
    <row r="3969" spans="1:17" x14ac:dyDescent="0.3">
      <c r="A3969" t="s">
        <v>4729</v>
      </c>
      <c r="B3969" t="str">
        <f>"300169"</f>
        <v>300169</v>
      </c>
      <c r="C3969" t="s">
        <v>8283</v>
      </c>
      <c r="D3969" t="s">
        <v>386</v>
      </c>
      <c r="F3969">
        <v>651493714</v>
      </c>
      <c r="G3969">
        <v>679832217</v>
      </c>
      <c r="H3969">
        <v>426887210</v>
      </c>
      <c r="I3969">
        <v>424179112</v>
      </c>
      <c r="J3969">
        <v>405269650</v>
      </c>
      <c r="K3969">
        <v>411874196</v>
      </c>
      <c r="L3969">
        <v>266464397</v>
      </c>
      <c r="M3969">
        <v>308073053</v>
      </c>
      <c r="N3969">
        <v>309292492</v>
      </c>
      <c r="O3969">
        <v>229528609</v>
      </c>
      <c r="P3969">
        <v>68</v>
      </c>
      <c r="Q3969" t="s">
        <v>8284</v>
      </c>
    </row>
    <row r="3970" spans="1:17" x14ac:dyDescent="0.3">
      <c r="A3970" t="s">
        <v>4729</v>
      </c>
      <c r="B3970" t="str">
        <f>"300170"</f>
        <v>300170</v>
      </c>
      <c r="C3970" t="s">
        <v>8285</v>
      </c>
      <c r="D3970" t="s">
        <v>316</v>
      </c>
      <c r="F3970">
        <v>1136909953</v>
      </c>
      <c r="G3970">
        <v>1060875109</v>
      </c>
      <c r="H3970">
        <v>1802930319</v>
      </c>
      <c r="I3970">
        <v>1745010950</v>
      </c>
      <c r="J3970">
        <v>1417442626</v>
      </c>
      <c r="K3970">
        <v>1092028591</v>
      </c>
      <c r="L3970">
        <v>512239606</v>
      </c>
      <c r="M3970">
        <v>459581915</v>
      </c>
      <c r="N3970">
        <v>337190201</v>
      </c>
      <c r="O3970">
        <v>194903899</v>
      </c>
      <c r="P3970">
        <v>3198</v>
      </c>
      <c r="Q3970" t="s">
        <v>8286</v>
      </c>
    </row>
    <row r="3971" spans="1:17" x14ac:dyDescent="0.3">
      <c r="A3971" t="s">
        <v>4729</v>
      </c>
      <c r="B3971" t="str">
        <f>"300171"</f>
        <v>300171</v>
      </c>
      <c r="C3971" t="s">
        <v>8287</v>
      </c>
      <c r="D3971" t="s">
        <v>122</v>
      </c>
      <c r="F3971">
        <v>806649508</v>
      </c>
      <c r="G3971">
        <v>627064430</v>
      </c>
      <c r="H3971">
        <v>543304070</v>
      </c>
      <c r="I3971">
        <v>535939775</v>
      </c>
      <c r="J3971">
        <v>475885137</v>
      </c>
      <c r="K3971">
        <v>382732989</v>
      </c>
      <c r="L3971">
        <v>336831196</v>
      </c>
      <c r="M3971">
        <v>228931217</v>
      </c>
      <c r="N3971">
        <v>168963668</v>
      </c>
      <c r="O3971">
        <v>134010973</v>
      </c>
      <c r="P3971">
        <v>248</v>
      </c>
      <c r="Q3971" t="s">
        <v>8288</v>
      </c>
    </row>
    <row r="3972" spans="1:17" x14ac:dyDescent="0.3">
      <c r="A3972" t="s">
        <v>4729</v>
      </c>
      <c r="B3972" t="str">
        <f>"300172"</f>
        <v>300172</v>
      </c>
      <c r="C3972" t="s">
        <v>8289</v>
      </c>
      <c r="D3972" t="s">
        <v>33</v>
      </c>
      <c r="F3972">
        <v>625801520</v>
      </c>
      <c r="G3972">
        <v>643639356</v>
      </c>
      <c r="H3972">
        <v>522033579</v>
      </c>
      <c r="I3972">
        <v>461808767</v>
      </c>
      <c r="J3972">
        <v>406717929</v>
      </c>
      <c r="K3972">
        <v>412277827</v>
      </c>
      <c r="L3972">
        <v>350700768</v>
      </c>
      <c r="M3972">
        <v>328665167</v>
      </c>
      <c r="N3972">
        <v>335141674</v>
      </c>
      <c r="O3972">
        <v>238137551</v>
      </c>
      <c r="P3972">
        <v>110</v>
      </c>
      <c r="Q3972" t="s">
        <v>8290</v>
      </c>
    </row>
    <row r="3973" spans="1:17" x14ac:dyDescent="0.3">
      <c r="A3973" t="s">
        <v>4729</v>
      </c>
      <c r="B3973" t="str">
        <f>"300173"</f>
        <v>300173</v>
      </c>
      <c r="C3973" t="s">
        <v>8291</v>
      </c>
      <c r="D3973" t="s">
        <v>2432</v>
      </c>
      <c r="F3973">
        <v>404427551</v>
      </c>
      <c r="G3973">
        <v>289141335</v>
      </c>
      <c r="H3973">
        <v>509739440</v>
      </c>
      <c r="I3973">
        <v>474322394</v>
      </c>
      <c r="J3973">
        <v>519722601</v>
      </c>
      <c r="K3973">
        <v>545649925</v>
      </c>
      <c r="L3973">
        <v>255778067</v>
      </c>
      <c r="M3973">
        <v>183465301</v>
      </c>
      <c r="N3973">
        <v>97930423</v>
      </c>
      <c r="O3973">
        <v>119866343</v>
      </c>
      <c r="P3973">
        <v>61</v>
      </c>
      <c r="Q3973" t="s">
        <v>8292</v>
      </c>
    </row>
    <row r="3974" spans="1:17" x14ac:dyDescent="0.3">
      <c r="A3974" t="s">
        <v>4729</v>
      </c>
      <c r="B3974" t="str">
        <f>"300174"</f>
        <v>300174</v>
      </c>
      <c r="C3974" t="s">
        <v>8293</v>
      </c>
      <c r="D3974" t="s">
        <v>386</v>
      </c>
      <c r="F3974">
        <v>177039821</v>
      </c>
      <c r="G3974">
        <v>109151570</v>
      </c>
      <c r="H3974">
        <v>88004806</v>
      </c>
      <c r="I3974">
        <v>92227304</v>
      </c>
      <c r="J3974">
        <v>86499649</v>
      </c>
      <c r="K3974">
        <v>75298420</v>
      </c>
      <c r="L3974">
        <v>59621932</v>
      </c>
      <c r="M3974">
        <v>58488535</v>
      </c>
      <c r="N3974">
        <v>52628565</v>
      </c>
      <c r="O3974">
        <v>41549048</v>
      </c>
      <c r="P3974">
        <v>90</v>
      </c>
      <c r="Q3974" t="s">
        <v>8294</v>
      </c>
    </row>
    <row r="3975" spans="1:17" x14ac:dyDescent="0.3">
      <c r="A3975" t="s">
        <v>4729</v>
      </c>
      <c r="B3975" t="str">
        <f>"300175"</f>
        <v>300175</v>
      </c>
      <c r="C3975" t="s">
        <v>8295</v>
      </c>
      <c r="D3975" t="s">
        <v>574</v>
      </c>
      <c r="F3975">
        <v>149781974</v>
      </c>
      <c r="G3975">
        <v>131081732</v>
      </c>
      <c r="H3975">
        <v>230351593</v>
      </c>
      <c r="I3975">
        <v>148408545</v>
      </c>
      <c r="J3975">
        <v>81489657</v>
      </c>
      <c r="K3975">
        <v>88221059</v>
      </c>
      <c r="L3975">
        <v>200073962</v>
      </c>
      <c r="M3975">
        <v>139417306</v>
      </c>
      <c r="N3975">
        <v>71834472</v>
      </c>
      <c r="O3975">
        <v>78850606</v>
      </c>
      <c r="P3975">
        <v>84</v>
      </c>
      <c r="Q3975" t="s">
        <v>8296</v>
      </c>
    </row>
    <row r="3976" spans="1:17" x14ac:dyDescent="0.3">
      <c r="A3976" t="s">
        <v>4729</v>
      </c>
      <c r="B3976" t="str">
        <f>"300176"</f>
        <v>300176</v>
      </c>
      <c r="C3976" t="s">
        <v>8297</v>
      </c>
      <c r="D3976" t="s">
        <v>348</v>
      </c>
      <c r="F3976">
        <v>340627596</v>
      </c>
      <c r="G3976">
        <v>355473373</v>
      </c>
      <c r="H3976">
        <v>498587731</v>
      </c>
      <c r="I3976">
        <v>589883400</v>
      </c>
      <c r="J3976">
        <v>362107514</v>
      </c>
      <c r="K3976">
        <v>339326469</v>
      </c>
      <c r="L3976">
        <v>357261755</v>
      </c>
      <c r="M3976">
        <v>324871154</v>
      </c>
      <c r="N3976">
        <v>285645470</v>
      </c>
      <c r="O3976">
        <v>201032736</v>
      </c>
      <c r="P3976">
        <v>151</v>
      </c>
      <c r="Q3976" t="s">
        <v>8298</v>
      </c>
    </row>
    <row r="3977" spans="1:17" x14ac:dyDescent="0.3">
      <c r="A3977" t="s">
        <v>4729</v>
      </c>
      <c r="B3977" t="str">
        <f>"300177"</f>
        <v>300177</v>
      </c>
      <c r="C3977" t="s">
        <v>8299</v>
      </c>
      <c r="D3977" t="s">
        <v>1136</v>
      </c>
      <c r="F3977">
        <v>1128429842</v>
      </c>
      <c r="G3977">
        <v>834294442</v>
      </c>
      <c r="H3977">
        <v>958564405</v>
      </c>
      <c r="I3977">
        <v>635830354</v>
      </c>
      <c r="J3977">
        <v>451083870</v>
      </c>
      <c r="K3977">
        <v>285356369</v>
      </c>
      <c r="L3977">
        <v>300008258</v>
      </c>
      <c r="M3977">
        <v>297048613</v>
      </c>
      <c r="N3977">
        <v>204245346</v>
      </c>
      <c r="O3977">
        <v>134204792</v>
      </c>
      <c r="P3977">
        <v>232</v>
      </c>
      <c r="Q3977" t="s">
        <v>8300</v>
      </c>
    </row>
    <row r="3978" spans="1:17" x14ac:dyDescent="0.3">
      <c r="A3978" t="s">
        <v>4729</v>
      </c>
      <c r="B3978" t="str">
        <f>"300178"</f>
        <v>300178</v>
      </c>
      <c r="C3978" t="s">
        <v>8301</v>
      </c>
      <c r="D3978" t="s">
        <v>1120</v>
      </c>
      <c r="F3978">
        <v>119353014</v>
      </c>
      <c r="G3978">
        <v>139648500</v>
      </c>
      <c r="H3978">
        <v>371404013</v>
      </c>
      <c r="I3978">
        <v>836556023</v>
      </c>
      <c r="J3978">
        <v>547528174</v>
      </c>
      <c r="K3978">
        <v>411988504</v>
      </c>
      <c r="L3978">
        <v>372681045</v>
      </c>
      <c r="M3978">
        <v>191819856</v>
      </c>
      <c r="N3978">
        <v>139036147</v>
      </c>
      <c r="O3978">
        <v>131386905</v>
      </c>
      <c r="P3978">
        <v>152</v>
      </c>
      <c r="Q3978" t="s">
        <v>8302</v>
      </c>
    </row>
    <row r="3979" spans="1:17" x14ac:dyDescent="0.3">
      <c r="A3979" t="s">
        <v>4729</v>
      </c>
      <c r="B3979" t="str">
        <f>"300179"</f>
        <v>300179</v>
      </c>
      <c r="C3979" t="s">
        <v>8303</v>
      </c>
      <c r="D3979" t="s">
        <v>404</v>
      </c>
      <c r="F3979">
        <v>166942099</v>
      </c>
      <c r="G3979">
        <v>128700788</v>
      </c>
      <c r="H3979">
        <v>154194976</v>
      </c>
      <c r="I3979">
        <v>135559625</v>
      </c>
      <c r="J3979">
        <v>127634598</v>
      </c>
      <c r="K3979">
        <v>124798786</v>
      </c>
      <c r="L3979">
        <v>123534319</v>
      </c>
      <c r="M3979">
        <v>89621014</v>
      </c>
      <c r="N3979">
        <v>88707103</v>
      </c>
      <c r="O3979">
        <v>49913285</v>
      </c>
      <c r="P3979">
        <v>166</v>
      </c>
      <c r="Q3979" t="s">
        <v>8304</v>
      </c>
    </row>
    <row r="3980" spans="1:17" x14ac:dyDescent="0.3">
      <c r="A3980" t="s">
        <v>4729</v>
      </c>
      <c r="B3980" t="str">
        <f>"300180"</f>
        <v>300180</v>
      </c>
      <c r="C3980" t="s">
        <v>8305</v>
      </c>
      <c r="D3980" t="s">
        <v>1192</v>
      </c>
      <c r="F3980">
        <v>353170068</v>
      </c>
      <c r="G3980">
        <v>391121962</v>
      </c>
      <c r="H3980">
        <v>345255700</v>
      </c>
      <c r="I3980">
        <v>402120840</v>
      </c>
      <c r="J3980">
        <v>281096179</v>
      </c>
      <c r="K3980">
        <v>192218258</v>
      </c>
      <c r="L3980">
        <v>102117540</v>
      </c>
      <c r="M3980">
        <v>96951196</v>
      </c>
      <c r="N3980">
        <v>58867630</v>
      </c>
      <c r="O3980">
        <v>48506363</v>
      </c>
      <c r="P3980">
        <v>141</v>
      </c>
      <c r="Q3980" t="s">
        <v>8306</v>
      </c>
    </row>
    <row r="3981" spans="1:17" x14ac:dyDescent="0.3">
      <c r="A3981" t="s">
        <v>4729</v>
      </c>
      <c r="B3981" t="str">
        <f>"300181"</f>
        <v>300181</v>
      </c>
      <c r="C3981" t="s">
        <v>8307</v>
      </c>
      <c r="D3981" t="s">
        <v>188</v>
      </c>
      <c r="F3981">
        <v>299924697</v>
      </c>
      <c r="G3981">
        <v>271859915</v>
      </c>
      <c r="H3981">
        <v>249736863</v>
      </c>
      <c r="I3981">
        <v>201461337</v>
      </c>
      <c r="J3981">
        <v>244620799</v>
      </c>
      <c r="K3981">
        <v>227792865</v>
      </c>
      <c r="L3981">
        <v>183747592</v>
      </c>
      <c r="M3981">
        <v>111232423</v>
      </c>
      <c r="N3981">
        <v>42227259</v>
      </c>
      <c r="O3981">
        <v>33396222</v>
      </c>
      <c r="P3981">
        <v>174</v>
      </c>
      <c r="Q3981" t="s">
        <v>8308</v>
      </c>
    </row>
    <row r="3982" spans="1:17" x14ac:dyDescent="0.3">
      <c r="A3982" t="s">
        <v>4729</v>
      </c>
      <c r="B3982" t="str">
        <f>"300182"</f>
        <v>300182</v>
      </c>
      <c r="C3982" t="s">
        <v>8309</v>
      </c>
      <c r="D3982" t="s">
        <v>113</v>
      </c>
      <c r="F3982">
        <v>969306929</v>
      </c>
      <c r="G3982">
        <v>1604954312</v>
      </c>
      <c r="H3982">
        <v>2535481135</v>
      </c>
      <c r="I3982">
        <v>3504808815</v>
      </c>
      <c r="J3982">
        <v>2206873505</v>
      </c>
      <c r="K3982">
        <v>1628477021</v>
      </c>
      <c r="L3982">
        <v>1179874964</v>
      </c>
      <c r="M3982">
        <v>763834200</v>
      </c>
      <c r="N3982">
        <v>432737934</v>
      </c>
      <c r="O3982">
        <v>188681447</v>
      </c>
      <c r="P3982">
        <v>514</v>
      </c>
      <c r="Q3982" t="s">
        <v>8310</v>
      </c>
    </row>
    <row r="3983" spans="1:17" x14ac:dyDescent="0.3">
      <c r="A3983" t="s">
        <v>4729</v>
      </c>
      <c r="B3983" t="str">
        <f>"300183"</f>
        <v>300183</v>
      </c>
      <c r="C3983" t="s">
        <v>8311</v>
      </c>
      <c r="D3983" t="s">
        <v>595</v>
      </c>
      <c r="F3983">
        <v>280963561</v>
      </c>
      <c r="G3983">
        <v>279785541</v>
      </c>
      <c r="H3983">
        <v>341950196</v>
      </c>
      <c r="I3983">
        <v>478231220</v>
      </c>
      <c r="J3983">
        <v>313903894</v>
      </c>
      <c r="K3983">
        <v>328348763</v>
      </c>
      <c r="L3983">
        <v>327774450</v>
      </c>
      <c r="M3983">
        <v>222306584</v>
      </c>
      <c r="N3983">
        <v>114261715</v>
      </c>
      <c r="O3983">
        <v>80801220</v>
      </c>
      <c r="P3983">
        <v>276</v>
      </c>
      <c r="Q3983" t="s">
        <v>8312</v>
      </c>
    </row>
    <row r="3984" spans="1:17" x14ac:dyDescent="0.3">
      <c r="A3984" t="s">
        <v>4729</v>
      </c>
      <c r="B3984" t="str">
        <f>"300184"</f>
        <v>300184</v>
      </c>
      <c r="C3984" t="s">
        <v>8313</v>
      </c>
      <c r="D3984" t="s">
        <v>651</v>
      </c>
      <c r="F3984">
        <v>1721523829</v>
      </c>
      <c r="G3984">
        <v>1726319068</v>
      </c>
      <c r="H3984">
        <v>2009698069</v>
      </c>
      <c r="I3984">
        <v>1866137782</v>
      </c>
      <c r="J3984">
        <v>1503021642</v>
      </c>
      <c r="K3984">
        <v>419361935</v>
      </c>
      <c r="L3984">
        <v>236502418</v>
      </c>
      <c r="M3984">
        <v>166038541</v>
      </c>
      <c r="N3984">
        <v>32348813</v>
      </c>
      <c r="O3984">
        <v>26383946</v>
      </c>
      <c r="P3984">
        <v>252</v>
      </c>
      <c r="Q3984" t="s">
        <v>8314</v>
      </c>
    </row>
    <row r="3985" spans="1:17" x14ac:dyDescent="0.3">
      <c r="A3985" t="s">
        <v>4729</v>
      </c>
      <c r="B3985" t="str">
        <f>"300185"</f>
        <v>300185</v>
      </c>
      <c r="C3985" t="s">
        <v>8315</v>
      </c>
      <c r="D3985" t="s">
        <v>950</v>
      </c>
      <c r="F3985">
        <v>1654031900</v>
      </c>
      <c r="G3985">
        <v>1488298984</v>
      </c>
      <c r="H3985">
        <v>1622322242</v>
      </c>
      <c r="I3985">
        <v>1321381951</v>
      </c>
      <c r="J3985">
        <v>1241886676</v>
      </c>
      <c r="K3985">
        <v>1093140714</v>
      </c>
      <c r="L3985">
        <v>1004708481</v>
      </c>
      <c r="M3985">
        <v>868618579</v>
      </c>
      <c r="N3985">
        <v>815774853</v>
      </c>
      <c r="O3985">
        <v>733646427</v>
      </c>
      <c r="P3985">
        <v>201</v>
      </c>
      <c r="Q3985" t="s">
        <v>8316</v>
      </c>
    </row>
    <row r="3986" spans="1:17" x14ac:dyDescent="0.3">
      <c r="A3986" t="s">
        <v>4729</v>
      </c>
      <c r="B3986" t="str">
        <f>"300186"</f>
        <v>300186</v>
      </c>
      <c r="C3986" t="s">
        <v>8317</v>
      </c>
      <c r="M3986">
        <v>216879293.93000001</v>
      </c>
      <c r="N3986">
        <v>322210997.80000001</v>
      </c>
      <c r="O3986">
        <v>159491133.12</v>
      </c>
      <c r="P3986">
        <v>5</v>
      </c>
      <c r="Q3986" t="s">
        <v>8318</v>
      </c>
    </row>
    <row r="3987" spans="1:17" x14ac:dyDescent="0.3">
      <c r="A3987" t="s">
        <v>4729</v>
      </c>
      <c r="B3987" t="str">
        <f>"300187"</f>
        <v>300187</v>
      </c>
      <c r="C3987" t="s">
        <v>8319</v>
      </c>
      <c r="D3987" t="s">
        <v>499</v>
      </c>
      <c r="F3987">
        <v>390171144</v>
      </c>
      <c r="G3987">
        <v>472293248</v>
      </c>
      <c r="H3987">
        <v>369620207</v>
      </c>
      <c r="I3987">
        <v>366827828</v>
      </c>
      <c r="J3987">
        <v>361337467</v>
      </c>
      <c r="K3987">
        <v>400600767</v>
      </c>
      <c r="L3987">
        <v>337636058</v>
      </c>
      <c r="M3987">
        <v>254771312</v>
      </c>
      <c r="N3987">
        <v>97156517</v>
      </c>
      <c r="O3987">
        <v>24945654</v>
      </c>
      <c r="P3987">
        <v>110</v>
      </c>
      <c r="Q3987" t="s">
        <v>8320</v>
      </c>
    </row>
    <row r="3988" spans="1:17" x14ac:dyDescent="0.3">
      <c r="A3988" t="s">
        <v>4729</v>
      </c>
      <c r="B3988" t="str">
        <f>"300188"</f>
        <v>300188</v>
      </c>
      <c r="C3988" t="s">
        <v>8321</v>
      </c>
      <c r="D3988" t="s">
        <v>945</v>
      </c>
      <c r="F3988">
        <v>846644844</v>
      </c>
      <c r="G3988">
        <v>747113863</v>
      </c>
      <c r="H3988">
        <v>796779217</v>
      </c>
      <c r="I3988">
        <v>625000673</v>
      </c>
      <c r="J3988">
        <v>339930465</v>
      </c>
      <c r="K3988">
        <v>263180586</v>
      </c>
      <c r="L3988">
        <v>260284686</v>
      </c>
      <c r="M3988">
        <v>172468411</v>
      </c>
      <c r="N3988">
        <v>125143125</v>
      </c>
      <c r="O3988">
        <v>134878530</v>
      </c>
      <c r="P3988">
        <v>557</v>
      </c>
      <c r="Q3988" t="s">
        <v>8322</v>
      </c>
    </row>
    <row r="3989" spans="1:17" x14ac:dyDescent="0.3">
      <c r="A3989" t="s">
        <v>4729</v>
      </c>
      <c r="B3989" t="str">
        <f>"300189"</f>
        <v>300189</v>
      </c>
      <c r="C3989" t="s">
        <v>8323</v>
      </c>
      <c r="D3989" t="s">
        <v>706</v>
      </c>
      <c r="F3989">
        <v>39598356</v>
      </c>
      <c r="G3989">
        <v>49438256</v>
      </c>
      <c r="H3989">
        <v>46286322</v>
      </c>
      <c r="I3989">
        <v>155202107</v>
      </c>
      <c r="J3989">
        <v>420674878</v>
      </c>
      <c r="K3989">
        <v>177341922</v>
      </c>
      <c r="L3989">
        <v>90873204</v>
      </c>
      <c r="M3989">
        <v>62001696</v>
      </c>
      <c r="N3989">
        <v>101186819</v>
      </c>
      <c r="O3989">
        <v>81284417</v>
      </c>
      <c r="P3989">
        <v>111</v>
      </c>
      <c r="Q3989" t="s">
        <v>8324</v>
      </c>
    </row>
    <row r="3990" spans="1:17" x14ac:dyDescent="0.3">
      <c r="A3990" t="s">
        <v>4729</v>
      </c>
      <c r="B3990" t="str">
        <f>"300190"</f>
        <v>300190</v>
      </c>
      <c r="C3990" t="s">
        <v>8325</v>
      </c>
      <c r="D3990" t="s">
        <v>3575</v>
      </c>
      <c r="F3990">
        <v>1768352313</v>
      </c>
      <c r="G3990">
        <v>1747067051</v>
      </c>
      <c r="H3990">
        <v>1306608615</v>
      </c>
      <c r="I3990">
        <v>1067203724</v>
      </c>
      <c r="J3990">
        <v>899399367</v>
      </c>
      <c r="K3990">
        <v>548754872</v>
      </c>
      <c r="L3990">
        <v>447735930</v>
      </c>
      <c r="M3990">
        <v>378726064</v>
      </c>
      <c r="N3990">
        <v>290742647</v>
      </c>
      <c r="O3990">
        <v>282525221</v>
      </c>
      <c r="P3990">
        <v>233</v>
      </c>
      <c r="Q3990" t="s">
        <v>8326</v>
      </c>
    </row>
    <row r="3991" spans="1:17" x14ac:dyDescent="0.3">
      <c r="A3991" t="s">
        <v>4729</v>
      </c>
      <c r="B3991" t="str">
        <f>"300191"</f>
        <v>300191</v>
      </c>
      <c r="C3991" t="s">
        <v>8327</v>
      </c>
      <c r="D3991" t="s">
        <v>762</v>
      </c>
      <c r="F3991">
        <v>45998723</v>
      </c>
      <c r="G3991">
        <v>84320342</v>
      </c>
      <c r="H3991">
        <v>169207154</v>
      </c>
      <c r="I3991">
        <v>49357664</v>
      </c>
      <c r="J3991">
        <v>48828677</v>
      </c>
      <c r="K3991">
        <v>98898677</v>
      </c>
      <c r="L3991">
        <v>44784053</v>
      </c>
      <c r="M3991">
        <v>121857276</v>
      </c>
      <c r="N3991">
        <v>237266733</v>
      </c>
      <c r="O3991">
        <v>178911106</v>
      </c>
      <c r="P3991">
        <v>75</v>
      </c>
      <c r="Q3991" t="s">
        <v>8328</v>
      </c>
    </row>
    <row r="3992" spans="1:17" x14ac:dyDescent="0.3">
      <c r="A3992" t="s">
        <v>4729</v>
      </c>
      <c r="B3992" t="str">
        <f>"300192"</f>
        <v>300192</v>
      </c>
      <c r="C3992" t="s">
        <v>8329</v>
      </c>
      <c r="D3992" t="s">
        <v>1336</v>
      </c>
      <c r="F3992">
        <v>117981055</v>
      </c>
      <c r="G3992">
        <v>124475519</v>
      </c>
      <c r="H3992">
        <v>126913238</v>
      </c>
      <c r="I3992">
        <v>125266719</v>
      </c>
      <c r="J3992">
        <v>131445940</v>
      </c>
      <c r="K3992">
        <v>136149458</v>
      </c>
      <c r="L3992">
        <v>131296038</v>
      </c>
      <c r="M3992">
        <v>137198812</v>
      </c>
      <c r="N3992">
        <v>118441310</v>
      </c>
      <c r="O3992">
        <v>91097923</v>
      </c>
      <c r="P3992">
        <v>182</v>
      </c>
      <c r="Q3992" t="s">
        <v>8330</v>
      </c>
    </row>
    <row r="3993" spans="1:17" x14ac:dyDescent="0.3">
      <c r="A3993" t="s">
        <v>4729</v>
      </c>
      <c r="B3993" t="str">
        <f>"300193"</f>
        <v>300193</v>
      </c>
      <c r="C3993" t="s">
        <v>8331</v>
      </c>
      <c r="D3993" t="s">
        <v>560</v>
      </c>
      <c r="F3993">
        <v>194231778</v>
      </c>
      <c r="G3993">
        <v>123816670</v>
      </c>
      <c r="H3993">
        <v>140514539</v>
      </c>
      <c r="I3993">
        <v>114144251</v>
      </c>
      <c r="J3993">
        <v>104685625</v>
      </c>
      <c r="K3993">
        <v>108273446</v>
      </c>
      <c r="L3993">
        <v>118625393</v>
      </c>
      <c r="M3993">
        <v>115943801</v>
      </c>
      <c r="N3993">
        <v>140337222</v>
      </c>
      <c r="O3993">
        <v>126838692</v>
      </c>
      <c r="P3993">
        <v>154</v>
      </c>
      <c r="Q3993" t="s">
        <v>8332</v>
      </c>
    </row>
    <row r="3994" spans="1:17" x14ac:dyDescent="0.3">
      <c r="A3994" t="s">
        <v>4729</v>
      </c>
      <c r="B3994" t="str">
        <f>"300194"</f>
        <v>300194</v>
      </c>
      <c r="C3994" t="s">
        <v>8333</v>
      </c>
      <c r="D3994" t="s">
        <v>143</v>
      </c>
      <c r="F3994">
        <v>318802669</v>
      </c>
      <c r="G3994">
        <v>285478679</v>
      </c>
      <c r="H3994">
        <v>339323606</v>
      </c>
      <c r="I3994">
        <v>280482036</v>
      </c>
      <c r="J3994">
        <v>211264958</v>
      </c>
      <c r="K3994">
        <v>185851751</v>
      </c>
      <c r="L3994">
        <v>141905887</v>
      </c>
      <c r="M3994">
        <v>67468952</v>
      </c>
      <c r="N3994">
        <v>38485962</v>
      </c>
      <c r="O3994">
        <v>53780382</v>
      </c>
      <c r="P3994">
        <v>149</v>
      </c>
      <c r="Q3994" t="s">
        <v>8334</v>
      </c>
    </row>
    <row r="3995" spans="1:17" x14ac:dyDescent="0.3">
      <c r="A3995" t="s">
        <v>4729</v>
      </c>
      <c r="B3995" t="str">
        <f>"300195"</f>
        <v>300195</v>
      </c>
      <c r="C3995" t="s">
        <v>8335</v>
      </c>
      <c r="D3995" t="s">
        <v>3415</v>
      </c>
      <c r="F3995">
        <v>277467581</v>
      </c>
      <c r="G3995">
        <v>204940439</v>
      </c>
      <c r="H3995">
        <v>428873147</v>
      </c>
      <c r="I3995">
        <v>413166527</v>
      </c>
      <c r="J3995">
        <v>405372479</v>
      </c>
      <c r="K3995">
        <v>590425744</v>
      </c>
      <c r="L3995">
        <v>578951145</v>
      </c>
      <c r="M3995">
        <v>463240706</v>
      </c>
      <c r="N3995">
        <v>218177403</v>
      </c>
      <c r="O3995">
        <v>116686099</v>
      </c>
      <c r="P3995">
        <v>90</v>
      </c>
      <c r="Q3995" t="s">
        <v>8336</v>
      </c>
    </row>
    <row r="3996" spans="1:17" x14ac:dyDescent="0.3">
      <c r="A3996" t="s">
        <v>4729</v>
      </c>
      <c r="B3996" t="str">
        <f>"300196"</f>
        <v>300196</v>
      </c>
      <c r="C3996" t="s">
        <v>8337</v>
      </c>
      <c r="D3996" t="s">
        <v>411</v>
      </c>
      <c r="F3996">
        <v>417098789</v>
      </c>
      <c r="G3996">
        <v>347324390</v>
      </c>
      <c r="H3996">
        <v>346344220</v>
      </c>
      <c r="I3996">
        <v>350913139</v>
      </c>
      <c r="J3996">
        <v>347677848</v>
      </c>
      <c r="K3996">
        <v>338891316</v>
      </c>
      <c r="L3996">
        <v>313366209</v>
      </c>
      <c r="M3996">
        <v>170108203</v>
      </c>
      <c r="N3996">
        <v>143206332</v>
      </c>
      <c r="O3996">
        <v>90415483</v>
      </c>
      <c r="P3996">
        <v>232</v>
      </c>
      <c r="Q3996" t="s">
        <v>8338</v>
      </c>
    </row>
    <row r="3997" spans="1:17" x14ac:dyDescent="0.3">
      <c r="A3997" t="s">
        <v>4729</v>
      </c>
      <c r="B3997" t="str">
        <f>"300197"</f>
        <v>300197</v>
      </c>
      <c r="C3997" t="s">
        <v>8339</v>
      </c>
      <c r="D3997" t="s">
        <v>2417</v>
      </c>
      <c r="F3997">
        <v>2592716103</v>
      </c>
      <c r="G3997">
        <v>2668201225</v>
      </c>
      <c r="H3997">
        <v>1628533766</v>
      </c>
      <c r="I3997">
        <v>906017405</v>
      </c>
      <c r="J3997">
        <v>1009116604</v>
      </c>
      <c r="K3997">
        <v>752541871</v>
      </c>
      <c r="L3997">
        <v>249879192</v>
      </c>
      <c r="M3997">
        <v>140022821</v>
      </c>
      <c r="N3997">
        <v>111402927</v>
      </c>
      <c r="O3997">
        <v>68476177</v>
      </c>
      <c r="P3997">
        <v>356</v>
      </c>
      <c r="Q3997" t="s">
        <v>8340</v>
      </c>
    </row>
    <row r="3998" spans="1:17" x14ac:dyDescent="0.3">
      <c r="A3998" t="s">
        <v>4729</v>
      </c>
      <c r="B3998" t="str">
        <f>"300198"</f>
        <v>300198</v>
      </c>
      <c r="C3998" t="s">
        <v>8341</v>
      </c>
      <c r="D3998" t="s">
        <v>3347</v>
      </c>
      <c r="F3998">
        <v>415486832</v>
      </c>
      <c r="G3998">
        <v>391494697</v>
      </c>
      <c r="H3998">
        <v>462986063</v>
      </c>
      <c r="I3998">
        <v>520129668</v>
      </c>
      <c r="J3998">
        <v>719485562</v>
      </c>
      <c r="K3998">
        <v>726363882</v>
      </c>
      <c r="L3998">
        <v>600018691</v>
      </c>
      <c r="M3998">
        <v>514244735</v>
      </c>
      <c r="N3998">
        <v>501580663</v>
      </c>
      <c r="O3998">
        <v>311648409</v>
      </c>
      <c r="P3998">
        <v>82</v>
      </c>
      <c r="Q3998" t="s">
        <v>8342</v>
      </c>
    </row>
    <row r="3999" spans="1:17" x14ac:dyDescent="0.3">
      <c r="A3999" t="s">
        <v>4729</v>
      </c>
      <c r="B3999" t="str">
        <f>"300199"</f>
        <v>300199</v>
      </c>
      <c r="C3999" t="s">
        <v>8343</v>
      </c>
      <c r="D3999" t="s">
        <v>143</v>
      </c>
      <c r="F3999">
        <v>270977113</v>
      </c>
      <c r="G3999">
        <v>313968722</v>
      </c>
      <c r="H3999">
        <v>831491925</v>
      </c>
      <c r="I3999">
        <v>1231757062</v>
      </c>
      <c r="J3999">
        <v>1083616550</v>
      </c>
      <c r="K3999">
        <v>732246307</v>
      </c>
      <c r="L3999">
        <v>617536717</v>
      </c>
      <c r="M3999">
        <v>185776415</v>
      </c>
      <c r="N3999">
        <v>147919903</v>
      </c>
      <c r="O3999">
        <v>101627926</v>
      </c>
      <c r="P3999">
        <v>242</v>
      </c>
      <c r="Q3999" t="s">
        <v>8344</v>
      </c>
    </row>
    <row r="4000" spans="1:17" x14ac:dyDescent="0.3">
      <c r="A4000" t="s">
        <v>4729</v>
      </c>
      <c r="B4000" t="str">
        <f>"300200"</f>
        <v>300200</v>
      </c>
      <c r="C4000" t="s">
        <v>8345</v>
      </c>
      <c r="D4000" t="s">
        <v>528</v>
      </c>
      <c r="F4000">
        <v>152332541</v>
      </c>
      <c r="G4000">
        <v>175467592</v>
      </c>
      <c r="H4000">
        <v>168883207</v>
      </c>
      <c r="I4000">
        <v>193959833</v>
      </c>
      <c r="J4000">
        <v>235966163</v>
      </c>
      <c r="K4000">
        <v>182793428</v>
      </c>
      <c r="L4000">
        <v>152920974</v>
      </c>
      <c r="M4000">
        <v>165651683</v>
      </c>
      <c r="N4000">
        <v>182479109</v>
      </c>
      <c r="O4000">
        <v>123363319</v>
      </c>
      <c r="P4000">
        <v>160</v>
      </c>
      <c r="Q4000" t="s">
        <v>8346</v>
      </c>
    </row>
    <row r="4001" spans="1:17" x14ac:dyDescent="0.3">
      <c r="A4001" t="s">
        <v>4729</v>
      </c>
      <c r="B4001" t="str">
        <f>"300201"</f>
        <v>300201</v>
      </c>
      <c r="C4001" t="s">
        <v>8347</v>
      </c>
      <c r="D4001" t="s">
        <v>83</v>
      </c>
      <c r="F4001">
        <v>711666054</v>
      </c>
      <c r="G4001">
        <v>603226846</v>
      </c>
      <c r="H4001">
        <v>1020940703</v>
      </c>
      <c r="I4001">
        <v>1339336531</v>
      </c>
      <c r="J4001">
        <v>1037818098</v>
      </c>
      <c r="K4001">
        <v>899299300</v>
      </c>
      <c r="L4001">
        <v>366111089</v>
      </c>
      <c r="M4001">
        <v>226643147</v>
      </c>
      <c r="N4001">
        <v>226411686</v>
      </c>
      <c r="O4001">
        <v>163341934</v>
      </c>
      <c r="P4001">
        <v>77</v>
      </c>
      <c r="Q4001" t="s">
        <v>8348</v>
      </c>
    </row>
    <row r="4002" spans="1:17" x14ac:dyDescent="0.3">
      <c r="A4002" t="s">
        <v>4729</v>
      </c>
      <c r="B4002" t="str">
        <f>"300202"</f>
        <v>300202</v>
      </c>
      <c r="C4002" t="s">
        <v>8349</v>
      </c>
      <c r="D4002" t="s">
        <v>236</v>
      </c>
      <c r="F4002">
        <v>304049351</v>
      </c>
      <c r="G4002">
        <v>381192809</v>
      </c>
      <c r="H4002">
        <v>476472446</v>
      </c>
      <c r="I4002">
        <v>578819684</v>
      </c>
      <c r="J4002">
        <v>694549554</v>
      </c>
      <c r="K4002">
        <v>824779348</v>
      </c>
      <c r="L4002">
        <v>585320185</v>
      </c>
      <c r="M4002">
        <v>605156803</v>
      </c>
      <c r="N4002">
        <v>364654425</v>
      </c>
      <c r="O4002">
        <v>191577356</v>
      </c>
      <c r="P4002">
        <v>2978</v>
      </c>
      <c r="Q4002" t="s">
        <v>8350</v>
      </c>
    </row>
    <row r="4003" spans="1:17" x14ac:dyDescent="0.3">
      <c r="A4003" t="s">
        <v>4729</v>
      </c>
      <c r="B4003" t="str">
        <f>"300203"</f>
        <v>300203</v>
      </c>
      <c r="C4003" t="s">
        <v>8351</v>
      </c>
      <c r="D4003" t="s">
        <v>3575</v>
      </c>
      <c r="F4003">
        <v>1309358354</v>
      </c>
      <c r="G4003">
        <v>1412228032</v>
      </c>
      <c r="H4003">
        <v>1737494256</v>
      </c>
      <c r="I4003">
        <v>1689302741</v>
      </c>
      <c r="J4003">
        <v>1716687734</v>
      </c>
      <c r="K4003">
        <v>1504044555</v>
      </c>
      <c r="L4003">
        <v>1097587024</v>
      </c>
      <c r="M4003">
        <v>797859465</v>
      </c>
      <c r="N4003">
        <v>685033258</v>
      </c>
      <c r="O4003">
        <v>630544667</v>
      </c>
      <c r="P4003">
        <v>431</v>
      </c>
      <c r="Q4003" t="s">
        <v>8352</v>
      </c>
    </row>
    <row r="4004" spans="1:17" x14ac:dyDescent="0.3">
      <c r="A4004" t="s">
        <v>4729</v>
      </c>
      <c r="B4004" t="str">
        <f>"300204"</f>
        <v>300204</v>
      </c>
      <c r="C4004" t="s">
        <v>8353</v>
      </c>
      <c r="D4004" t="s">
        <v>1379</v>
      </c>
      <c r="F4004">
        <v>119138665</v>
      </c>
      <c r="G4004">
        <v>91070058</v>
      </c>
      <c r="H4004">
        <v>102462568</v>
      </c>
      <c r="I4004">
        <v>118098946</v>
      </c>
      <c r="J4004">
        <v>199660032</v>
      </c>
      <c r="K4004">
        <v>277761907</v>
      </c>
      <c r="L4004">
        <v>238741222</v>
      </c>
      <c r="M4004">
        <v>211548975</v>
      </c>
      <c r="N4004">
        <v>178502228</v>
      </c>
      <c r="O4004">
        <v>132358136</v>
      </c>
      <c r="P4004">
        <v>202</v>
      </c>
      <c r="Q4004" t="s">
        <v>8354</v>
      </c>
    </row>
    <row r="4005" spans="1:17" x14ac:dyDescent="0.3">
      <c r="A4005" t="s">
        <v>4729</v>
      </c>
      <c r="B4005" t="str">
        <f>"300205"</f>
        <v>300205</v>
      </c>
      <c r="C4005" t="s">
        <v>8355</v>
      </c>
      <c r="D4005" t="s">
        <v>786</v>
      </c>
      <c r="F4005">
        <v>418688918</v>
      </c>
      <c r="G4005">
        <v>735224900</v>
      </c>
      <c r="H4005">
        <v>908210315</v>
      </c>
      <c r="I4005">
        <v>732900767</v>
      </c>
      <c r="J4005">
        <v>514420932</v>
      </c>
      <c r="K4005">
        <v>453024328</v>
      </c>
      <c r="L4005">
        <v>503500013</v>
      </c>
      <c r="M4005">
        <v>542057246</v>
      </c>
      <c r="N4005">
        <v>564979806</v>
      </c>
      <c r="O4005">
        <v>394329107</v>
      </c>
      <c r="P4005">
        <v>222</v>
      </c>
      <c r="Q4005" t="s">
        <v>8356</v>
      </c>
    </row>
    <row r="4006" spans="1:17" x14ac:dyDescent="0.3">
      <c r="A4006" t="s">
        <v>4729</v>
      </c>
      <c r="B4006" t="str">
        <f>"300206"</f>
        <v>300206</v>
      </c>
      <c r="C4006" t="s">
        <v>8357</v>
      </c>
      <c r="D4006" t="s">
        <v>122</v>
      </c>
      <c r="F4006">
        <v>91017993</v>
      </c>
      <c r="G4006">
        <v>155492712</v>
      </c>
      <c r="H4006">
        <v>128994094</v>
      </c>
      <c r="I4006">
        <v>104579266</v>
      </c>
      <c r="J4006">
        <v>62719621</v>
      </c>
      <c r="K4006">
        <v>80351195</v>
      </c>
      <c r="L4006">
        <v>41114956</v>
      </c>
      <c r="M4006">
        <v>38695461</v>
      </c>
      <c r="N4006">
        <v>19863396</v>
      </c>
      <c r="O4006">
        <v>11928473</v>
      </c>
      <c r="P4006">
        <v>426</v>
      </c>
      <c r="Q4006" t="s">
        <v>8358</v>
      </c>
    </row>
    <row r="4007" spans="1:17" x14ac:dyDescent="0.3">
      <c r="A4007" t="s">
        <v>4729</v>
      </c>
      <c r="B4007" t="str">
        <f>"300207"</f>
        <v>300207</v>
      </c>
      <c r="C4007" t="s">
        <v>8359</v>
      </c>
      <c r="D4007" t="s">
        <v>359</v>
      </c>
      <c r="F4007">
        <v>8551739821</v>
      </c>
      <c r="G4007">
        <v>7508406084</v>
      </c>
      <c r="H4007">
        <v>5103567615</v>
      </c>
      <c r="I4007">
        <v>4743027753</v>
      </c>
      <c r="J4007">
        <v>4045680376</v>
      </c>
      <c r="K4007">
        <v>2214019067</v>
      </c>
      <c r="L4007">
        <v>1525662546</v>
      </c>
      <c r="M4007">
        <v>1051838901</v>
      </c>
      <c r="N4007">
        <v>869908226</v>
      </c>
      <c r="O4007">
        <v>637060231</v>
      </c>
      <c r="P4007">
        <v>1012</v>
      </c>
      <c r="Q4007" t="s">
        <v>8360</v>
      </c>
    </row>
    <row r="4008" spans="1:17" x14ac:dyDescent="0.3">
      <c r="A4008" t="s">
        <v>4729</v>
      </c>
      <c r="B4008" t="str">
        <f>"300208"</f>
        <v>300208</v>
      </c>
      <c r="C4008" t="s">
        <v>8361</v>
      </c>
      <c r="D4008" t="s">
        <v>110</v>
      </c>
      <c r="F4008">
        <v>428350695</v>
      </c>
      <c r="G4008">
        <v>468802899</v>
      </c>
      <c r="H4008">
        <v>904501409</v>
      </c>
      <c r="I4008">
        <v>695185793</v>
      </c>
      <c r="J4008">
        <v>602328828</v>
      </c>
      <c r="K4008">
        <v>1139234129</v>
      </c>
      <c r="L4008">
        <v>488415364</v>
      </c>
      <c r="M4008">
        <v>258220586</v>
      </c>
      <c r="N4008">
        <v>87757765</v>
      </c>
      <c r="O4008">
        <v>84136095</v>
      </c>
      <c r="P4008">
        <v>144</v>
      </c>
      <c r="Q4008" t="s">
        <v>8362</v>
      </c>
    </row>
    <row r="4009" spans="1:17" x14ac:dyDescent="0.3">
      <c r="A4009" t="s">
        <v>4729</v>
      </c>
      <c r="B4009" t="str">
        <f>"300209"</f>
        <v>300209</v>
      </c>
      <c r="C4009" t="s">
        <v>8363</v>
      </c>
      <c r="D4009" t="s">
        <v>945</v>
      </c>
      <c r="F4009">
        <v>205286350</v>
      </c>
      <c r="G4009">
        <v>1029679794</v>
      </c>
      <c r="H4009">
        <v>1023149899</v>
      </c>
      <c r="I4009">
        <v>812880079</v>
      </c>
      <c r="J4009">
        <v>811596060</v>
      </c>
      <c r="K4009">
        <v>677129404</v>
      </c>
      <c r="L4009">
        <v>134231095</v>
      </c>
      <c r="M4009">
        <v>75458649</v>
      </c>
      <c r="N4009">
        <v>62690345</v>
      </c>
      <c r="O4009">
        <v>38771078</v>
      </c>
      <c r="P4009">
        <v>143</v>
      </c>
      <c r="Q4009" t="s">
        <v>8364</v>
      </c>
    </row>
    <row r="4010" spans="1:17" x14ac:dyDescent="0.3">
      <c r="A4010" t="s">
        <v>4729</v>
      </c>
      <c r="B4010" t="str">
        <f>"300210"</f>
        <v>300210</v>
      </c>
      <c r="C4010" t="s">
        <v>8365</v>
      </c>
      <c r="D4010" t="s">
        <v>1070</v>
      </c>
      <c r="F4010">
        <v>216337703</v>
      </c>
      <c r="G4010">
        <v>271955371</v>
      </c>
      <c r="H4010">
        <v>252669280</v>
      </c>
      <c r="I4010">
        <v>447741044</v>
      </c>
      <c r="J4010">
        <v>443661559</v>
      </c>
      <c r="K4010">
        <v>445388791</v>
      </c>
      <c r="L4010">
        <v>362652428</v>
      </c>
      <c r="M4010">
        <v>328345948</v>
      </c>
      <c r="N4010">
        <v>275060375</v>
      </c>
      <c r="O4010">
        <v>211204596</v>
      </c>
      <c r="P4010">
        <v>50</v>
      </c>
      <c r="Q4010" t="s">
        <v>8366</v>
      </c>
    </row>
    <row r="4011" spans="1:17" x14ac:dyDescent="0.3">
      <c r="A4011" t="s">
        <v>4729</v>
      </c>
      <c r="B4011" t="str">
        <f>"300211"</f>
        <v>300211</v>
      </c>
      <c r="C4011" t="s">
        <v>8367</v>
      </c>
      <c r="D4011" t="s">
        <v>654</v>
      </c>
      <c r="F4011">
        <v>104411717</v>
      </c>
      <c r="G4011">
        <v>28954947</v>
      </c>
      <c r="H4011">
        <v>51318867</v>
      </c>
      <c r="I4011">
        <v>83417374</v>
      </c>
      <c r="J4011">
        <v>127805356</v>
      </c>
      <c r="K4011">
        <v>129663603</v>
      </c>
      <c r="L4011">
        <v>146377066</v>
      </c>
      <c r="M4011">
        <v>132569904</v>
      </c>
      <c r="N4011">
        <v>130237652</v>
      </c>
      <c r="O4011">
        <v>128876370</v>
      </c>
      <c r="P4011">
        <v>63</v>
      </c>
      <c r="Q4011" t="s">
        <v>8368</v>
      </c>
    </row>
    <row r="4012" spans="1:17" x14ac:dyDescent="0.3">
      <c r="A4012" t="s">
        <v>4729</v>
      </c>
      <c r="B4012" t="str">
        <f>"300212"</f>
        <v>300212</v>
      </c>
      <c r="C4012" t="s">
        <v>8369</v>
      </c>
      <c r="D4012" t="s">
        <v>316</v>
      </c>
      <c r="F4012">
        <v>2454723489</v>
      </c>
      <c r="G4012">
        <v>2730055946</v>
      </c>
      <c r="H4012">
        <v>3364234694</v>
      </c>
      <c r="I4012">
        <v>2758650523</v>
      </c>
      <c r="J4012">
        <v>1271223089</v>
      </c>
      <c r="K4012">
        <v>871766251</v>
      </c>
      <c r="L4012">
        <v>414311424</v>
      </c>
      <c r="M4012">
        <v>256255495</v>
      </c>
      <c r="N4012">
        <v>202393009</v>
      </c>
      <c r="O4012">
        <v>204691263</v>
      </c>
      <c r="P4012">
        <v>389</v>
      </c>
      <c r="Q4012" t="s">
        <v>8370</v>
      </c>
    </row>
    <row r="4013" spans="1:17" x14ac:dyDescent="0.3">
      <c r="A4013" t="s">
        <v>4729</v>
      </c>
      <c r="B4013" t="str">
        <f>"300213"</f>
        <v>300213</v>
      </c>
      <c r="C4013" t="s">
        <v>8371</v>
      </c>
      <c r="D4013" t="s">
        <v>595</v>
      </c>
      <c r="F4013">
        <v>991653366</v>
      </c>
      <c r="G4013">
        <v>888703015</v>
      </c>
      <c r="H4013">
        <v>804301535</v>
      </c>
      <c r="I4013">
        <v>792066663</v>
      </c>
      <c r="J4013">
        <v>849620412</v>
      </c>
      <c r="K4013">
        <v>525102395</v>
      </c>
      <c r="L4013">
        <v>411916476</v>
      </c>
      <c r="M4013">
        <v>391529755</v>
      </c>
      <c r="N4013">
        <v>207677291</v>
      </c>
      <c r="O4013">
        <v>169068005</v>
      </c>
      <c r="P4013">
        <v>188</v>
      </c>
      <c r="Q4013" t="s">
        <v>8372</v>
      </c>
    </row>
    <row r="4014" spans="1:17" x14ac:dyDescent="0.3">
      <c r="A4014" t="s">
        <v>4729</v>
      </c>
      <c r="B4014" t="str">
        <f>"300214"</f>
        <v>300214</v>
      </c>
      <c r="C4014" t="s">
        <v>8373</v>
      </c>
      <c r="D4014" t="s">
        <v>1192</v>
      </c>
      <c r="F4014">
        <v>364410951</v>
      </c>
      <c r="G4014">
        <v>365440135</v>
      </c>
      <c r="H4014">
        <v>470313544</v>
      </c>
      <c r="I4014">
        <v>376370666</v>
      </c>
      <c r="J4014">
        <v>335906759</v>
      </c>
      <c r="K4014">
        <v>273588071</v>
      </c>
      <c r="L4014">
        <v>242028713</v>
      </c>
      <c r="M4014">
        <v>249632640</v>
      </c>
      <c r="N4014">
        <v>174623865</v>
      </c>
      <c r="O4014">
        <v>145525592</v>
      </c>
      <c r="P4014">
        <v>107</v>
      </c>
      <c r="Q4014" t="s">
        <v>8374</v>
      </c>
    </row>
    <row r="4015" spans="1:17" x14ac:dyDescent="0.3">
      <c r="A4015" t="s">
        <v>4729</v>
      </c>
      <c r="B4015" t="str">
        <f>"300215"</f>
        <v>300215</v>
      </c>
      <c r="C4015" t="s">
        <v>8375</v>
      </c>
      <c r="D4015" t="s">
        <v>2510</v>
      </c>
      <c r="F4015">
        <v>101468973</v>
      </c>
      <c r="G4015">
        <v>78570291</v>
      </c>
      <c r="H4015">
        <v>86913357</v>
      </c>
      <c r="I4015">
        <v>45778685</v>
      </c>
      <c r="J4015">
        <v>26214979</v>
      </c>
      <c r="K4015">
        <v>20831483</v>
      </c>
      <c r="L4015">
        <v>18575600</v>
      </c>
      <c r="M4015">
        <v>9354932</v>
      </c>
      <c r="N4015">
        <v>6667144</v>
      </c>
      <c r="O4015">
        <v>3361580</v>
      </c>
      <c r="P4015">
        <v>178</v>
      </c>
      <c r="Q4015" t="s">
        <v>8376</v>
      </c>
    </row>
    <row r="4016" spans="1:17" x14ac:dyDescent="0.3">
      <c r="A4016" t="s">
        <v>4729</v>
      </c>
      <c r="B4016" t="str">
        <f>"300216"</f>
        <v>300216</v>
      </c>
      <c r="C4016" t="s">
        <v>8377</v>
      </c>
      <c r="H4016">
        <v>325930174</v>
      </c>
      <c r="I4016">
        <v>518726505</v>
      </c>
      <c r="J4016">
        <v>954660225</v>
      </c>
      <c r="K4016">
        <v>1098632449</v>
      </c>
      <c r="L4016">
        <v>611909592</v>
      </c>
      <c r="M4016">
        <v>439563387</v>
      </c>
      <c r="N4016">
        <v>244110649</v>
      </c>
      <c r="O4016">
        <v>272379196</v>
      </c>
      <c r="P4016">
        <v>53</v>
      </c>
      <c r="Q4016" t="s">
        <v>8378</v>
      </c>
    </row>
    <row r="4017" spans="1:17" x14ac:dyDescent="0.3">
      <c r="A4017" t="s">
        <v>4729</v>
      </c>
      <c r="B4017" t="str">
        <f>"300217"</f>
        <v>300217</v>
      </c>
      <c r="C4017" t="s">
        <v>8379</v>
      </c>
      <c r="D4017" t="s">
        <v>1253</v>
      </c>
      <c r="F4017">
        <v>597498504</v>
      </c>
      <c r="G4017">
        <v>529314809</v>
      </c>
      <c r="H4017">
        <v>383681620</v>
      </c>
      <c r="I4017">
        <v>479411173</v>
      </c>
      <c r="J4017">
        <v>496855298</v>
      </c>
      <c r="K4017">
        <v>485242847</v>
      </c>
      <c r="L4017">
        <v>261221217</v>
      </c>
      <c r="M4017">
        <v>303751638</v>
      </c>
      <c r="N4017">
        <v>280206174</v>
      </c>
      <c r="O4017">
        <v>197473441</v>
      </c>
      <c r="P4017">
        <v>160</v>
      </c>
      <c r="Q4017" t="s">
        <v>8380</v>
      </c>
    </row>
    <row r="4018" spans="1:17" x14ac:dyDescent="0.3">
      <c r="A4018" t="s">
        <v>4729</v>
      </c>
      <c r="B4018" t="str">
        <f>"300218"</f>
        <v>300218</v>
      </c>
      <c r="C4018" t="s">
        <v>8381</v>
      </c>
      <c r="D4018" t="s">
        <v>1192</v>
      </c>
      <c r="F4018">
        <v>214217018</v>
      </c>
      <c r="G4018">
        <v>161866239</v>
      </c>
      <c r="H4018">
        <v>146510389</v>
      </c>
      <c r="I4018">
        <v>134325433</v>
      </c>
      <c r="J4018">
        <v>121078487</v>
      </c>
      <c r="K4018">
        <v>116464127</v>
      </c>
      <c r="L4018">
        <v>107086380</v>
      </c>
      <c r="M4018">
        <v>76353828</v>
      </c>
      <c r="N4018">
        <v>77967090</v>
      </c>
      <c r="O4018">
        <v>43354879</v>
      </c>
      <c r="P4018">
        <v>108</v>
      </c>
      <c r="Q4018" t="s">
        <v>8382</v>
      </c>
    </row>
    <row r="4019" spans="1:17" x14ac:dyDescent="0.3">
      <c r="A4019" t="s">
        <v>4729</v>
      </c>
      <c r="B4019" t="str">
        <f>"300219"</f>
        <v>300219</v>
      </c>
      <c r="C4019" t="s">
        <v>8383</v>
      </c>
      <c r="D4019" t="s">
        <v>803</v>
      </c>
      <c r="F4019">
        <v>976138194</v>
      </c>
      <c r="G4019">
        <v>995490989</v>
      </c>
      <c r="H4019">
        <v>950081276</v>
      </c>
      <c r="I4019">
        <v>1076294402</v>
      </c>
      <c r="J4019">
        <v>857305356</v>
      </c>
      <c r="K4019">
        <v>516917334</v>
      </c>
      <c r="L4019">
        <v>324490397</v>
      </c>
      <c r="M4019">
        <v>293311427</v>
      </c>
      <c r="N4019">
        <v>172323280</v>
      </c>
      <c r="O4019">
        <v>121132473</v>
      </c>
      <c r="P4019">
        <v>135</v>
      </c>
      <c r="Q4019" t="s">
        <v>8384</v>
      </c>
    </row>
    <row r="4020" spans="1:17" x14ac:dyDescent="0.3">
      <c r="A4020" t="s">
        <v>4729</v>
      </c>
      <c r="B4020" t="str">
        <f>"300220"</f>
        <v>300220</v>
      </c>
      <c r="C4020" t="s">
        <v>8385</v>
      </c>
      <c r="D4020" t="s">
        <v>3811</v>
      </c>
      <c r="F4020">
        <v>19424023</v>
      </c>
      <c r="G4020">
        <v>32585188</v>
      </c>
      <c r="H4020">
        <v>40437585</v>
      </c>
      <c r="I4020">
        <v>23479958</v>
      </c>
      <c r="J4020">
        <v>25873240</v>
      </c>
      <c r="K4020">
        <v>37433896</v>
      </c>
      <c r="L4020">
        <v>50133201</v>
      </c>
      <c r="M4020">
        <v>39065113</v>
      </c>
      <c r="N4020">
        <v>26762277</v>
      </c>
      <c r="O4020">
        <v>12244755</v>
      </c>
      <c r="P4020">
        <v>91</v>
      </c>
      <c r="Q4020" t="s">
        <v>8386</v>
      </c>
    </row>
    <row r="4021" spans="1:17" x14ac:dyDescent="0.3">
      <c r="A4021" t="s">
        <v>4729</v>
      </c>
      <c r="B4021" t="str">
        <f>"300221"</f>
        <v>300221</v>
      </c>
      <c r="C4021" t="s">
        <v>8387</v>
      </c>
      <c r="D4021" t="s">
        <v>341</v>
      </c>
      <c r="F4021">
        <v>704106424</v>
      </c>
      <c r="G4021">
        <v>536197084</v>
      </c>
      <c r="H4021">
        <v>357993725</v>
      </c>
      <c r="I4021">
        <v>510066753</v>
      </c>
      <c r="J4021">
        <v>728597445</v>
      </c>
      <c r="K4021">
        <v>512011109</v>
      </c>
      <c r="L4021">
        <v>402657377</v>
      </c>
      <c r="M4021">
        <v>377092049</v>
      </c>
      <c r="N4021">
        <v>305556210</v>
      </c>
      <c r="O4021">
        <v>271112480</v>
      </c>
      <c r="P4021">
        <v>173</v>
      </c>
      <c r="Q4021" t="s">
        <v>8388</v>
      </c>
    </row>
    <row r="4022" spans="1:17" x14ac:dyDescent="0.3">
      <c r="A4022" t="s">
        <v>4729</v>
      </c>
      <c r="B4022" t="str">
        <f>"300222"</f>
        <v>300222</v>
      </c>
      <c r="C4022" t="s">
        <v>8389</v>
      </c>
      <c r="D4022" t="s">
        <v>610</v>
      </c>
      <c r="F4022">
        <v>1538346374</v>
      </c>
      <c r="G4022">
        <v>1368941698</v>
      </c>
      <c r="H4022">
        <v>1526916256</v>
      </c>
      <c r="I4022">
        <v>2076663412</v>
      </c>
      <c r="J4022">
        <v>1134378142</v>
      </c>
      <c r="K4022">
        <v>669794621</v>
      </c>
      <c r="L4022">
        <v>362251302</v>
      </c>
      <c r="M4022">
        <v>280153141</v>
      </c>
      <c r="N4022">
        <v>154843146</v>
      </c>
      <c r="O4022">
        <v>151053319</v>
      </c>
      <c r="P4022">
        <v>221</v>
      </c>
      <c r="Q4022" t="s">
        <v>8390</v>
      </c>
    </row>
    <row r="4023" spans="1:17" x14ac:dyDescent="0.3">
      <c r="A4023" t="s">
        <v>4729</v>
      </c>
      <c r="B4023" t="str">
        <f>"300223"</f>
        <v>300223</v>
      </c>
      <c r="C4023" t="s">
        <v>8391</v>
      </c>
      <c r="D4023" t="s">
        <v>461</v>
      </c>
      <c r="F4023">
        <v>658228909</v>
      </c>
      <c r="G4023">
        <v>459370265</v>
      </c>
      <c r="H4023">
        <v>23336467</v>
      </c>
      <c r="I4023">
        <v>22320656</v>
      </c>
      <c r="J4023">
        <v>13241437</v>
      </c>
      <c r="K4023">
        <v>15763891</v>
      </c>
      <c r="L4023">
        <v>7862573</v>
      </c>
      <c r="M4023">
        <v>3954984</v>
      </c>
      <c r="N4023">
        <v>13523435</v>
      </c>
      <c r="O4023">
        <v>16509596</v>
      </c>
      <c r="P4023">
        <v>612</v>
      </c>
      <c r="Q4023" t="s">
        <v>8392</v>
      </c>
    </row>
    <row r="4024" spans="1:17" x14ac:dyDescent="0.3">
      <c r="A4024" t="s">
        <v>4729</v>
      </c>
      <c r="B4024" t="str">
        <f>"300224"</f>
        <v>300224</v>
      </c>
      <c r="C4024" t="s">
        <v>8393</v>
      </c>
      <c r="D4024" t="s">
        <v>808</v>
      </c>
      <c r="F4024">
        <v>707730316</v>
      </c>
      <c r="G4024">
        <v>509863814</v>
      </c>
      <c r="H4024">
        <v>538767531</v>
      </c>
      <c r="I4024">
        <v>614780536</v>
      </c>
      <c r="J4024">
        <v>550911964</v>
      </c>
      <c r="K4024">
        <v>661183281</v>
      </c>
      <c r="L4024">
        <v>467649450</v>
      </c>
      <c r="M4024">
        <v>166328284</v>
      </c>
      <c r="N4024">
        <v>98634464</v>
      </c>
      <c r="O4024">
        <v>73182086</v>
      </c>
      <c r="P4024">
        <v>198</v>
      </c>
      <c r="Q4024" t="s">
        <v>8394</v>
      </c>
    </row>
    <row r="4025" spans="1:17" x14ac:dyDescent="0.3">
      <c r="A4025" t="s">
        <v>4729</v>
      </c>
      <c r="B4025" t="str">
        <f>"300225"</f>
        <v>300225</v>
      </c>
      <c r="C4025" t="s">
        <v>8395</v>
      </c>
      <c r="D4025" t="s">
        <v>2585</v>
      </c>
      <c r="F4025">
        <v>218669848</v>
      </c>
      <c r="G4025">
        <v>277904718</v>
      </c>
      <c r="H4025">
        <v>317021678</v>
      </c>
      <c r="I4025">
        <v>345860117</v>
      </c>
      <c r="J4025">
        <v>309563162</v>
      </c>
      <c r="K4025">
        <v>311952729</v>
      </c>
      <c r="L4025">
        <v>264215675</v>
      </c>
      <c r="M4025">
        <v>195457952</v>
      </c>
      <c r="N4025">
        <v>168560357</v>
      </c>
      <c r="O4025">
        <v>133785741</v>
      </c>
      <c r="P4025">
        <v>94</v>
      </c>
      <c r="Q4025" t="s">
        <v>8396</v>
      </c>
    </row>
    <row r="4026" spans="1:17" x14ac:dyDescent="0.3">
      <c r="A4026" t="s">
        <v>4729</v>
      </c>
      <c r="B4026" t="str">
        <f>"300226"</f>
        <v>300226</v>
      </c>
      <c r="C4026" t="s">
        <v>8397</v>
      </c>
      <c r="D4026" t="s">
        <v>945</v>
      </c>
      <c r="F4026">
        <v>4582290522</v>
      </c>
      <c r="G4026">
        <v>4738567818</v>
      </c>
      <c r="H4026">
        <v>2980465136</v>
      </c>
      <c r="I4026">
        <v>2050569169</v>
      </c>
      <c r="J4026">
        <v>876791948</v>
      </c>
      <c r="K4026">
        <v>211722310</v>
      </c>
      <c r="L4026">
        <v>2242033</v>
      </c>
      <c r="M4026">
        <v>1012244</v>
      </c>
      <c r="N4026">
        <v>2101149</v>
      </c>
      <c r="O4026">
        <v>1588021</v>
      </c>
      <c r="P4026">
        <v>253</v>
      </c>
      <c r="Q4026" t="s">
        <v>8398</v>
      </c>
    </row>
    <row r="4027" spans="1:17" x14ac:dyDescent="0.3">
      <c r="A4027" t="s">
        <v>4729</v>
      </c>
      <c r="B4027" t="str">
        <f>"300227"</f>
        <v>300227</v>
      </c>
      <c r="C4027" t="s">
        <v>8399</v>
      </c>
      <c r="D4027" t="s">
        <v>3811</v>
      </c>
      <c r="F4027">
        <v>444706307</v>
      </c>
      <c r="G4027">
        <v>410423565</v>
      </c>
      <c r="H4027">
        <v>342958491</v>
      </c>
      <c r="I4027">
        <v>227373031</v>
      </c>
      <c r="J4027">
        <v>248236126</v>
      </c>
      <c r="K4027">
        <v>154436510</v>
      </c>
      <c r="L4027">
        <v>97594734</v>
      </c>
      <c r="M4027">
        <v>104494120</v>
      </c>
      <c r="N4027">
        <v>78880822</v>
      </c>
      <c r="O4027">
        <v>75528930</v>
      </c>
      <c r="P4027">
        <v>220</v>
      </c>
      <c r="Q4027" t="s">
        <v>8400</v>
      </c>
    </row>
    <row r="4028" spans="1:17" x14ac:dyDescent="0.3">
      <c r="A4028" t="s">
        <v>4729</v>
      </c>
      <c r="B4028" t="str">
        <f>"300228"</f>
        <v>300228</v>
      </c>
      <c r="C4028" t="s">
        <v>8401</v>
      </c>
      <c r="D4028" t="s">
        <v>274</v>
      </c>
      <c r="F4028">
        <v>387553766</v>
      </c>
      <c r="G4028">
        <v>542807899</v>
      </c>
      <c r="H4028">
        <v>432403066</v>
      </c>
      <c r="I4028">
        <v>616836242</v>
      </c>
      <c r="J4028">
        <v>766831578</v>
      </c>
      <c r="K4028">
        <v>655427281</v>
      </c>
      <c r="L4028">
        <v>816739006</v>
      </c>
      <c r="M4028">
        <v>770652396</v>
      </c>
      <c r="N4028">
        <v>646876902</v>
      </c>
      <c r="O4028">
        <v>388779394</v>
      </c>
      <c r="P4028">
        <v>128</v>
      </c>
      <c r="Q4028" t="s">
        <v>8402</v>
      </c>
    </row>
    <row r="4029" spans="1:17" x14ac:dyDescent="0.3">
      <c r="A4029" t="s">
        <v>4729</v>
      </c>
      <c r="B4029" t="str">
        <f>"300229"</f>
        <v>300229</v>
      </c>
      <c r="C4029" t="s">
        <v>8403</v>
      </c>
      <c r="D4029" t="s">
        <v>945</v>
      </c>
      <c r="F4029">
        <v>295145631</v>
      </c>
      <c r="G4029">
        <v>312835244</v>
      </c>
      <c r="H4029">
        <v>634171751</v>
      </c>
      <c r="I4029">
        <v>581365070</v>
      </c>
      <c r="J4029">
        <v>489910608</v>
      </c>
      <c r="K4029">
        <v>403723774</v>
      </c>
      <c r="L4029">
        <v>343760320</v>
      </c>
      <c r="M4029">
        <v>283034897</v>
      </c>
      <c r="N4029">
        <v>195851864</v>
      </c>
      <c r="O4029">
        <v>168683878</v>
      </c>
      <c r="P4029">
        <v>209</v>
      </c>
      <c r="Q4029" t="s">
        <v>8404</v>
      </c>
    </row>
    <row r="4030" spans="1:17" x14ac:dyDescent="0.3">
      <c r="A4030" t="s">
        <v>4729</v>
      </c>
      <c r="B4030" t="str">
        <f>"300230"</f>
        <v>300230</v>
      </c>
      <c r="C4030" t="s">
        <v>8405</v>
      </c>
      <c r="D4030" t="s">
        <v>1192</v>
      </c>
      <c r="F4030">
        <v>487293282</v>
      </c>
      <c r="G4030">
        <v>728094506</v>
      </c>
      <c r="H4030">
        <v>718587899</v>
      </c>
      <c r="I4030">
        <v>694816574</v>
      </c>
      <c r="J4030">
        <v>617918390</v>
      </c>
      <c r="K4030">
        <v>624992723</v>
      </c>
      <c r="L4030">
        <v>295111832</v>
      </c>
      <c r="M4030">
        <v>106021466</v>
      </c>
      <c r="N4030">
        <v>93855147</v>
      </c>
      <c r="O4030">
        <v>84168963</v>
      </c>
      <c r="P4030">
        <v>169</v>
      </c>
      <c r="Q4030" t="s">
        <v>8406</v>
      </c>
    </row>
    <row r="4031" spans="1:17" x14ac:dyDescent="0.3">
      <c r="A4031" t="s">
        <v>4729</v>
      </c>
      <c r="B4031" t="str">
        <f>"300231"</f>
        <v>300231</v>
      </c>
      <c r="C4031" t="s">
        <v>8407</v>
      </c>
      <c r="D4031" t="s">
        <v>316</v>
      </c>
      <c r="F4031">
        <v>711140033</v>
      </c>
      <c r="G4031">
        <v>847574334</v>
      </c>
      <c r="H4031">
        <v>571734988</v>
      </c>
      <c r="I4031">
        <v>519093540</v>
      </c>
      <c r="J4031">
        <v>547932918</v>
      </c>
      <c r="K4031">
        <v>418414015</v>
      </c>
      <c r="L4031">
        <v>272964607</v>
      </c>
      <c r="M4031">
        <v>153010305</v>
      </c>
      <c r="N4031">
        <v>140290059</v>
      </c>
      <c r="O4031">
        <v>121868692</v>
      </c>
      <c r="P4031">
        <v>264</v>
      </c>
      <c r="Q4031" t="s">
        <v>8408</v>
      </c>
    </row>
    <row r="4032" spans="1:17" x14ac:dyDescent="0.3">
      <c r="A4032" t="s">
        <v>4729</v>
      </c>
      <c r="B4032" t="str">
        <f>"300232"</f>
        <v>300232</v>
      </c>
      <c r="C4032" t="s">
        <v>8409</v>
      </c>
      <c r="D4032" t="s">
        <v>803</v>
      </c>
      <c r="F4032">
        <v>1925345032</v>
      </c>
      <c r="G4032">
        <v>1430437696</v>
      </c>
      <c r="H4032">
        <v>1572589191</v>
      </c>
      <c r="I4032">
        <v>1340324877</v>
      </c>
      <c r="J4032">
        <v>1030166755</v>
      </c>
      <c r="K4032">
        <v>370463668</v>
      </c>
      <c r="L4032">
        <v>313698574</v>
      </c>
      <c r="M4032">
        <v>238548114</v>
      </c>
      <c r="N4032">
        <v>188702544</v>
      </c>
      <c r="O4032">
        <v>107344593</v>
      </c>
      <c r="P4032">
        <v>922</v>
      </c>
      <c r="Q4032" t="s">
        <v>8410</v>
      </c>
    </row>
    <row r="4033" spans="1:17" x14ac:dyDescent="0.3">
      <c r="A4033" t="s">
        <v>4729</v>
      </c>
      <c r="B4033" t="str">
        <f>"300233"</f>
        <v>300233</v>
      </c>
      <c r="C4033" t="s">
        <v>8411</v>
      </c>
      <c r="D4033" t="s">
        <v>143</v>
      </c>
      <c r="F4033">
        <v>597999094</v>
      </c>
      <c r="G4033">
        <v>692576370</v>
      </c>
      <c r="H4033">
        <v>715893503</v>
      </c>
      <c r="I4033">
        <v>737279606</v>
      </c>
      <c r="J4033">
        <v>615967694</v>
      </c>
      <c r="K4033">
        <v>391517796</v>
      </c>
      <c r="L4033">
        <v>334641167</v>
      </c>
      <c r="M4033">
        <v>265081108</v>
      </c>
      <c r="N4033">
        <v>276763554</v>
      </c>
      <c r="O4033">
        <v>264492790</v>
      </c>
      <c r="P4033">
        <v>202</v>
      </c>
      <c r="Q4033" t="s">
        <v>8412</v>
      </c>
    </row>
    <row r="4034" spans="1:17" x14ac:dyDescent="0.3">
      <c r="A4034" t="s">
        <v>4729</v>
      </c>
      <c r="B4034" t="str">
        <f>"300234"</f>
        <v>300234</v>
      </c>
      <c r="C4034" t="s">
        <v>8413</v>
      </c>
      <c r="D4034" t="s">
        <v>722</v>
      </c>
      <c r="F4034">
        <v>318194996</v>
      </c>
      <c r="G4034">
        <v>243501046</v>
      </c>
      <c r="H4034">
        <v>257551399</v>
      </c>
      <c r="I4034">
        <v>193841292</v>
      </c>
      <c r="J4034">
        <v>260997041</v>
      </c>
      <c r="K4034">
        <v>291346814</v>
      </c>
      <c r="L4034">
        <v>323356083</v>
      </c>
      <c r="M4034">
        <v>274284879</v>
      </c>
      <c r="N4034">
        <v>154708502</v>
      </c>
      <c r="O4034">
        <v>99629524</v>
      </c>
      <c r="P4034">
        <v>111</v>
      </c>
      <c r="Q4034" t="s">
        <v>8414</v>
      </c>
    </row>
    <row r="4035" spans="1:17" x14ac:dyDescent="0.3">
      <c r="A4035" t="s">
        <v>4729</v>
      </c>
      <c r="B4035" t="str">
        <f>"300235"</f>
        <v>300235</v>
      </c>
      <c r="C4035" t="s">
        <v>8415</v>
      </c>
      <c r="D4035" t="s">
        <v>945</v>
      </c>
      <c r="F4035">
        <v>25272602</v>
      </c>
      <c r="G4035">
        <v>33867653</v>
      </c>
      <c r="H4035">
        <v>21942274</v>
      </c>
      <c r="I4035">
        <v>36573625</v>
      </c>
      <c r="J4035">
        <v>34958886</v>
      </c>
      <c r="K4035">
        <v>26196923</v>
      </c>
      <c r="L4035">
        <v>23959443</v>
      </c>
      <c r="M4035">
        <v>16749409</v>
      </c>
      <c r="N4035">
        <v>18799896</v>
      </c>
      <c r="O4035">
        <v>11573051</v>
      </c>
      <c r="P4035">
        <v>114</v>
      </c>
      <c r="Q4035" t="s">
        <v>8416</v>
      </c>
    </row>
    <row r="4036" spans="1:17" x14ac:dyDescent="0.3">
      <c r="A4036" t="s">
        <v>4729</v>
      </c>
      <c r="B4036" t="str">
        <f>"300236"</f>
        <v>300236</v>
      </c>
      <c r="C4036" t="s">
        <v>8417</v>
      </c>
      <c r="D4036" t="s">
        <v>2408</v>
      </c>
      <c r="F4036">
        <v>291367641</v>
      </c>
      <c r="G4036">
        <v>319943490</v>
      </c>
      <c r="H4036">
        <v>287494958</v>
      </c>
      <c r="I4036">
        <v>270661862</v>
      </c>
      <c r="J4036">
        <v>274162294</v>
      </c>
      <c r="K4036">
        <v>260085025</v>
      </c>
      <c r="L4036">
        <v>252960473</v>
      </c>
      <c r="M4036">
        <v>238616937</v>
      </c>
      <c r="N4036">
        <v>201413368</v>
      </c>
      <c r="O4036">
        <v>55627315</v>
      </c>
      <c r="P4036">
        <v>414</v>
      </c>
      <c r="Q4036" t="s">
        <v>8418</v>
      </c>
    </row>
    <row r="4037" spans="1:17" x14ac:dyDescent="0.3">
      <c r="A4037" t="s">
        <v>4729</v>
      </c>
      <c r="B4037" t="str">
        <f>"300237"</f>
        <v>300237</v>
      </c>
      <c r="C4037" t="s">
        <v>8419</v>
      </c>
      <c r="D4037" t="s">
        <v>2417</v>
      </c>
      <c r="F4037">
        <v>1217672457</v>
      </c>
      <c r="G4037">
        <v>1185732937</v>
      </c>
      <c r="H4037">
        <v>1150992039</v>
      </c>
      <c r="I4037">
        <v>998178957</v>
      </c>
      <c r="J4037">
        <v>688583301</v>
      </c>
      <c r="K4037">
        <v>675200969</v>
      </c>
      <c r="L4037">
        <v>463424363</v>
      </c>
      <c r="M4037">
        <v>401455580</v>
      </c>
      <c r="N4037">
        <v>124632246</v>
      </c>
      <c r="O4037">
        <v>177514007</v>
      </c>
      <c r="P4037">
        <v>315</v>
      </c>
      <c r="Q4037" t="s">
        <v>8420</v>
      </c>
    </row>
    <row r="4038" spans="1:17" x14ac:dyDescent="0.3">
      <c r="A4038" t="s">
        <v>4729</v>
      </c>
      <c r="B4038" t="str">
        <f>"300238"</f>
        <v>300238</v>
      </c>
      <c r="C4038" t="s">
        <v>8421</v>
      </c>
      <c r="D4038" t="s">
        <v>1077</v>
      </c>
      <c r="F4038">
        <v>106706485</v>
      </c>
      <c r="G4038">
        <v>116350361</v>
      </c>
      <c r="H4038">
        <v>133227200</v>
      </c>
      <c r="I4038">
        <v>161095134</v>
      </c>
      <c r="J4038">
        <v>154344209</v>
      </c>
      <c r="K4038">
        <v>90558639</v>
      </c>
      <c r="L4038">
        <v>49186381</v>
      </c>
      <c r="M4038">
        <v>33428029</v>
      </c>
      <c r="N4038">
        <v>28998998</v>
      </c>
      <c r="O4038">
        <v>29588125</v>
      </c>
      <c r="P4038">
        <v>195</v>
      </c>
      <c r="Q4038" t="s">
        <v>8422</v>
      </c>
    </row>
    <row r="4039" spans="1:17" x14ac:dyDescent="0.3">
      <c r="A4039" t="s">
        <v>4729</v>
      </c>
      <c r="B4039" t="str">
        <f>"300239"</f>
        <v>300239</v>
      </c>
      <c r="C4039" t="s">
        <v>8423</v>
      </c>
      <c r="D4039" t="s">
        <v>1379</v>
      </c>
      <c r="F4039">
        <v>150447709</v>
      </c>
      <c r="G4039">
        <v>95497167</v>
      </c>
      <c r="H4039">
        <v>102288621</v>
      </c>
      <c r="I4039">
        <v>97526872</v>
      </c>
      <c r="J4039">
        <v>68927740</v>
      </c>
      <c r="K4039">
        <v>44424295</v>
      </c>
      <c r="L4039">
        <v>53320557</v>
      </c>
      <c r="M4039">
        <v>39102931</v>
      </c>
      <c r="N4039">
        <v>48941304</v>
      </c>
      <c r="O4039">
        <v>8449368</v>
      </c>
      <c r="P4039">
        <v>107</v>
      </c>
      <c r="Q4039" t="s">
        <v>8424</v>
      </c>
    </row>
    <row r="4040" spans="1:17" x14ac:dyDescent="0.3">
      <c r="A4040" t="s">
        <v>4729</v>
      </c>
      <c r="B4040" t="str">
        <f>"300240"</f>
        <v>300240</v>
      </c>
      <c r="C4040" t="s">
        <v>8425</v>
      </c>
      <c r="D4040" t="s">
        <v>3125</v>
      </c>
      <c r="F4040">
        <v>886734852</v>
      </c>
      <c r="G4040">
        <v>752946092</v>
      </c>
      <c r="H4040">
        <v>595701547</v>
      </c>
      <c r="I4040">
        <v>537575197</v>
      </c>
      <c r="J4040">
        <v>498811020</v>
      </c>
      <c r="K4040">
        <v>440418717</v>
      </c>
      <c r="L4040">
        <v>369763611</v>
      </c>
      <c r="M4040">
        <v>357152419</v>
      </c>
      <c r="N4040">
        <v>342399640</v>
      </c>
      <c r="O4040">
        <v>295781093</v>
      </c>
      <c r="P4040">
        <v>67</v>
      </c>
      <c r="Q4040" t="s">
        <v>8426</v>
      </c>
    </row>
    <row r="4041" spans="1:17" x14ac:dyDescent="0.3">
      <c r="A4041" t="s">
        <v>4729</v>
      </c>
      <c r="B4041" t="str">
        <f>"300241"</f>
        <v>300241</v>
      </c>
      <c r="C4041" t="s">
        <v>8427</v>
      </c>
      <c r="D4041" t="s">
        <v>803</v>
      </c>
      <c r="F4041">
        <v>537822459</v>
      </c>
      <c r="G4041">
        <v>466483866</v>
      </c>
      <c r="H4041">
        <v>459174260</v>
      </c>
      <c r="I4041">
        <v>490110292</v>
      </c>
      <c r="J4041">
        <v>510059574</v>
      </c>
      <c r="K4041">
        <v>419905023</v>
      </c>
      <c r="L4041">
        <v>203653584</v>
      </c>
      <c r="M4041">
        <v>248493844</v>
      </c>
      <c r="N4041">
        <v>181866895</v>
      </c>
      <c r="O4041">
        <v>116587767</v>
      </c>
      <c r="P4041">
        <v>170</v>
      </c>
      <c r="Q4041" t="s">
        <v>8428</v>
      </c>
    </row>
    <row r="4042" spans="1:17" x14ac:dyDescent="0.3">
      <c r="A4042" t="s">
        <v>4729</v>
      </c>
      <c r="B4042" t="str">
        <f>"300242"</f>
        <v>300242</v>
      </c>
      <c r="C4042" t="s">
        <v>8429</v>
      </c>
      <c r="D4042" t="s">
        <v>207</v>
      </c>
      <c r="F4042">
        <v>1006705489</v>
      </c>
      <c r="G4042">
        <v>1200424825</v>
      </c>
      <c r="H4042">
        <v>1129238786</v>
      </c>
      <c r="I4042">
        <v>952067147</v>
      </c>
      <c r="J4042">
        <v>644548938</v>
      </c>
      <c r="K4042">
        <v>593797601</v>
      </c>
      <c r="L4042">
        <v>377578779</v>
      </c>
      <c r="M4042">
        <v>37765864</v>
      </c>
      <c r="N4042">
        <v>39354388</v>
      </c>
      <c r="O4042">
        <v>34264033</v>
      </c>
      <c r="P4042">
        <v>95</v>
      </c>
      <c r="Q4042" t="s">
        <v>8430</v>
      </c>
    </row>
    <row r="4043" spans="1:17" x14ac:dyDescent="0.3">
      <c r="A4043" t="s">
        <v>4729</v>
      </c>
      <c r="B4043" t="str">
        <f>"300243"</f>
        <v>300243</v>
      </c>
      <c r="C4043" t="s">
        <v>8431</v>
      </c>
      <c r="D4043" t="s">
        <v>1192</v>
      </c>
      <c r="F4043">
        <v>251238085</v>
      </c>
      <c r="G4043">
        <v>188402897</v>
      </c>
      <c r="H4043">
        <v>171825732</v>
      </c>
      <c r="I4043">
        <v>164565950</v>
      </c>
      <c r="J4043">
        <v>175151530</v>
      </c>
      <c r="K4043">
        <v>186314653</v>
      </c>
      <c r="L4043">
        <v>192943750</v>
      </c>
      <c r="M4043">
        <v>173856743</v>
      </c>
      <c r="N4043">
        <v>149351399</v>
      </c>
      <c r="O4043">
        <v>130173795</v>
      </c>
      <c r="P4043">
        <v>103</v>
      </c>
      <c r="Q4043" t="s">
        <v>8432</v>
      </c>
    </row>
    <row r="4044" spans="1:17" x14ac:dyDescent="0.3">
      <c r="A4044" t="s">
        <v>4729</v>
      </c>
      <c r="B4044" t="str">
        <f>"300244"</f>
        <v>300244</v>
      </c>
      <c r="C4044" t="s">
        <v>8433</v>
      </c>
      <c r="D4044" t="s">
        <v>2580</v>
      </c>
      <c r="F4044">
        <v>6288241348</v>
      </c>
      <c r="G4044">
        <v>4529898763</v>
      </c>
      <c r="H4044">
        <v>3330081172</v>
      </c>
      <c r="I4044">
        <v>2867395226</v>
      </c>
      <c r="J4044">
        <v>1675238516</v>
      </c>
      <c r="K4044">
        <v>1387088394</v>
      </c>
      <c r="L4044">
        <v>618964150</v>
      </c>
      <c r="M4044">
        <v>374999267</v>
      </c>
      <c r="N4044">
        <v>264553027</v>
      </c>
      <c r="O4044">
        <v>182229052</v>
      </c>
      <c r="P4044">
        <v>1268</v>
      </c>
      <c r="Q4044" t="s">
        <v>8434</v>
      </c>
    </row>
    <row r="4045" spans="1:17" x14ac:dyDescent="0.3">
      <c r="A4045" t="s">
        <v>4729</v>
      </c>
      <c r="B4045" t="str">
        <f>"300245"</f>
        <v>300245</v>
      </c>
      <c r="C4045" t="s">
        <v>8435</v>
      </c>
      <c r="D4045" t="s">
        <v>316</v>
      </c>
      <c r="F4045">
        <v>112251613</v>
      </c>
      <c r="G4045">
        <v>107895059</v>
      </c>
      <c r="H4045">
        <v>154340513</v>
      </c>
      <c r="I4045">
        <v>163751040</v>
      </c>
      <c r="J4045">
        <v>144256750</v>
      </c>
      <c r="K4045">
        <v>167272640</v>
      </c>
      <c r="L4045">
        <v>154455687</v>
      </c>
      <c r="M4045">
        <v>145906219</v>
      </c>
      <c r="N4045">
        <v>121429951</v>
      </c>
      <c r="O4045">
        <v>96841451</v>
      </c>
      <c r="P4045">
        <v>128</v>
      </c>
      <c r="Q4045" t="s">
        <v>8436</v>
      </c>
    </row>
    <row r="4046" spans="1:17" x14ac:dyDescent="0.3">
      <c r="A4046" t="s">
        <v>4729</v>
      </c>
      <c r="B4046" t="str">
        <f>"300246"</f>
        <v>300246</v>
      </c>
      <c r="C4046" t="s">
        <v>8437</v>
      </c>
      <c r="D4046" t="s">
        <v>122</v>
      </c>
      <c r="F4046">
        <v>217507036</v>
      </c>
      <c r="G4046">
        <v>182227335</v>
      </c>
      <c r="H4046">
        <v>184895401</v>
      </c>
      <c r="I4046">
        <v>185430197</v>
      </c>
      <c r="J4046">
        <v>176959440</v>
      </c>
      <c r="K4046">
        <v>137733800</v>
      </c>
      <c r="L4046">
        <v>75241290</v>
      </c>
      <c r="M4046">
        <v>50376116</v>
      </c>
      <c r="N4046">
        <v>43743818</v>
      </c>
      <c r="O4046">
        <v>25867305</v>
      </c>
      <c r="P4046">
        <v>511</v>
      </c>
      <c r="Q4046" t="s">
        <v>8438</v>
      </c>
    </row>
    <row r="4047" spans="1:17" x14ac:dyDescent="0.3">
      <c r="A4047" t="s">
        <v>4729</v>
      </c>
      <c r="B4047" t="str">
        <f>"300247"</f>
        <v>300247</v>
      </c>
      <c r="C4047" t="s">
        <v>8439</v>
      </c>
      <c r="D4047" t="s">
        <v>3042</v>
      </c>
      <c r="F4047">
        <v>34042938</v>
      </c>
      <c r="G4047">
        <v>44261397</v>
      </c>
      <c r="H4047">
        <v>121888486</v>
      </c>
      <c r="I4047">
        <v>371588037</v>
      </c>
      <c r="J4047">
        <v>531777787</v>
      </c>
      <c r="K4047">
        <v>279444775</v>
      </c>
      <c r="L4047">
        <v>164548331</v>
      </c>
      <c r="M4047">
        <v>78863407</v>
      </c>
      <c r="N4047">
        <v>65605119</v>
      </c>
      <c r="O4047">
        <v>64817286</v>
      </c>
      <c r="P4047">
        <v>107</v>
      </c>
      <c r="Q4047" t="s">
        <v>8440</v>
      </c>
    </row>
    <row r="4048" spans="1:17" x14ac:dyDescent="0.3">
      <c r="A4048" t="s">
        <v>4729</v>
      </c>
      <c r="B4048" t="str">
        <f>"300248"</f>
        <v>300248</v>
      </c>
      <c r="C4048" t="s">
        <v>8441</v>
      </c>
      <c r="D4048" t="s">
        <v>236</v>
      </c>
      <c r="F4048">
        <v>541334246</v>
      </c>
      <c r="G4048">
        <v>465807387</v>
      </c>
      <c r="H4048">
        <v>480397511</v>
      </c>
      <c r="I4048">
        <v>417074051</v>
      </c>
      <c r="J4048">
        <v>316223820</v>
      </c>
      <c r="K4048">
        <v>230053489</v>
      </c>
      <c r="L4048">
        <v>211534613</v>
      </c>
      <c r="M4048">
        <v>142414644</v>
      </c>
      <c r="N4048">
        <v>117507170</v>
      </c>
      <c r="O4048">
        <v>129608518</v>
      </c>
      <c r="P4048">
        <v>209</v>
      </c>
      <c r="Q4048" t="s">
        <v>8442</v>
      </c>
    </row>
    <row r="4049" spans="1:17" x14ac:dyDescent="0.3">
      <c r="A4049" t="s">
        <v>4729</v>
      </c>
      <c r="B4049" t="str">
        <f>"300249"</f>
        <v>300249</v>
      </c>
      <c r="C4049" t="s">
        <v>8443</v>
      </c>
      <c r="D4049" t="s">
        <v>236</v>
      </c>
      <c r="F4049">
        <v>787494224</v>
      </c>
      <c r="G4049">
        <v>874627102</v>
      </c>
      <c r="H4049">
        <v>1066005218</v>
      </c>
      <c r="I4049">
        <v>1186629674</v>
      </c>
      <c r="J4049">
        <v>1020125540</v>
      </c>
      <c r="K4049">
        <v>714760549</v>
      </c>
      <c r="L4049">
        <v>657358970</v>
      </c>
      <c r="M4049">
        <v>594642452</v>
      </c>
      <c r="N4049">
        <v>315044834</v>
      </c>
      <c r="O4049">
        <v>217437377</v>
      </c>
      <c r="P4049">
        <v>195</v>
      </c>
      <c r="Q4049" t="s">
        <v>8444</v>
      </c>
    </row>
    <row r="4050" spans="1:17" x14ac:dyDescent="0.3">
      <c r="A4050" t="s">
        <v>4729</v>
      </c>
      <c r="B4050" t="str">
        <f>"300250"</f>
        <v>300250</v>
      </c>
      <c r="C4050" t="s">
        <v>8445</v>
      </c>
      <c r="D4050" t="s">
        <v>316</v>
      </c>
      <c r="F4050">
        <v>189670635</v>
      </c>
      <c r="G4050">
        <v>129407161</v>
      </c>
      <c r="H4050">
        <v>185251197</v>
      </c>
      <c r="I4050">
        <v>292955182</v>
      </c>
      <c r="J4050">
        <v>222736565</v>
      </c>
      <c r="K4050">
        <v>244402447</v>
      </c>
      <c r="L4050">
        <v>188549256</v>
      </c>
      <c r="M4050">
        <v>127631022</v>
      </c>
      <c r="N4050">
        <v>101931917</v>
      </c>
      <c r="O4050">
        <v>105210787</v>
      </c>
      <c r="P4050">
        <v>159</v>
      </c>
      <c r="Q4050" t="s">
        <v>8446</v>
      </c>
    </row>
    <row r="4051" spans="1:17" x14ac:dyDescent="0.3">
      <c r="A4051" t="s">
        <v>4729</v>
      </c>
      <c r="B4051" t="str">
        <f>"300251"</f>
        <v>300251</v>
      </c>
      <c r="C4051" t="s">
        <v>8447</v>
      </c>
      <c r="D4051" t="s">
        <v>113</v>
      </c>
      <c r="F4051">
        <v>328990988</v>
      </c>
      <c r="G4051">
        <v>632827602</v>
      </c>
      <c r="H4051">
        <v>433620702</v>
      </c>
      <c r="I4051">
        <v>281551142</v>
      </c>
      <c r="J4051">
        <v>340266956</v>
      </c>
      <c r="K4051">
        <v>762184640</v>
      </c>
      <c r="L4051">
        <v>1063911210</v>
      </c>
      <c r="M4051">
        <v>801319949</v>
      </c>
      <c r="N4051">
        <v>317788208</v>
      </c>
      <c r="O4051">
        <v>619866293</v>
      </c>
      <c r="P4051">
        <v>807</v>
      </c>
      <c r="Q4051" t="s">
        <v>8448</v>
      </c>
    </row>
    <row r="4052" spans="1:17" x14ac:dyDescent="0.3">
      <c r="A4052" t="s">
        <v>4729</v>
      </c>
      <c r="B4052" t="str">
        <f>"300252"</f>
        <v>300252</v>
      </c>
      <c r="C4052" t="s">
        <v>8449</v>
      </c>
      <c r="D4052" t="s">
        <v>1136</v>
      </c>
      <c r="F4052">
        <v>1481754555</v>
      </c>
      <c r="G4052">
        <v>1105961783</v>
      </c>
      <c r="H4052">
        <v>1224627015</v>
      </c>
      <c r="I4052">
        <v>1300795860</v>
      </c>
      <c r="J4052">
        <v>1091840672</v>
      </c>
      <c r="K4052">
        <v>799486669</v>
      </c>
      <c r="L4052">
        <v>684091923</v>
      </c>
      <c r="M4052">
        <v>566473434</v>
      </c>
      <c r="N4052">
        <v>534437654</v>
      </c>
      <c r="O4052">
        <v>376387822</v>
      </c>
      <c r="P4052">
        <v>217</v>
      </c>
      <c r="Q4052" t="s">
        <v>8450</v>
      </c>
    </row>
    <row r="4053" spans="1:17" x14ac:dyDescent="0.3">
      <c r="A4053" t="s">
        <v>4729</v>
      </c>
      <c r="B4053" t="str">
        <f>"300253"</f>
        <v>300253</v>
      </c>
      <c r="C4053" t="s">
        <v>8451</v>
      </c>
      <c r="D4053" t="s">
        <v>945</v>
      </c>
      <c r="F4053">
        <v>707647781</v>
      </c>
      <c r="G4053">
        <v>584710116</v>
      </c>
      <c r="H4053">
        <v>1483206698</v>
      </c>
      <c r="I4053">
        <v>1184042150</v>
      </c>
      <c r="J4053">
        <v>955018770</v>
      </c>
      <c r="K4053">
        <v>718377079</v>
      </c>
      <c r="L4053">
        <v>555155282</v>
      </c>
      <c r="M4053">
        <v>374741983</v>
      </c>
      <c r="N4053">
        <v>180764331</v>
      </c>
      <c r="O4053">
        <v>104728959</v>
      </c>
      <c r="P4053">
        <v>935</v>
      </c>
      <c r="Q4053" t="s">
        <v>8452</v>
      </c>
    </row>
    <row r="4054" spans="1:17" x14ac:dyDescent="0.3">
      <c r="A4054" t="s">
        <v>4729</v>
      </c>
      <c r="B4054" t="str">
        <f>"300254"</f>
        <v>300254</v>
      </c>
      <c r="C4054" t="s">
        <v>8453</v>
      </c>
      <c r="D4054" t="s">
        <v>143</v>
      </c>
      <c r="F4054">
        <v>126629126</v>
      </c>
      <c r="G4054">
        <v>197477574</v>
      </c>
      <c r="H4054">
        <v>228924784</v>
      </c>
      <c r="I4054">
        <v>261822324</v>
      </c>
      <c r="J4054">
        <v>237229874</v>
      </c>
      <c r="K4054">
        <v>163022986</v>
      </c>
      <c r="L4054">
        <v>124457020</v>
      </c>
      <c r="M4054">
        <v>76396756</v>
      </c>
      <c r="N4054">
        <v>70860929</v>
      </c>
      <c r="O4054">
        <v>74871189</v>
      </c>
      <c r="P4054">
        <v>82</v>
      </c>
      <c r="Q4054" t="s">
        <v>8454</v>
      </c>
    </row>
    <row r="4055" spans="1:17" x14ac:dyDescent="0.3">
      <c r="A4055" t="s">
        <v>4729</v>
      </c>
      <c r="B4055" t="str">
        <f>"300255"</f>
        <v>300255</v>
      </c>
      <c r="C4055" t="s">
        <v>8455</v>
      </c>
      <c r="D4055" t="s">
        <v>143</v>
      </c>
      <c r="F4055">
        <v>293346232</v>
      </c>
      <c r="G4055">
        <v>387300921</v>
      </c>
      <c r="H4055">
        <v>296770247</v>
      </c>
      <c r="I4055">
        <v>319607392</v>
      </c>
      <c r="J4055">
        <v>400381518</v>
      </c>
      <c r="K4055">
        <v>169648802</v>
      </c>
      <c r="L4055">
        <v>150737510</v>
      </c>
      <c r="M4055">
        <v>154631807</v>
      </c>
      <c r="N4055">
        <v>129824243</v>
      </c>
      <c r="O4055">
        <v>107840146</v>
      </c>
      <c r="P4055">
        <v>175</v>
      </c>
      <c r="Q4055" t="s">
        <v>8456</v>
      </c>
    </row>
    <row r="4056" spans="1:17" x14ac:dyDescent="0.3">
      <c r="A4056" t="s">
        <v>4729</v>
      </c>
      <c r="B4056" t="str">
        <f>"300256"</f>
        <v>300256</v>
      </c>
      <c r="C4056" t="s">
        <v>8457</v>
      </c>
      <c r="D4056" t="s">
        <v>313</v>
      </c>
      <c r="F4056">
        <v>181863238</v>
      </c>
      <c r="G4056">
        <v>2943408852</v>
      </c>
      <c r="H4056">
        <v>2526080997</v>
      </c>
      <c r="I4056">
        <v>1566636794</v>
      </c>
      <c r="J4056">
        <v>1651941520</v>
      </c>
      <c r="K4056">
        <v>1577177902</v>
      </c>
      <c r="L4056">
        <v>1546620333</v>
      </c>
      <c r="M4056">
        <v>600672402</v>
      </c>
      <c r="N4056">
        <v>271601422</v>
      </c>
      <c r="O4056">
        <v>189154902</v>
      </c>
      <c r="P4056">
        <v>206</v>
      </c>
      <c r="Q4056" t="s">
        <v>8458</v>
      </c>
    </row>
    <row r="4057" spans="1:17" x14ac:dyDescent="0.3">
      <c r="A4057" t="s">
        <v>4729</v>
      </c>
      <c r="B4057" t="str">
        <f>"300257"</f>
        <v>300257</v>
      </c>
      <c r="C4057" t="s">
        <v>8459</v>
      </c>
      <c r="D4057" t="s">
        <v>560</v>
      </c>
      <c r="F4057">
        <v>621223306</v>
      </c>
      <c r="G4057">
        <v>560880469</v>
      </c>
      <c r="H4057">
        <v>574115428</v>
      </c>
      <c r="I4057">
        <v>568535065</v>
      </c>
      <c r="J4057">
        <v>596228391</v>
      </c>
      <c r="K4057">
        <v>653056585</v>
      </c>
      <c r="L4057">
        <v>637427031</v>
      </c>
      <c r="M4057">
        <v>463708904</v>
      </c>
      <c r="N4057">
        <v>320012639</v>
      </c>
      <c r="O4057">
        <v>229986425</v>
      </c>
      <c r="P4057">
        <v>148</v>
      </c>
      <c r="Q4057" t="s">
        <v>8460</v>
      </c>
    </row>
    <row r="4058" spans="1:17" x14ac:dyDescent="0.3">
      <c r="A4058" t="s">
        <v>4729</v>
      </c>
      <c r="B4058" t="str">
        <f>"300258"</f>
        <v>300258</v>
      </c>
      <c r="C4058" t="s">
        <v>8461</v>
      </c>
      <c r="D4058" t="s">
        <v>348</v>
      </c>
      <c r="F4058">
        <v>320889342</v>
      </c>
      <c r="G4058">
        <v>269622150</v>
      </c>
      <c r="H4058">
        <v>259633276</v>
      </c>
      <c r="I4058">
        <v>242266130</v>
      </c>
      <c r="J4058">
        <v>245937361</v>
      </c>
      <c r="K4058">
        <v>202625895</v>
      </c>
      <c r="L4058">
        <v>171493353</v>
      </c>
      <c r="M4058">
        <v>134527679</v>
      </c>
      <c r="N4058">
        <v>119573948</v>
      </c>
      <c r="O4058">
        <v>96858894</v>
      </c>
      <c r="P4058">
        <v>330</v>
      </c>
      <c r="Q4058" t="s">
        <v>8462</v>
      </c>
    </row>
    <row r="4059" spans="1:17" x14ac:dyDescent="0.3">
      <c r="A4059" t="s">
        <v>4729</v>
      </c>
      <c r="B4059" t="str">
        <f>"300259"</f>
        <v>300259</v>
      </c>
      <c r="C4059" t="s">
        <v>8463</v>
      </c>
      <c r="D4059" t="s">
        <v>2566</v>
      </c>
      <c r="F4059">
        <v>447313827</v>
      </c>
      <c r="G4059">
        <v>377886149</v>
      </c>
      <c r="H4059">
        <v>442459136</v>
      </c>
      <c r="I4059">
        <v>374092585</v>
      </c>
      <c r="J4059">
        <v>336181145</v>
      </c>
      <c r="K4059">
        <v>195743386</v>
      </c>
      <c r="L4059">
        <v>121954405</v>
      </c>
      <c r="M4059">
        <v>102197389</v>
      </c>
      <c r="N4059">
        <v>81103811</v>
      </c>
      <c r="O4059">
        <v>82072360</v>
      </c>
      <c r="P4059">
        <v>360</v>
      </c>
      <c r="Q4059" t="s">
        <v>8464</v>
      </c>
    </row>
    <row r="4060" spans="1:17" x14ac:dyDescent="0.3">
      <c r="A4060" t="s">
        <v>4729</v>
      </c>
      <c r="B4060" t="str">
        <f>"300260"</f>
        <v>300260</v>
      </c>
      <c r="C4060" t="s">
        <v>8465</v>
      </c>
      <c r="D4060" t="s">
        <v>274</v>
      </c>
      <c r="F4060">
        <v>496097357</v>
      </c>
      <c r="G4060">
        <v>381041201</v>
      </c>
      <c r="H4060">
        <v>409315767</v>
      </c>
      <c r="I4060">
        <v>374234809</v>
      </c>
      <c r="J4060">
        <v>194661606</v>
      </c>
      <c r="K4060">
        <v>173534648</v>
      </c>
      <c r="L4060">
        <v>164273520</v>
      </c>
      <c r="M4060">
        <v>142802093</v>
      </c>
      <c r="N4060">
        <v>147507908</v>
      </c>
      <c r="O4060">
        <v>120138979</v>
      </c>
      <c r="P4060">
        <v>211</v>
      </c>
      <c r="Q4060" t="s">
        <v>8466</v>
      </c>
    </row>
    <row r="4061" spans="1:17" x14ac:dyDescent="0.3">
      <c r="A4061" t="s">
        <v>4729</v>
      </c>
      <c r="B4061" t="str">
        <f>"300261"</f>
        <v>300261</v>
      </c>
      <c r="C4061" t="s">
        <v>8467</v>
      </c>
      <c r="D4061" t="s">
        <v>853</v>
      </c>
      <c r="F4061">
        <v>438619702</v>
      </c>
      <c r="G4061">
        <v>552030381</v>
      </c>
      <c r="H4061">
        <v>637909597</v>
      </c>
      <c r="I4061">
        <v>505252278</v>
      </c>
      <c r="J4061">
        <v>389106817</v>
      </c>
      <c r="K4061">
        <v>293963851</v>
      </c>
      <c r="L4061">
        <v>232800622</v>
      </c>
      <c r="M4061">
        <v>158060607</v>
      </c>
      <c r="N4061">
        <v>142692622</v>
      </c>
      <c r="O4061">
        <v>88946232</v>
      </c>
      <c r="P4061">
        <v>139</v>
      </c>
      <c r="Q4061" t="s">
        <v>8468</v>
      </c>
    </row>
    <row r="4062" spans="1:17" x14ac:dyDescent="0.3">
      <c r="A4062" t="s">
        <v>4729</v>
      </c>
      <c r="B4062" t="str">
        <f>"300262"</f>
        <v>300262</v>
      </c>
      <c r="C4062" t="s">
        <v>8469</v>
      </c>
      <c r="D4062" t="s">
        <v>33</v>
      </c>
      <c r="F4062">
        <v>180555555</v>
      </c>
      <c r="G4062">
        <v>185962579</v>
      </c>
      <c r="H4062">
        <v>238627176</v>
      </c>
      <c r="I4062">
        <v>354087093</v>
      </c>
      <c r="J4062">
        <v>455152501</v>
      </c>
      <c r="K4062">
        <v>397770712</v>
      </c>
      <c r="L4062">
        <v>251457376</v>
      </c>
      <c r="M4062">
        <v>169060138</v>
      </c>
      <c r="N4062">
        <v>133750373</v>
      </c>
      <c r="O4062">
        <v>132960463</v>
      </c>
      <c r="P4062">
        <v>127</v>
      </c>
      <c r="Q4062" t="s">
        <v>8470</v>
      </c>
    </row>
    <row r="4063" spans="1:17" x14ac:dyDescent="0.3">
      <c r="A4063" t="s">
        <v>4729</v>
      </c>
      <c r="B4063" t="str">
        <f>"300263"</f>
        <v>300263</v>
      </c>
      <c r="C4063" t="s">
        <v>8471</v>
      </c>
      <c r="D4063" t="s">
        <v>560</v>
      </c>
      <c r="F4063">
        <v>980443794</v>
      </c>
      <c r="G4063">
        <v>988200858</v>
      </c>
      <c r="H4063">
        <v>1026971624</v>
      </c>
      <c r="I4063">
        <v>882622102</v>
      </c>
      <c r="J4063">
        <v>722707483</v>
      </c>
      <c r="K4063">
        <v>751493583</v>
      </c>
      <c r="L4063">
        <v>830856827</v>
      </c>
      <c r="M4063">
        <v>768277579</v>
      </c>
      <c r="N4063">
        <v>637271088</v>
      </c>
      <c r="O4063">
        <v>234558847</v>
      </c>
      <c r="P4063">
        <v>232</v>
      </c>
      <c r="Q4063" t="s">
        <v>8472</v>
      </c>
    </row>
    <row r="4064" spans="1:17" x14ac:dyDescent="0.3">
      <c r="A4064" t="s">
        <v>4729</v>
      </c>
      <c r="B4064" t="str">
        <f>"300264"</f>
        <v>300264</v>
      </c>
      <c r="C4064" t="s">
        <v>8473</v>
      </c>
      <c r="D4064" t="s">
        <v>316</v>
      </c>
      <c r="F4064">
        <v>102839174</v>
      </c>
      <c r="G4064">
        <v>128409770</v>
      </c>
      <c r="H4064">
        <v>220515943</v>
      </c>
      <c r="I4064">
        <v>358983295</v>
      </c>
      <c r="J4064">
        <v>288960809</v>
      </c>
      <c r="K4064">
        <v>218037281</v>
      </c>
      <c r="L4064">
        <v>144671937</v>
      </c>
      <c r="M4064">
        <v>131105312</v>
      </c>
      <c r="N4064">
        <v>116231565</v>
      </c>
      <c r="O4064">
        <v>161297249</v>
      </c>
      <c r="P4064">
        <v>132</v>
      </c>
      <c r="Q4064" t="s">
        <v>8474</v>
      </c>
    </row>
    <row r="4065" spans="1:17" x14ac:dyDescent="0.3">
      <c r="A4065" t="s">
        <v>4729</v>
      </c>
      <c r="B4065" t="str">
        <f>"300265"</f>
        <v>300265</v>
      </c>
      <c r="C4065" t="s">
        <v>8475</v>
      </c>
      <c r="D4065" t="s">
        <v>1164</v>
      </c>
      <c r="F4065">
        <v>943543298</v>
      </c>
      <c r="G4065">
        <v>693407795</v>
      </c>
      <c r="H4065">
        <v>786455702</v>
      </c>
      <c r="I4065">
        <v>993027903</v>
      </c>
      <c r="J4065">
        <v>915690251</v>
      </c>
      <c r="K4065">
        <v>1027157906</v>
      </c>
      <c r="L4065">
        <v>600740097</v>
      </c>
      <c r="M4065">
        <v>514283305</v>
      </c>
      <c r="N4065">
        <v>384661131</v>
      </c>
      <c r="O4065">
        <v>425777374</v>
      </c>
      <c r="P4065">
        <v>162</v>
      </c>
      <c r="Q4065" t="s">
        <v>8476</v>
      </c>
    </row>
    <row r="4066" spans="1:17" x14ac:dyDescent="0.3">
      <c r="A4066" t="s">
        <v>4729</v>
      </c>
      <c r="B4066" t="str">
        <f>"300266"</f>
        <v>300266</v>
      </c>
      <c r="C4066" t="s">
        <v>8477</v>
      </c>
      <c r="D4066" t="s">
        <v>33</v>
      </c>
      <c r="F4066">
        <v>1272288819</v>
      </c>
      <c r="G4066">
        <v>1104483730</v>
      </c>
      <c r="H4066">
        <v>1356095579</v>
      </c>
      <c r="I4066">
        <v>1470237559</v>
      </c>
      <c r="J4066">
        <v>1360859968</v>
      </c>
      <c r="K4066">
        <v>991362844</v>
      </c>
      <c r="L4066">
        <v>533904181</v>
      </c>
      <c r="M4066">
        <v>386654692</v>
      </c>
      <c r="N4066">
        <v>98058946</v>
      </c>
      <c r="O4066">
        <v>89244600</v>
      </c>
      <c r="P4066">
        <v>145</v>
      </c>
      <c r="Q4066" t="s">
        <v>8478</v>
      </c>
    </row>
    <row r="4067" spans="1:17" x14ac:dyDescent="0.3">
      <c r="A4067" t="s">
        <v>4729</v>
      </c>
      <c r="B4067" t="str">
        <f>"300267"</f>
        <v>300267</v>
      </c>
      <c r="C4067" t="s">
        <v>8479</v>
      </c>
      <c r="D4067" t="s">
        <v>496</v>
      </c>
      <c r="F4067">
        <v>186495954</v>
      </c>
      <c r="G4067">
        <v>353786204</v>
      </c>
      <c r="H4067">
        <v>359912678</v>
      </c>
      <c r="I4067">
        <v>344623074</v>
      </c>
      <c r="J4067">
        <v>335463405</v>
      </c>
      <c r="K4067">
        <v>227643858</v>
      </c>
      <c r="L4067">
        <v>214988999</v>
      </c>
      <c r="M4067">
        <v>184341057</v>
      </c>
      <c r="N4067">
        <v>123198080</v>
      </c>
      <c r="O4067">
        <v>79303237</v>
      </c>
      <c r="P4067">
        <v>237</v>
      </c>
      <c r="Q4067" t="s">
        <v>8480</v>
      </c>
    </row>
    <row r="4068" spans="1:17" x14ac:dyDescent="0.3">
      <c r="A4068" t="s">
        <v>4729</v>
      </c>
      <c r="B4068" t="str">
        <f>"300268"</f>
        <v>300268</v>
      </c>
      <c r="C4068" t="s">
        <v>8481</v>
      </c>
      <c r="D4068" t="s">
        <v>445</v>
      </c>
      <c r="F4068">
        <v>385257671</v>
      </c>
      <c r="G4068">
        <v>355313854</v>
      </c>
      <c r="H4068">
        <v>445181524</v>
      </c>
      <c r="I4068">
        <v>269210434</v>
      </c>
      <c r="J4068">
        <v>113352542</v>
      </c>
      <c r="K4068">
        <v>592086</v>
      </c>
      <c r="L4068">
        <v>1676140</v>
      </c>
      <c r="M4068">
        <v>3817301</v>
      </c>
      <c r="N4068">
        <v>11122649</v>
      </c>
      <c r="O4068">
        <v>16357598</v>
      </c>
      <c r="P4068">
        <v>87</v>
      </c>
      <c r="Q4068" t="s">
        <v>8482</v>
      </c>
    </row>
    <row r="4069" spans="1:17" x14ac:dyDescent="0.3">
      <c r="A4069" t="s">
        <v>4729</v>
      </c>
      <c r="B4069" t="str">
        <f>"300269"</f>
        <v>300269</v>
      </c>
      <c r="C4069" t="s">
        <v>8483</v>
      </c>
      <c r="D4069" t="s">
        <v>207</v>
      </c>
      <c r="F4069">
        <v>174831194</v>
      </c>
      <c r="G4069">
        <v>204684139</v>
      </c>
      <c r="H4069">
        <v>518692251</v>
      </c>
      <c r="I4069">
        <v>847971334</v>
      </c>
      <c r="J4069">
        <v>1047111873</v>
      </c>
      <c r="K4069">
        <v>822138200</v>
      </c>
      <c r="L4069">
        <v>473654859</v>
      </c>
      <c r="M4069">
        <v>387686468</v>
      </c>
      <c r="N4069">
        <v>246493891</v>
      </c>
      <c r="O4069">
        <v>242596870</v>
      </c>
      <c r="P4069">
        <v>125</v>
      </c>
      <c r="Q4069" t="s">
        <v>8484</v>
      </c>
    </row>
    <row r="4070" spans="1:17" x14ac:dyDescent="0.3">
      <c r="A4070" t="s">
        <v>4729</v>
      </c>
      <c r="B4070" t="str">
        <f>"300270"</f>
        <v>300270</v>
      </c>
      <c r="C4070" t="s">
        <v>8485</v>
      </c>
      <c r="D4070" t="s">
        <v>2980</v>
      </c>
      <c r="F4070">
        <v>347373403</v>
      </c>
      <c r="G4070">
        <v>375442052</v>
      </c>
      <c r="H4070">
        <v>425657083</v>
      </c>
      <c r="I4070">
        <v>371400842</v>
      </c>
      <c r="J4070">
        <v>298462979</v>
      </c>
      <c r="K4070">
        <v>257707874</v>
      </c>
      <c r="L4070">
        <v>324533902</v>
      </c>
      <c r="M4070">
        <v>196284805</v>
      </c>
      <c r="N4070">
        <v>123562085</v>
      </c>
      <c r="O4070">
        <v>121170248</v>
      </c>
      <c r="P4070">
        <v>136</v>
      </c>
      <c r="Q4070" t="s">
        <v>8486</v>
      </c>
    </row>
    <row r="4071" spans="1:17" x14ac:dyDescent="0.3">
      <c r="A4071" t="s">
        <v>4729</v>
      </c>
      <c r="B4071" t="str">
        <f>"300271"</f>
        <v>300271</v>
      </c>
      <c r="C4071" t="s">
        <v>8487</v>
      </c>
      <c r="D4071" t="s">
        <v>316</v>
      </c>
      <c r="F4071">
        <v>1891668958</v>
      </c>
      <c r="G4071">
        <v>1397834882</v>
      </c>
      <c r="H4071">
        <v>1103020902</v>
      </c>
      <c r="I4071">
        <v>923975362</v>
      </c>
      <c r="J4071">
        <v>642207933</v>
      </c>
      <c r="K4071">
        <v>441313459</v>
      </c>
      <c r="L4071">
        <v>349063928</v>
      </c>
      <c r="M4071">
        <v>303026700</v>
      </c>
      <c r="N4071">
        <v>286144158</v>
      </c>
      <c r="O4071">
        <v>185166427</v>
      </c>
      <c r="P4071">
        <v>590</v>
      </c>
      <c r="Q4071" t="s">
        <v>8488</v>
      </c>
    </row>
    <row r="4072" spans="1:17" x14ac:dyDescent="0.3">
      <c r="A4072" t="s">
        <v>4729</v>
      </c>
      <c r="B4072" t="str">
        <f>"300272"</f>
        <v>300272</v>
      </c>
      <c r="C4072" t="s">
        <v>8489</v>
      </c>
      <c r="D4072" t="s">
        <v>5799</v>
      </c>
      <c r="F4072">
        <v>236163371</v>
      </c>
      <c r="G4072">
        <v>174139955</v>
      </c>
      <c r="H4072">
        <v>160065883</v>
      </c>
      <c r="I4072">
        <v>127932304</v>
      </c>
      <c r="J4072">
        <v>172267804</v>
      </c>
      <c r="K4072">
        <v>149899259</v>
      </c>
      <c r="L4072">
        <v>146172740</v>
      </c>
      <c r="M4072">
        <v>60828016</v>
      </c>
      <c r="N4072">
        <v>50888797</v>
      </c>
      <c r="O4072">
        <v>35046841</v>
      </c>
      <c r="P4072">
        <v>131</v>
      </c>
      <c r="Q4072" t="s">
        <v>8490</v>
      </c>
    </row>
    <row r="4073" spans="1:17" x14ac:dyDescent="0.3">
      <c r="A4073" t="s">
        <v>4729</v>
      </c>
      <c r="B4073" t="str">
        <f>"300273"</f>
        <v>300273</v>
      </c>
      <c r="C4073" t="s">
        <v>8491</v>
      </c>
      <c r="D4073" t="s">
        <v>122</v>
      </c>
      <c r="F4073">
        <v>717199455</v>
      </c>
      <c r="G4073">
        <v>806828822</v>
      </c>
      <c r="H4073">
        <v>1110769399</v>
      </c>
      <c r="I4073">
        <v>1039451892</v>
      </c>
      <c r="J4073">
        <v>950255096</v>
      </c>
      <c r="K4073">
        <v>704697963</v>
      </c>
      <c r="L4073">
        <v>594108192</v>
      </c>
      <c r="M4073">
        <v>484718011</v>
      </c>
      <c r="N4073">
        <v>448263864</v>
      </c>
      <c r="O4073">
        <v>287355959</v>
      </c>
      <c r="P4073">
        <v>143</v>
      </c>
      <c r="Q4073" t="s">
        <v>8492</v>
      </c>
    </row>
    <row r="4074" spans="1:17" x14ac:dyDescent="0.3">
      <c r="A4074" t="s">
        <v>4729</v>
      </c>
      <c r="B4074" t="str">
        <f>"300274"</f>
        <v>300274</v>
      </c>
      <c r="C4074" t="s">
        <v>8493</v>
      </c>
      <c r="D4074" t="s">
        <v>3824</v>
      </c>
      <c r="F4074">
        <v>8748141498</v>
      </c>
      <c r="G4074">
        <v>6585489222</v>
      </c>
      <c r="H4074">
        <v>6671828451</v>
      </c>
      <c r="I4074">
        <v>6313125199</v>
      </c>
      <c r="J4074">
        <v>5045615836</v>
      </c>
      <c r="K4074">
        <v>3763033162</v>
      </c>
      <c r="L4074">
        <v>3051140101</v>
      </c>
      <c r="M4074">
        <v>2078829687</v>
      </c>
      <c r="N4074">
        <v>1142528048</v>
      </c>
      <c r="O4074">
        <v>829806136</v>
      </c>
      <c r="P4074">
        <v>2195</v>
      </c>
      <c r="Q4074" t="s">
        <v>8494</v>
      </c>
    </row>
    <row r="4075" spans="1:17" x14ac:dyDescent="0.3">
      <c r="A4075" t="s">
        <v>4729</v>
      </c>
      <c r="B4075" t="str">
        <f>"300275"</f>
        <v>300275</v>
      </c>
      <c r="C4075" t="s">
        <v>8495</v>
      </c>
      <c r="D4075" t="s">
        <v>395</v>
      </c>
      <c r="F4075">
        <v>306294767</v>
      </c>
      <c r="G4075">
        <v>266995375</v>
      </c>
      <c r="H4075">
        <v>202584857</v>
      </c>
      <c r="I4075">
        <v>209147025</v>
      </c>
      <c r="J4075">
        <v>250455486</v>
      </c>
      <c r="K4075">
        <v>266132206</v>
      </c>
      <c r="L4075">
        <v>322892709</v>
      </c>
      <c r="M4075">
        <v>349713115</v>
      </c>
      <c r="N4075">
        <v>250167976</v>
      </c>
      <c r="O4075">
        <v>134012964</v>
      </c>
      <c r="P4075">
        <v>89</v>
      </c>
      <c r="Q4075" t="s">
        <v>8496</v>
      </c>
    </row>
    <row r="4076" spans="1:17" x14ac:dyDescent="0.3">
      <c r="A4076" t="s">
        <v>4729</v>
      </c>
      <c r="B4076" t="str">
        <f>"300276"</f>
        <v>300276</v>
      </c>
      <c r="C4076" t="s">
        <v>8497</v>
      </c>
      <c r="D4076" t="s">
        <v>2938</v>
      </c>
      <c r="F4076">
        <v>601163489</v>
      </c>
      <c r="G4076">
        <v>550850273</v>
      </c>
      <c r="H4076">
        <v>673464923</v>
      </c>
      <c r="I4076">
        <v>450861563</v>
      </c>
      <c r="J4076">
        <v>488287548</v>
      </c>
      <c r="K4076">
        <v>241748415</v>
      </c>
      <c r="L4076">
        <v>228996552</v>
      </c>
      <c r="M4076">
        <v>223696251</v>
      </c>
      <c r="N4076">
        <v>173176910</v>
      </c>
      <c r="O4076">
        <v>137730186</v>
      </c>
      <c r="P4076">
        <v>138</v>
      </c>
      <c r="Q4076" t="s">
        <v>8498</v>
      </c>
    </row>
    <row r="4077" spans="1:17" x14ac:dyDescent="0.3">
      <c r="A4077" t="s">
        <v>4729</v>
      </c>
      <c r="B4077" t="str">
        <f>"300277"</f>
        <v>300277</v>
      </c>
      <c r="C4077" t="s">
        <v>8499</v>
      </c>
      <c r="D4077" t="s">
        <v>316</v>
      </c>
      <c r="F4077">
        <v>17179929</v>
      </c>
      <c r="G4077">
        <v>39866537</v>
      </c>
      <c r="H4077">
        <v>43904884</v>
      </c>
      <c r="I4077">
        <v>90657126</v>
      </c>
      <c r="J4077">
        <v>110706821</v>
      </c>
      <c r="K4077">
        <v>129816325</v>
      </c>
      <c r="L4077">
        <v>142930380</v>
      </c>
      <c r="M4077">
        <v>139010341</v>
      </c>
      <c r="N4077">
        <v>185343842</v>
      </c>
      <c r="O4077">
        <v>178984453</v>
      </c>
      <c r="P4077">
        <v>73</v>
      </c>
      <c r="Q4077" t="s">
        <v>8500</v>
      </c>
    </row>
    <row r="4078" spans="1:17" x14ac:dyDescent="0.3">
      <c r="A4078" t="s">
        <v>4729</v>
      </c>
      <c r="B4078" t="str">
        <f>"300278"</f>
        <v>300278</v>
      </c>
      <c r="C4078" t="s">
        <v>8501</v>
      </c>
      <c r="D4078" t="s">
        <v>2432</v>
      </c>
      <c r="F4078">
        <v>568514893</v>
      </c>
      <c r="G4078">
        <v>501153440</v>
      </c>
      <c r="H4078">
        <v>687839668</v>
      </c>
      <c r="I4078">
        <v>1120345742</v>
      </c>
      <c r="J4078">
        <v>1151076931</v>
      </c>
      <c r="K4078">
        <v>1161317158</v>
      </c>
      <c r="L4078">
        <v>801214299</v>
      </c>
      <c r="M4078">
        <v>398718922</v>
      </c>
      <c r="N4078">
        <v>189555666</v>
      </c>
      <c r="O4078">
        <v>162650594</v>
      </c>
      <c r="P4078">
        <v>98</v>
      </c>
      <c r="Q4078" t="s">
        <v>8502</v>
      </c>
    </row>
    <row r="4079" spans="1:17" x14ac:dyDescent="0.3">
      <c r="A4079" t="s">
        <v>4729</v>
      </c>
      <c r="B4079" t="str">
        <f>"300279"</f>
        <v>300279</v>
      </c>
      <c r="C4079" t="s">
        <v>8503</v>
      </c>
      <c r="D4079" t="s">
        <v>313</v>
      </c>
      <c r="F4079">
        <v>502014675</v>
      </c>
      <c r="G4079">
        <v>401698068</v>
      </c>
      <c r="H4079">
        <v>386278036</v>
      </c>
      <c r="I4079">
        <v>284926010</v>
      </c>
      <c r="J4079">
        <v>552328862</v>
      </c>
      <c r="K4079">
        <v>404553319</v>
      </c>
      <c r="L4079">
        <v>149963819</v>
      </c>
      <c r="M4079">
        <v>104955027</v>
      </c>
      <c r="N4079">
        <v>76130977</v>
      </c>
      <c r="O4079">
        <v>56718156</v>
      </c>
      <c r="P4079">
        <v>166</v>
      </c>
      <c r="Q4079" t="s">
        <v>8504</v>
      </c>
    </row>
    <row r="4080" spans="1:17" x14ac:dyDescent="0.3">
      <c r="A4080" t="s">
        <v>4729</v>
      </c>
      <c r="B4080" t="str">
        <f>"300280"</f>
        <v>300280</v>
      </c>
      <c r="C4080" t="s">
        <v>8505</v>
      </c>
      <c r="D4080" t="s">
        <v>5132</v>
      </c>
      <c r="F4080">
        <v>1438105202</v>
      </c>
      <c r="G4080">
        <v>1116043252</v>
      </c>
      <c r="H4080">
        <v>618952493</v>
      </c>
      <c r="I4080">
        <v>305547384</v>
      </c>
      <c r="J4080">
        <v>16672611</v>
      </c>
      <c r="K4080">
        <v>7720455</v>
      </c>
      <c r="L4080">
        <v>11879051</v>
      </c>
      <c r="M4080">
        <v>21796854</v>
      </c>
      <c r="N4080">
        <v>33217713</v>
      </c>
      <c r="O4080">
        <v>49447522</v>
      </c>
      <c r="P4080">
        <v>144</v>
      </c>
      <c r="Q4080" t="s">
        <v>8506</v>
      </c>
    </row>
    <row r="4081" spans="1:17" x14ac:dyDescent="0.3">
      <c r="A4081" t="s">
        <v>4729</v>
      </c>
      <c r="B4081" t="str">
        <f>"300281"</f>
        <v>300281</v>
      </c>
      <c r="C4081" t="s">
        <v>8507</v>
      </c>
      <c r="D4081" t="s">
        <v>741</v>
      </c>
      <c r="F4081">
        <v>10303728</v>
      </c>
      <c r="G4081">
        <v>12194397</v>
      </c>
      <c r="H4081">
        <v>17029155</v>
      </c>
      <c r="I4081">
        <v>74385283</v>
      </c>
      <c r="J4081">
        <v>132136458</v>
      </c>
      <c r="K4081">
        <v>108413708</v>
      </c>
      <c r="L4081">
        <v>104605461</v>
      </c>
      <c r="M4081">
        <v>112995247</v>
      </c>
      <c r="N4081">
        <v>123999583</v>
      </c>
      <c r="O4081">
        <v>76784886</v>
      </c>
      <c r="P4081">
        <v>48</v>
      </c>
      <c r="Q4081" t="s">
        <v>8508</v>
      </c>
    </row>
    <row r="4082" spans="1:17" x14ac:dyDescent="0.3">
      <c r="A4082" t="s">
        <v>4729</v>
      </c>
      <c r="B4082" t="str">
        <f>"300282"</f>
        <v>300282</v>
      </c>
      <c r="C4082" t="s">
        <v>8509</v>
      </c>
      <c r="D4082" t="s">
        <v>1285</v>
      </c>
      <c r="F4082">
        <v>108443340</v>
      </c>
      <c r="G4082">
        <v>162616208</v>
      </c>
      <c r="H4082">
        <v>302405276</v>
      </c>
      <c r="I4082">
        <v>290625407</v>
      </c>
      <c r="J4082">
        <v>206440471</v>
      </c>
      <c r="K4082">
        <v>424795946</v>
      </c>
      <c r="L4082">
        <v>376167277</v>
      </c>
      <c r="M4082">
        <v>352101114</v>
      </c>
      <c r="N4082">
        <v>35423691</v>
      </c>
      <c r="O4082">
        <v>20910174</v>
      </c>
      <c r="P4082">
        <v>100</v>
      </c>
      <c r="Q4082" t="s">
        <v>8510</v>
      </c>
    </row>
    <row r="4083" spans="1:17" x14ac:dyDescent="0.3">
      <c r="A4083" t="s">
        <v>4729</v>
      </c>
      <c r="B4083" t="str">
        <f>"300283"</f>
        <v>300283</v>
      </c>
      <c r="C4083" t="s">
        <v>8511</v>
      </c>
      <c r="D4083" t="s">
        <v>657</v>
      </c>
      <c r="F4083">
        <v>256652704</v>
      </c>
      <c r="G4083">
        <v>350276105</v>
      </c>
      <c r="H4083">
        <v>232453257</v>
      </c>
      <c r="I4083">
        <v>192022541</v>
      </c>
      <c r="J4083">
        <v>211231006</v>
      </c>
      <c r="K4083">
        <v>204387721</v>
      </c>
      <c r="L4083">
        <v>112355534</v>
      </c>
      <c r="M4083">
        <v>139397008</v>
      </c>
      <c r="N4083">
        <v>87905022</v>
      </c>
      <c r="O4083">
        <v>140236159</v>
      </c>
      <c r="P4083">
        <v>58</v>
      </c>
      <c r="Q4083" t="s">
        <v>8512</v>
      </c>
    </row>
    <row r="4084" spans="1:17" x14ac:dyDescent="0.3">
      <c r="A4084" t="s">
        <v>4729</v>
      </c>
      <c r="B4084" t="str">
        <f>"300284"</f>
        <v>300284</v>
      </c>
      <c r="C4084" t="s">
        <v>8513</v>
      </c>
      <c r="D4084" t="s">
        <v>1272</v>
      </c>
      <c r="F4084">
        <v>4543518186</v>
      </c>
      <c r="G4084">
        <v>5086928249</v>
      </c>
      <c r="H4084">
        <v>7087752539</v>
      </c>
      <c r="I4084">
        <v>5783350421</v>
      </c>
      <c r="J4084">
        <v>4946955828</v>
      </c>
      <c r="K4084">
        <v>3697600609</v>
      </c>
      <c r="L4084">
        <v>2499068351</v>
      </c>
      <c r="M4084">
        <v>2158592090</v>
      </c>
      <c r="N4084">
        <v>1507197064</v>
      </c>
      <c r="O4084">
        <v>1375442886</v>
      </c>
      <c r="P4084">
        <v>274</v>
      </c>
      <c r="Q4084" t="s">
        <v>8514</v>
      </c>
    </row>
    <row r="4085" spans="1:17" x14ac:dyDescent="0.3">
      <c r="A4085" t="s">
        <v>4729</v>
      </c>
      <c r="B4085" t="str">
        <f>"300285"</f>
        <v>300285</v>
      </c>
      <c r="C4085" t="s">
        <v>8515</v>
      </c>
      <c r="D4085" t="s">
        <v>386</v>
      </c>
      <c r="F4085">
        <v>1234181242</v>
      </c>
      <c r="G4085">
        <v>1007535731</v>
      </c>
      <c r="H4085">
        <v>874850784</v>
      </c>
      <c r="I4085">
        <v>745268098</v>
      </c>
      <c r="J4085">
        <v>554879376</v>
      </c>
      <c r="K4085">
        <v>363220643</v>
      </c>
      <c r="L4085">
        <v>257441379</v>
      </c>
      <c r="M4085">
        <v>157289676</v>
      </c>
      <c r="N4085">
        <v>66979506</v>
      </c>
      <c r="O4085">
        <v>39377383</v>
      </c>
      <c r="P4085">
        <v>1537</v>
      </c>
      <c r="Q4085" t="s">
        <v>8516</v>
      </c>
    </row>
    <row r="4086" spans="1:17" x14ac:dyDescent="0.3">
      <c r="A4086" t="s">
        <v>4729</v>
      </c>
      <c r="B4086" t="str">
        <f>"300286"</f>
        <v>300286</v>
      </c>
      <c r="C4086" t="s">
        <v>8517</v>
      </c>
      <c r="D4086" t="s">
        <v>2180</v>
      </c>
      <c r="F4086">
        <v>118115060</v>
      </c>
      <c r="G4086">
        <v>110193368</v>
      </c>
      <c r="H4086">
        <v>87587288</v>
      </c>
      <c r="I4086">
        <v>83933892</v>
      </c>
      <c r="J4086">
        <v>78741770</v>
      </c>
      <c r="K4086">
        <v>61054709</v>
      </c>
      <c r="L4086">
        <v>50396489</v>
      </c>
      <c r="M4086">
        <v>32788095</v>
      </c>
      <c r="N4086">
        <v>13632156</v>
      </c>
      <c r="O4086">
        <v>5297519</v>
      </c>
      <c r="P4086">
        <v>272</v>
      </c>
      <c r="Q4086" t="s">
        <v>8518</v>
      </c>
    </row>
    <row r="4087" spans="1:17" x14ac:dyDescent="0.3">
      <c r="A4087" t="s">
        <v>4729</v>
      </c>
      <c r="B4087" t="str">
        <f>"300287"</f>
        <v>300287</v>
      </c>
      <c r="C4087" t="s">
        <v>8519</v>
      </c>
      <c r="D4087" t="s">
        <v>316</v>
      </c>
      <c r="F4087">
        <v>1036032458</v>
      </c>
      <c r="G4087">
        <v>1158267545</v>
      </c>
      <c r="H4087">
        <v>1717111113</v>
      </c>
      <c r="I4087">
        <v>1694819032</v>
      </c>
      <c r="J4087">
        <v>2069545841</v>
      </c>
      <c r="K4087">
        <v>1646707599</v>
      </c>
      <c r="L4087">
        <v>1325171509</v>
      </c>
      <c r="M4087">
        <v>711623121</v>
      </c>
      <c r="N4087">
        <v>443435701</v>
      </c>
      <c r="O4087">
        <v>265637941</v>
      </c>
      <c r="P4087">
        <v>288</v>
      </c>
      <c r="Q4087" t="s">
        <v>8520</v>
      </c>
    </row>
    <row r="4088" spans="1:17" x14ac:dyDescent="0.3">
      <c r="A4088" t="s">
        <v>4729</v>
      </c>
      <c r="B4088" t="str">
        <f>"300288"</f>
        <v>300288</v>
      </c>
      <c r="C4088" t="s">
        <v>8521</v>
      </c>
      <c r="D4088" t="s">
        <v>316</v>
      </c>
      <c r="F4088">
        <v>42217259</v>
      </c>
      <c r="G4088">
        <v>52228474</v>
      </c>
      <c r="H4088">
        <v>63708478</v>
      </c>
      <c r="I4088">
        <v>87920833</v>
      </c>
      <c r="J4088">
        <v>75611383</v>
      </c>
      <c r="K4088">
        <v>69725333</v>
      </c>
      <c r="L4088">
        <v>57044069</v>
      </c>
      <c r="M4088">
        <v>63299652</v>
      </c>
      <c r="N4088">
        <v>52301318</v>
      </c>
      <c r="O4088">
        <v>44699654</v>
      </c>
      <c r="P4088">
        <v>221</v>
      </c>
      <c r="Q4088" t="s">
        <v>8522</v>
      </c>
    </row>
    <row r="4089" spans="1:17" x14ac:dyDescent="0.3">
      <c r="A4089" t="s">
        <v>4729</v>
      </c>
      <c r="B4089" t="str">
        <f>"300289"</f>
        <v>300289</v>
      </c>
      <c r="C4089" t="s">
        <v>8523</v>
      </c>
      <c r="D4089" t="s">
        <v>1305</v>
      </c>
      <c r="F4089">
        <v>215437122</v>
      </c>
      <c r="G4089">
        <v>234409268</v>
      </c>
      <c r="H4089">
        <v>293728425</v>
      </c>
      <c r="I4089">
        <v>290136387</v>
      </c>
      <c r="J4089">
        <v>283590062</v>
      </c>
      <c r="K4089">
        <v>392452577</v>
      </c>
      <c r="L4089">
        <v>340238913</v>
      </c>
      <c r="M4089">
        <v>334096708</v>
      </c>
      <c r="N4089">
        <v>133464357</v>
      </c>
      <c r="O4089">
        <v>119839239</v>
      </c>
      <c r="P4089">
        <v>132</v>
      </c>
      <c r="Q4089" t="s">
        <v>8524</v>
      </c>
    </row>
    <row r="4090" spans="1:17" x14ac:dyDescent="0.3">
      <c r="A4090" t="s">
        <v>4729</v>
      </c>
      <c r="B4090" t="str">
        <f>"300290"</f>
        <v>300290</v>
      </c>
      <c r="C4090" t="s">
        <v>8525</v>
      </c>
      <c r="D4090" t="s">
        <v>316</v>
      </c>
      <c r="F4090">
        <v>466514242</v>
      </c>
      <c r="G4090">
        <v>519317597</v>
      </c>
      <c r="H4090">
        <v>517422554</v>
      </c>
      <c r="I4090">
        <v>505372585</v>
      </c>
      <c r="J4090">
        <v>451683470</v>
      </c>
      <c r="K4090">
        <v>451390318</v>
      </c>
      <c r="L4090">
        <v>417936815</v>
      </c>
      <c r="M4090">
        <v>325485104</v>
      </c>
      <c r="N4090">
        <v>253031555</v>
      </c>
      <c r="O4090">
        <v>132289958</v>
      </c>
      <c r="P4090">
        <v>113</v>
      </c>
      <c r="Q4090" t="s">
        <v>8526</v>
      </c>
    </row>
    <row r="4091" spans="1:17" x14ac:dyDescent="0.3">
      <c r="A4091" t="s">
        <v>4729</v>
      </c>
      <c r="B4091" t="str">
        <f>"300291"</f>
        <v>300291</v>
      </c>
      <c r="C4091" t="s">
        <v>8527</v>
      </c>
      <c r="D4091" t="s">
        <v>113</v>
      </c>
      <c r="F4091">
        <v>765703233</v>
      </c>
      <c r="G4091">
        <v>424042910</v>
      </c>
      <c r="H4091">
        <v>524721234</v>
      </c>
      <c r="I4091">
        <v>555984345</v>
      </c>
      <c r="J4091">
        <v>2541167177</v>
      </c>
      <c r="K4091">
        <v>2240511260</v>
      </c>
      <c r="L4091">
        <v>1135506546</v>
      </c>
      <c r="M4091">
        <v>722728246</v>
      </c>
      <c r="N4091">
        <v>297252191</v>
      </c>
      <c r="O4091">
        <v>229762470</v>
      </c>
      <c r="P4091">
        <v>93</v>
      </c>
      <c r="Q4091" t="s">
        <v>8528</v>
      </c>
    </row>
    <row r="4092" spans="1:17" x14ac:dyDescent="0.3">
      <c r="A4092" t="s">
        <v>4729</v>
      </c>
      <c r="B4092" t="str">
        <f>"300292"</f>
        <v>300292</v>
      </c>
      <c r="C4092" t="s">
        <v>8529</v>
      </c>
      <c r="D4092" t="s">
        <v>5670</v>
      </c>
      <c r="F4092">
        <v>294400547</v>
      </c>
      <c r="G4092">
        <v>293203157</v>
      </c>
      <c r="H4092">
        <v>588209808</v>
      </c>
      <c r="I4092">
        <v>557079061</v>
      </c>
      <c r="J4092">
        <v>496632838</v>
      </c>
      <c r="K4092">
        <v>384748922</v>
      </c>
      <c r="L4092">
        <v>340065665</v>
      </c>
      <c r="M4092">
        <v>234862029</v>
      </c>
      <c r="N4092">
        <v>133110216</v>
      </c>
      <c r="O4092">
        <v>106219422</v>
      </c>
      <c r="P4092">
        <v>205</v>
      </c>
      <c r="Q4092" t="s">
        <v>8530</v>
      </c>
    </row>
    <row r="4093" spans="1:17" x14ac:dyDescent="0.3">
      <c r="A4093" t="s">
        <v>4729</v>
      </c>
      <c r="B4093" t="str">
        <f>"300293"</f>
        <v>300293</v>
      </c>
      <c r="C4093" t="s">
        <v>8531</v>
      </c>
      <c r="D4093" t="s">
        <v>741</v>
      </c>
      <c r="F4093">
        <v>222076197</v>
      </c>
      <c r="G4093">
        <v>321320487</v>
      </c>
      <c r="H4093">
        <v>428060596</v>
      </c>
      <c r="I4093">
        <v>405931778</v>
      </c>
      <c r="J4093">
        <v>480088944</v>
      </c>
      <c r="K4093">
        <v>251486421</v>
      </c>
      <c r="L4093">
        <v>279935840</v>
      </c>
      <c r="M4093">
        <v>269296627</v>
      </c>
      <c r="N4093">
        <v>194739757</v>
      </c>
      <c r="O4093">
        <v>123466889</v>
      </c>
      <c r="P4093">
        <v>112</v>
      </c>
      <c r="Q4093" t="s">
        <v>8532</v>
      </c>
    </row>
    <row r="4094" spans="1:17" x14ac:dyDescent="0.3">
      <c r="A4094" t="s">
        <v>4729</v>
      </c>
      <c r="B4094" t="str">
        <f>"300294"</f>
        <v>300294</v>
      </c>
      <c r="C4094" t="s">
        <v>8533</v>
      </c>
      <c r="D4094" t="s">
        <v>378</v>
      </c>
      <c r="F4094">
        <v>445060526</v>
      </c>
      <c r="G4094">
        <v>498717721</v>
      </c>
      <c r="H4094">
        <v>615098657</v>
      </c>
      <c r="I4094">
        <v>542794150</v>
      </c>
      <c r="J4094">
        <v>288961700</v>
      </c>
      <c r="K4094">
        <v>109733073</v>
      </c>
      <c r="L4094">
        <v>91073138</v>
      </c>
      <c r="M4094">
        <v>50550226</v>
      </c>
      <c r="N4094">
        <v>31008807</v>
      </c>
      <c r="O4094">
        <v>7073643</v>
      </c>
      <c r="P4094">
        <v>495</v>
      </c>
      <c r="Q4094" t="s">
        <v>8534</v>
      </c>
    </row>
    <row r="4095" spans="1:17" x14ac:dyDescent="0.3">
      <c r="A4095" t="s">
        <v>4729</v>
      </c>
      <c r="B4095" t="str">
        <f>"300295"</f>
        <v>300295</v>
      </c>
      <c r="C4095" t="s">
        <v>8535</v>
      </c>
      <c r="D4095" t="s">
        <v>522</v>
      </c>
      <c r="F4095">
        <v>32860967</v>
      </c>
      <c r="G4095">
        <v>30442462</v>
      </c>
      <c r="H4095">
        <v>59990840</v>
      </c>
      <c r="I4095">
        <v>58396091</v>
      </c>
      <c r="J4095">
        <v>23377313</v>
      </c>
      <c r="K4095">
        <v>30203779</v>
      </c>
      <c r="L4095">
        <v>29328212</v>
      </c>
      <c r="M4095">
        <v>40293831</v>
      </c>
      <c r="N4095">
        <v>33914972</v>
      </c>
      <c r="O4095">
        <v>27693089</v>
      </c>
      <c r="P4095">
        <v>100</v>
      </c>
      <c r="Q4095" t="s">
        <v>8536</v>
      </c>
    </row>
    <row r="4096" spans="1:17" x14ac:dyDescent="0.3">
      <c r="A4096" t="s">
        <v>4729</v>
      </c>
      <c r="B4096" t="str">
        <f>"300296"</f>
        <v>300296</v>
      </c>
      <c r="C4096" t="s">
        <v>8537</v>
      </c>
      <c r="D4096" t="s">
        <v>803</v>
      </c>
      <c r="F4096">
        <v>2997827221</v>
      </c>
      <c r="G4096">
        <v>2329625870</v>
      </c>
      <c r="H4096">
        <v>3092454948</v>
      </c>
      <c r="I4096">
        <v>2535485181</v>
      </c>
      <c r="J4096">
        <v>2031021463</v>
      </c>
      <c r="K4096">
        <v>1767071982</v>
      </c>
      <c r="L4096">
        <v>1149672496</v>
      </c>
      <c r="M4096">
        <v>570348417</v>
      </c>
      <c r="N4096">
        <v>388834673</v>
      </c>
      <c r="O4096">
        <v>304244003</v>
      </c>
      <c r="P4096">
        <v>1699</v>
      </c>
      <c r="Q4096" t="s">
        <v>8538</v>
      </c>
    </row>
    <row r="4097" spans="1:17" x14ac:dyDescent="0.3">
      <c r="A4097" t="s">
        <v>4729</v>
      </c>
      <c r="B4097" t="str">
        <f>"300297"</f>
        <v>300297</v>
      </c>
      <c r="C4097" t="s">
        <v>8539</v>
      </c>
      <c r="D4097" t="s">
        <v>316</v>
      </c>
      <c r="F4097">
        <v>2431504375</v>
      </c>
      <c r="G4097">
        <v>3063284698</v>
      </c>
      <c r="H4097">
        <v>2939498026</v>
      </c>
      <c r="I4097">
        <v>2755683225</v>
      </c>
      <c r="J4097">
        <v>1897924097</v>
      </c>
      <c r="K4097">
        <v>1018355088</v>
      </c>
      <c r="L4097">
        <v>602628189</v>
      </c>
      <c r="M4097">
        <v>303019792</v>
      </c>
      <c r="N4097">
        <v>204929840</v>
      </c>
      <c r="O4097">
        <v>160272516</v>
      </c>
      <c r="P4097">
        <v>342</v>
      </c>
      <c r="Q4097" t="s">
        <v>8540</v>
      </c>
    </row>
    <row r="4098" spans="1:17" x14ac:dyDescent="0.3">
      <c r="A4098" t="s">
        <v>4729</v>
      </c>
      <c r="B4098" t="str">
        <f>"300298"</f>
        <v>300298</v>
      </c>
      <c r="C4098" t="s">
        <v>8541</v>
      </c>
      <c r="D4098" t="s">
        <v>122</v>
      </c>
      <c r="F4098">
        <v>209664838</v>
      </c>
      <c r="G4098">
        <v>233907889</v>
      </c>
      <c r="H4098">
        <v>288318032</v>
      </c>
      <c r="I4098">
        <v>287907642</v>
      </c>
      <c r="J4098">
        <v>149991810</v>
      </c>
      <c r="K4098">
        <v>152964377</v>
      </c>
      <c r="L4098">
        <v>78666685</v>
      </c>
      <c r="M4098">
        <v>82512803</v>
      </c>
      <c r="N4098">
        <v>25504398</v>
      </c>
      <c r="O4098">
        <v>13900413</v>
      </c>
      <c r="P4098">
        <v>619</v>
      </c>
      <c r="Q4098" t="s">
        <v>8542</v>
      </c>
    </row>
    <row r="4099" spans="1:17" x14ac:dyDescent="0.3">
      <c r="A4099" t="s">
        <v>4729</v>
      </c>
      <c r="B4099" t="str">
        <f>"300299"</f>
        <v>300299</v>
      </c>
      <c r="C4099" t="s">
        <v>8543</v>
      </c>
      <c r="D4099" t="s">
        <v>517</v>
      </c>
      <c r="F4099">
        <v>146737874</v>
      </c>
      <c r="G4099">
        <v>182988564</v>
      </c>
      <c r="H4099">
        <v>203002963</v>
      </c>
      <c r="I4099">
        <v>276962604</v>
      </c>
      <c r="J4099">
        <v>267188087</v>
      </c>
      <c r="K4099">
        <v>323584483</v>
      </c>
      <c r="L4099">
        <v>346264798</v>
      </c>
      <c r="M4099">
        <v>273143889</v>
      </c>
      <c r="N4099">
        <v>210285158</v>
      </c>
      <c r="O4099">
        <v>167303717</v>
      </c>
      <c r="P4099">
        <v>187</v>
      </c>
      <c r="Q4099" t="s">
        <v>8544</v>
      </c>
    </row>
    <row r="4100" spans="1:17" x14ac:dyDescent="0.3">
      <c r="A4100" t="s">
        <v>4729</v>
      </c>
      <c r="B4100" t="str">
        <f>"300300"</f>
        <v>300300</v>
      </c>
      <c r="C4100" t="s">
        <v>8545</v>
      </c>
      <c r="D4100" t="s">
        <v>316</v>
      </c>
      <c r="F4100">
        <v>104075575</v>
      </c>
      <c r="G4100">
        <v>152523920</v>
      </c>
      <c r="H4100">
        <v>161818449</v>
      </c>
      <c r="I4100">
        <v>186647717</v>
      </c>
      <c r="J4100">
        <v>259505822</v>
      </c>
      <c r="K4100">
        <v>344304444</v>
      </c>
      <c r="L4100">
        <v>491780334</v>
      </c>
      <c r="M4100">
        <v>389674748</v>
      </c>
      <c r="N4100">
        <v>205453503</v>
      </c>
      <c r="O4100">
        <v>140327207</v>
      </c>
      <c r="P4100">
        <v>121</v>
      </c>
      <c r="Q4100" t="s">
        <v>8546</v>
      </c>
    </row>
    <row r="4101" spans="1:17" x14ac:dyDescent="0.3">
      <c r="A4101" t="s">
        <v>4729</v>
      </c>
      <c r="B4101" t="str">
        <f>"300301"</f>
        <v>300301</v>
      </c>
      <c r="C4101" t="s">
        <v>8547</v>
      </c>
      <c r="D4101" t="s">
        <v>803</v>
      </c>
      <c r="F4101">
        <v>498376944</v>
      </c>
      <c r="G4101">
        <v>606045853</v>
      </c>
      <c r="H4101">
        <v>656181590</v>
      </c>
      <c r="I4101">
        <v>547486714</v>
      </c>
      <c r="J4101">
        <v>418458028</v>
      </c>
      <c r="K4101">
        <v>311589301</v>
      </c>
      <c r="L4101">
        <v>270022190</v>
      </c>
      <c r="M4101">
        <v>138878082</v>
      </c>
      <c r="N4101">
        <v>175648241</v>
      </c>
      <c r="O4101">
        <v>166782313</v>
      </c>
      <c r="P4101">
        <v>75</v>
      </c>
      <c r="Q4101" t="s">
        <v>8548</v>
      </c>
    </row>
    <row r="4102" spans="1:17" x14ac:dyDescent="0.3">
      <c r="A4102" t="s">
        <v>4729</v>
      </c>
      <c r="B4102" t="str">
        <f>"300302"</f>
        <v>300302</v>
      </c>
      <c r="C4102" t="s">
        <v>8549</v>
      </c>
      <c r="D4102" t="s">
        <v>236</v>
      </c>
      <c r="F4102">
        <v>235681613</v>
      </c>
      <c r="G4102">
        <v>287887306</v>
      </c>
      <c r="H4102">
        <v>308842379</v>
      </c>
      <c r="I4102">
        <v>170687870</v>
      </c>
      <c r="J4102">
        <v>158984951</v>
      </c>
      <c r="K4102">
        <v>133238104</v>
      </c>
      <c r="L4102">
        <v>93524220</v>
      </c>
      <c r="M4102">
        <v>128981788</v>
      </c>
      <c r="N4102">
        <v>117310904</v>
      </c>
      <c r="O4102">
        <v>74744500</v>
      </c>
      <c r="P4102">
        <v>146</v>
      </c>
      <c r="Q4102" t="s">
        <v>8550</v>
      </c>
    </row>
    <row r="4103" spans="1:17" x14ac:dyDescent="0.3">
      <c r="A4103" t="s">
        <v>4729</v>
      </c>
      <c r="B4103" t="str">
        <f>"300303"</f>
        <v>300303</v>
      </c>
      <c r="C4103" t="s">
        <v>8551</v>
      </c>
      <c r="D4103" t="s">
        <v>803</v>
      </c>
      <c r="F4103">
        <v>885012115</v>
      </c>
      <c r="G4103">
        <v>924781797</v>
      </c>
      <c r="H4103">
        <v>907528045</v>
      </c>
      <c r="I4103">
        <v>848372719</v>
      </c>
      <c r="J4103">
        <v>808216804</v>
      </c>
      <c r="K4103">
        <v>600553889</v>
      </c>
      <c r="L4103">
        <v>395319534</v>
      </c>
      <c r="M4103">
        <v>387718502</v>
      </c>
      <c r="N4103">
        <v>306203810</v>
      </c>
      <c r="O4103">
        <v>219231164</v>
      </c>
      <c r="P4103">
        <v>256</v>
      </c>
      <c r="Q4103" t="s">
        <v>8552</v>
      </c>
    </row>
    <row r="4104" spans="1:17" x14ac:dyDescent="0.3">
      <c r="A4104" t="s">
        <v>4729</v>
      </c>
      <c r="B4104" t="str">
        <f>"300304"</f>
        <v>300304</v>
      </c>
      <c r="C4104" t="s">
        <v>8553</v>
      </c>
      <c r="D4104" t="s">
        <v>1415</v>
      </c>
      <c r="F4104">
        <v>353500915</v>
      </c>
      <c r="G4104">
        <v>317413765</v>
      </c>
      <c r="H4104">
        <v>261678706</v>
      </c>
      <c r="I4104">
        <v>237879326</v>
      </c>
      <c r="J4104">
        <v>187601147</v>
      </c>
      <c r="K4104">
        <v>171677446</v>
      </c>
      <c r="L4104">
        <v>131904347</v>
      </c>
      <c r="M4104">
        <v>123948942</v>
      </c>
      <c r="N4104">
        <v>120746757</v>
      </c>
      <c r="O4104">
        <v>101266895</v>
      </c>
      <c r="P4104">
        <v>114</v>
      </c>
      <c r="Q4104" t="s">
        <v>8554</v>
      </c>
    </row>
    <row r="4105" spans="1:17" x14ac:dyDescent="0.3">
      <c r="A4105" t="s">
        <v>4729</v>
      </c>
      <c r="B4105" t="str">
        <f>"300305"</f>
        <v>300305</v>
      </c>
      <c r="C4105" t="s">
        <v>8555</v>
      </c>
      <c r="D4105" t="s">
        <v>324</v>
      </c>
      <c r="F4105">
        <v>183694701</v>
      </c>
      <c r="G4105">
        <v>222867415</v>
      </c>
      <c r="H4105">
        <v>138737120</v>
      </c>
      <c r="I4105">
        <v>161390658</v>
      </c>
      <c r="J4105">
        <v>132570715</v>
      </c>
      <c r="K4105">
        <v>105844678</v>
      </c>
      <c r="L4105">
        <v>106363271</v>
      </c>
      <c r="M4105">
        <v>75299495</v>
      </c>
      <c r="N4105">
        <v>61841769</v>
      </c>
      <c r="O4105">
        <v>40972430</v>
      </c>
      <c r="P4105">
        <v>147</v>
      </c>
      <c r="Q4105" t="s">
        <v>8556</v>
      </c>
    </row>
    <row r="4106" spans="1:17" x14ac:dyDescent="0.3">
      <c r="A4106" t="s">
        <v>4729</v>
      </c>
      <c r="B4106" t="str">
        <f>"300306"</f>
        <v>300306</v>
      </c>
      <c r="C4106" t="s">
        <v>8557</v>
      </c>
      <c r="D4106" t="s">
        <v>2566</v>
      </c>
      <c r="F4106">
        <v>29065563</v>
      </c>
      <c r="G4106">
        <v>42154039</v>
      </c>
      <c r="H4106">
        <v>52226152</v>
      </c>
      <c r="I4106">
        <v>65122449</v>
      </c>
      <c r="J4106">
        <v>175764993</v>
      </c>
      <c r="K4106">
        <v>67004261</v>
      </c>
      <c r="L4106">
        <v>2188145</v>
      </c>
      <c r="M4106">
        <v>2684010</v>
      </c>
      <c r="N4106">
        <v>2663840</v>
      </c>
      <c r="O4106">
        <v>4595963</v>
      </c>
      <c r="P4106">
        <v>169</v>
      </c>
      <c r="Q4106" t="s">
        <v>8558</v>
      </c>
    </row>
    <row r="4107" spans="1:17" x14ac:dyDescent="0.3">
      <c r="A4107" t="s">
        <v>4729</v>
      </c>
      <c r="B4107" t="str">
        <f>"300307"</f>
        <v>300307</v>
      </c>
      <c r="C4107" t="s">
        <v>8559</v>
      </c>
      <c r="D4107" t="s">
        <v>534</v>
      </c>
      <c r="F4107">
        <v>677675200</v>
      </c>
      <c r="G4107">
        <v>457018532</v>
      </c>
      <c r="H4107">
        <v>604466228</v>
      </c>
      <c r="I4107">
        <v>720682387</v>
      </c>
      <c r="J4107">
        <v>548035744</v>
      </c>
      <c r="K4107">
        <v>561008827</v>
      </c>
      <c r="L4107">
        <v>381426891</v>
      </c>
      <c r="M4107">
        <v>276961872</v>
      </c>
      <c r="N4107">
        <v>189846584</v>
      </c>
      <c r="O4107">
        <v>180725720</v>
      </c>
      <c r="P4107">
        <v>2981</v>
      </c>
      <c r="Q4107" t="s">
        <v>8560</v>
      </c>
    </row>
    <row r="4108" spans="1:17" x14ac:dyDescent="0.3">
      <c r="A4108" t="s">
        <v>4729</v>
      </c>
      <c r="B4108" t="str">
        <f>"300308"</f>
        <v>300308</v>
      </c>
      <c r="C4108" t="s">
        <v>8561</v>
      </c>
      <c r="D4108" t="s">
        <v>1019</v>
      </c>
      <c r="F4108">
        <v>1997351739</v>
      </c>
      <c r="G4108">
        <v>1514463206</v>
      </c>
      <c r="H4108">
        <v>1132542173</v>
      </c>
      <c r="I4108">
        <v>840106718</v>
      </c>
      <c r="J4108">
        <v>1012565848</v>
      </c>
      <c r="K4108">
        <v>55876004</v>
      </c>
      <c r="L4108">
        <v>75360429</v>
      </c>
      <c r="M4108">
        <v>62427904</v>
      </c>
      <c r="N4108">
        <v>32324765</v>
      </c>
      <c r="O4108">
        <v>43559309</v>
      </c>
      <c r="P4108">
        <v>814</v>
      </c>
      <c r="Q4108" t="s">
        <v>8562</v>
      </c>
    </row>
    <row r="4109" spans="1:17" x14ac:dyDescent="0.3">
      <c r="A4109" t="s">
        <v>4729</v>
      </c>
      <c r="B4109" t="str">
        <f>"300309"</f>
        <v>300309</v>
      </c>
      <c r="C4109" t="s">
        <v>8563</v>
      </c>
      <c r="D4109" t="s">
        <v>116</v>
      </c>
      <c r="F4109">
        <v>65407672</v>
      </c>
      <c r="G4109">
        <v>145730897</v>
      </c>
      <c r="H4109">
        <v>229849037</v>
      </c>
      <c r="I4109">
        <v>292826384</v>
      </c>
      <c r="J4109">
        <v>328369937</v>
      </c>
      <c r="K4109">
        <v>542368703</v>
      </c>
      <c r="L4109">
        <v>508653712</v>
      </c>
      <c r="M4109">
        <v>469603645</v>
      </c>
      <c r="N4109">
        <v>420663610</v>
      </c>
      <c r="O4109">
        <v>360030356</v>
      </c>
      <c r="P4109">
        <v>108</v>
      </c>
      <c r="Q4109" t="s">
        <v>8564</v>
      </c>
    </row>
    <row r="4110" spans="1:17" x14ac:dyDescent="0.3">
      <c r="A4110" t="s">
        <v>4729</v>
      </c>
      <c r="B4110" t="str">
        <f>"300310"</f>
        <v>300310</v>
      </c>
      <c r="C4110" t="s">
        <v>8565</v>
      </c>
      <c r="D4110" t="s">
        <v>654</v>
      </c>
      <c r="F4110">
        <v>673178829</v>
      </c>
      <c r="G4110">
        <v>737131517</v>
      </c>
      <c r="H4110">
        <v>706216918</v>
      </c>
      <c r="I4110">
        <v>903051316</v>
      </c>
      <c r="J4110">
        <v>916185366</v>
      </c>
      <c r="K4110">
        <v>528533684</v>
      </c>
      <c r="L4110">
        <v>376767939</v>
      </c>
      <c r="M4110">
        <v>368250703</v>
      </c>
      <c r="N4110">
        <v>291045044</v>
      </c>
      <c r="O4110">
        <v>168021404</v>
      </c>
      <c r="P4110">
        <v>257</v>
      </c>
      <c r="Q4110" t="s">
        <v>8566</v>
      </c>
    </row>
    <row r="4111" spans="1:17" x14ac:dyDescent="0.3">
      <c r="A4111" t="s">
        <v>4729</v>
      </c>
      <c r="B4111" t="str">
        <f>"300311"</f>
        <v>300311</v>
      </c>
      <c r="C4111" t="s">
        <v>8567</v>
      </c>
      <c r="D4111" t="s">
        <v>1189</v>
      </c>
      <c r="F4111">
        <v>352431290</v>
      </c>
      <c r="G4111">
        <v>388516556</v>
      </c>
      <c r="H4111">
        <v>455038516</v>
      </c>
      <c r="I4111">
        <v>469015265</v>
      </c>
      <c r="J4111">
        <v>368671701</v>
      </c>
      <c r="K4111">
        <v>197432824</v>
      </c>
      <c r="L4111">
        <v>121662141</v>
      </c>
      <c r="M4111">
        <v>65405801</v>
      </c>
      <c r="N4111">
        <v>30137745</v>
      </c>
      <c r="O4111">
        <v>40883734</v>
      </c>
      <c r="P4111">
        <v>161</v>
      </c>
      <c r="Q4111" t="s">
        <v>8568</v>
      </c>
    </row>
    <row r="4112" spans="1:17" x14ac:dyDescent="0.3">
      <c r="A4112" t="s">
        <v>4729</v>
      </c>
      <c r="B4112" t="str">
        <f>"300312"</f>
        <v>300312</v>
      </c>
      <c r="C4112" t="s">
        <v>8569</v>
      </c>
      <c r="D4112" t="s">
        <v>1019</v>
      </c>
      <c r="G4112">
        <v>145363929</v>
      </c>
      <c r="H4112">
        <v>263184613</v>
      </c>
      <c r="I4112">
        <v>324549080</v>
      </c>
      <c r="J4112">
        <v>454900252</v>
      </c>
      <c r="K4112">
        <v>612441059</v>
      </c>
      <c r="L4112">
        <v>726445795</v>
      </c>
      <c r="M4112">
        <v>614564433</v>
      </c>
      <c r="N4112">
        <v>458339975</v>
      </c>
      <c r="O4112">
        <v>475388437</v>
      </c>
      <c r="P4112">
        <v>134</v>
      </c>
      <c r="Q4112" t="s">
        <v>8570</v>
      </c>
    </row>
    <row r="4113" spans="1:17" x14ac:dyDescent="0.3">
      <c r="A4113" t="s">
        <v>4729</v>
      </c>
      <c r="B4113" t="str">
        <f>"300313"</f>
        <v>300313</v>
      </c>
      <c r="C4113" t="s">
        <v>8571</v>
      </c>
      <c r="D4113" t="s">
        <v>1882</v>
      </c>
      <c r="F4113">
        <v>27118082</v>
      </c>
      <c r="G4113">
        <v>9671871</v>
      </c>
      <c r="H4113">
        <v>10418636</v>
      </c>
      <c r="I4113">
        <v>11774994</v>
      </c>
      <c r="J4113">
        <v>25873855</v>
      </c>
      <c r="K4113">
        <v>43238756</v>
      </c>
      <c r="L4113">
        <v>54674269</v>
      </c>
      <c r="M4113">
        <v>33102957</v>
      </c>
      <c r="N4113">
        <v>21555002</v>
      </c>
      <c r="O4113">
        <v>17828003</v>
      </c>
      <c r="P4113">
        <v>85</v>
      </c>
      <c r="Q4113" t="s">
        <v>8572</v>
      </c>
    </row>
    <row r="4114" spans="1:17" x14ac:dyDescent="0.3">
      <c r="A4114" t="s">
        <v>4729</v>
      </c>
      <c r="B4114" t="str">
        <f>"300314"</f>
        <v>300314</v>
      </c>
      <c r="C4114" t="s">
        <v>8573</v>
      </c>
      <c r="D4114" t="s">
        <v>122</v>
      </c>
      <c r="F4114">
        <v>15794123</v>
      </c>
      <c r="G4114">
        <v>15112538</v>
      </c>
      <c r="H4114">
        <v>17807846</v>
      </c>
      <c r="I4114">
        <v>7692117</v>
      </c>
      <c r="J4114">
        <v>16261883</v>
      </c>
      <c r="K4114">
        <v>14764673</v>
      </c>
      <c r="L4114">
        <v>10140100</v>
      </c>
      <c r="M4114">
        <v>8413233</v>
      </c>
      <c r="N4114">
        <v>10006466</v>
      </c>
      <c r="O4114">
        <v>9376523</v>
      </c>
      <c r="P4114">
        <v>196</v>
      </c>
      <c r="Q4114" t="s">
        <v>8574</v>
      </c>
    </row>
    <row r="4115" spans="1:17" x14ac:dyDescent="0.3">
      <c r="A4115" t="s">
        <v>4729</v>
      </c>
      <c r="B4115" t="str">
        <f>"300315"</f>
        <v>300315</v>
      </c>
      <c r="C4115" t="s">
        <v>8575</v>
      </c>
      <c r="D4115" t="s">
        <v>517</v>
      </c>
      <c r="F4115">
        <v>213090746</v>
      </c>
      <c r="G4115">
        <v>264373339</v>
      </c>
      <c r="H4115">
        <v>81126579</v>
      </c>
      <c r="I4115">
        <v>182464392</v>
      </c>
      <c r="J4115">
        <v>275448047</v>
      </c>
      <c r="K4115">
        <v>311985824</v>
      </c>
      <c r="L4115">
        <v>261087591</v>
      </c>
      <c r="M4115">
        <v>77225336</v>
      </c>
      <c r="N4115">
        <v>60178902</v>
      </c>
      <c r="O4115">
        <v>45023818</v>
      </c>
      <c r="P4115">
        <v>456</v>
      </c>
      <c r="Q4115" t="s">
        <v>8576</v>
      </c>
    </row>
    <row r="4116" spans="1:17" x14ac:dyDescent="0.3">
      <c r="A4116" t="s">
        <v>4729</v>
      </c>
      <c r="B4116" t="str">
        <f>"300316"</f>
        <v>300316</v>
      </c>
      <c r="C4116" t="s">
        <v>8577</v>
      </c>
      <c r="D4116" t="s">
        <v>2671</v>
      </c>
      <c r="F4116">
        <v>1665694228</v>
      </c>
      <c r="G4116">
        <v>1440626321</v>
      </c>
      <c r="H4116">
        <v>1116328164</v>
      </c>
      <c r="I4116">
        <v>910206343</v>
      </c>
      <c r="J4116">
        <v>865581501</v>
      </c>
      <c r="K4116">
        <v>580073482</v>
      </c>
      <c r="L4116">
        <v>296466640</v>
      </c>
      <c r="M4116">
        <v>69167898</v>
      </c>
      <c r="N4116">
        <v>195616247</v>
      </c>
      <c r="O4116">
        <v>256756981</v>
      </c>
      <c r="P4116">
        <v>1072</v>
      </c>
      <c r="Q4116" t="s">
        <v>8578</v>
      </c>
    </row>
    <row r="4117" spans="1:17" x14ac:dyDescent="0.3">
      <c r="A4117" t="s">
        <v>4729</v>
      </c>
      <c r="B4117" t="str">
        <f>"300317"</f>
        <v>300317</v>
      </c>
      <c r="C4117" t="s">
        <v>8579</v>
      </c>
      <c r="D4117" t="s">
        <v>86</v>
      </c>
      <c r="F4117">
        <v>508655303</v>
      </c>
      <c r="G4117">
        <v>835147736</v>
      </c>
      <c r="H4117">
        <v>1069079289</v>
      </c>
      <c r="I4117">
        <v>1723034630</v>
      </c>
      <c r="J4117">
        <v>2149696584</v>
      </c>
      <c r="K4117">
        <v>1975253508</v>
      </c>
      <c r="L4117">
        <v>1461916253</v>
      </c>
      <c r="M4117">
        <v>174451532</v>
      </c>
      <c r="N4117">
        <v>193202234</v>
      </c>
      <c r="O4117">
        <v>198382207</v>
      </c>
      <c r="P4117">
        <v>142</v>
      </c>
      <c r="Q4117" t="s">
        <v>8580</v>
      </c>
    </row>
    <row r="4118" spans="1:17" x14ac:dyDescent="0.3">
      <c r="A4118" t="s">
        <v>4729</v>
      </c>
      <c r="B4118" t="str">
        <f>"300318"</f>
        <v>300318</v>
      </c>
      <c r="C4118" t="s">
        <v>8581</v>
      </c>
      <c r="D4118" t="s">
        <v>1305</v>
      </c>
      <c r="F4118">
        <v>92107188</v>
      </c>
      <c r="G4118">
        <v>148456370</v>
      </c>
      <c r="H4118">
        <v>103462762</v>
      </c>
      <c r="I4118">
        <v>129529429</v>
      </c>
      <c r="J4118">
        <v>86836674</v>
      </c>
      <c r="K4118">
        <v>71210010</v>
      </c>
      <c r="L4118">
        <v>42721989</v>
      </c>
      <c r="M4118">
        <v>25659388</v>
      </c>
      <c r="N4118">
        <v>28311254</v>
      </c>
      <c r="O4118">
        <v>25543613</v>
      </c>
      <c r="P4118">
        <v>144</v>
      </c>
      <c r="Q4118" t="s">
        <v>8582</v>
      </c>
    </row>
    <row r="4119" spans="1:17" x14ac:dyDescent="0.3">
      <c r="A4119" t="s">
        <v>4729</v>
      </c>
      <c r="B4119" t="str">
        <f>"300319"</f>
        <v>300319</v>
      </c>
      <c r="C4119" t="s">
        <v>8583</v>
      </c>
      <c r="D4119" t="s">
        <v>546</v>
      </c>
      <c r="F4119">
        <v>1015284185</v>
      </c>
      <c r="G4119">
        <v>715650543</v>
      </c>
      <c r="H4119">
        <v>713382533</v>
      </c>
      <c r="I4119">
        <v>581613868</v>
      </c>
      <c r="J4119">
        <v>494043379</v>
      </c>
      <c r="K4119">
        <v>241123296</v>
      </c>
      <c r="L4119">
        <v>258245056</v>
      </c>
      <c r="M4119">
        <v>72445582</v>
      </c>
      <c r="N4119">
        <v>58891244</v>
      </c>
      <c r="O4119">
        <v>40752182</v>
      </c>
      <c r="P4119">
        <v>3161</v>
      </c>
      <c r="Q4119" t="s">
        <v>8584</v>
      </c>
    </row>
    <row r="4120" spans="1:17" x14ac:dyDescent="0.3">
      <c r="A4120" t="s">
        <v>4729</v>
      </c>
      <c r="B4120" t="str">
        <f>"300320"</f>
        <v>300320</v>
      </c>
      <c r="C4120" t="s">
        <v>8585</v>
      </c>
      <c r="D4120" t="s">
        <v>2469</v>
      </c>
      <c r="F4120">
        <v>1152021578</v>
      </c>
      <c r="G4120">
        <v>1048893792</v>
      </c>
      <c r="H4120">
        <v>966829024</v>
      </c>
      <c r="I4120">
        <v>907409942</v>
      </c>
      <c r="J4120">
        <v>706011795</v>
      </c>
      <c r="K4120">
        <v>472697068</v>
      </c>
      <c r="L4120">
        <v>444114138</v>
      </c>
      <c r="M4120">
        <v>424267507</v>
      </c>
      <c r="N4120">
        <v>304322732</v>
      </c>
      <c r="O4120">
        <v>243326243</v>
      </c>
      <c r="P4120">
        <v>151</v>
      </c>
      <c r="Q4120" t="s">
        <v>8586</v>
      </c>
    </row>
    <row r="4121" spans="1:17" x14ac:dyDescent="0.3">
      <c r="A4121" t="s">
        <v>4729</v>
      </c>
      <c r="B4121" t="str">
        <f>"300321"</f>
        <v>300321</v>
      </c>
      <c r="C4121" t="s">
        <v>8587</v>
      </c>
      <c r="D4121" t="s">
        <v>528</v>
      </c>
      <c r="F4121">
        <v>48537605</v>
      </c>
      <c r="G4121">
        <v>44575508</v>
      </c>
      <c r="H4121">
        <v>47732914</v>
      </c>
      <c r="I4121">
        <v>50253732</v>
      </c>
      <c r="J4121">
        <v>37641295</v>
      </c>
      <c r="K4121">
        <v>25780406</v>
      </c>
      <c r="L4121">
        <v>30000149</v>
      </c>
      <c r="M4121">
        <v>36064455</v>
      </c>
      <c r="N4121">
        <v>47745904</v>
      </c>
      <c r="O4121">
        <v>31524020</v>
      </c>
      <c r="P4121">
        <v>45</v>
      </c>
      <c r="Q4121" t="s">
        <v>8588</v>
      </c>
    </row>
    <row r="4122" spans="1:17" x14ac:dyDescent="0.3">
      <c r="A4122" t="s">
        <v>4729</v>
      </c>
      <c r="B4122" t="str">
        <f>"300322"</f>
        <v>300322</v>
      </c>
      <c r="C4122" t="s">
        <v>8589</v>
      </c>
      <c r="D4122" t="s">
        <v>313</v>
      </c>
      <c r="F4122">
        <v>598386328</v>
      </c>
      <c r="G4122">
        <v>571606270</v>
      </c>
      <c r="H4122">
        <v>460513365</v>
      </c>
      <c r="I4122">
        <v>365133564</v>
      </c>
      <c r="J4122">
        <v>440150648</v>
      </c>
      <c r="K4122">
        <v>371197259</v>
      </c>
      <c r="L4122">
        <v>171040241</v>
      </c>
      <c r="M4122">
        <v>182503828</v>
      </c>
      <c r="N4122">
        <v>105531103</v>
      </c>
      <c r="O4122">
        <v>71450809</v>
      </c>
      <c r="P4122">
        <v>387</v>
      </c>
      <c r="Q4122" t="s">
        <v>8590</v>
      </c>
    </row>
    <row r="4123" spans="1:17" x14ac:dyDescent="0.3">
      <c r="A4123" t="s">
        <v>4729</v>
      </c>
      <c r="B4123" t="str">
        <f>"300323"</f>
        <v>300323</v>
      </c>
      <c r="C4123" t="s">
        <v>8591</v>
      </c>
      <c r="D4123" t="s">
        <v>803</v>
      </c>
      <c r="F4123">
        <v>702823094</v>
      </c>
      <c r="G4123">
        <v>670556830</v>
      </c>
      <c r="H4123">
        <v>908391236</v>
      </c>
      <c r="I4123">
        <v>1144090793</v>
      </c>
      <c r="J4123">
        <v>938552586</v>
      </c>
      <c r="K4123">
        <v>665719608</v>
      </c>
      <c r="L4123">
        <v>653205317</v>
      </c>
      <c r="M4123">
        <v>412200478</v>
      </c>
      <c r="N4123">
        <v>270360587</v>
      </c>
      <c r="O4123">
        <v>237004564</v>
      </c>
      <c r="P4123">
        <v>293</v>
      </c>
      <c r="Q4123" t="s">
        <v>8592</v>
      </c>
    </row>
    <row r="4124" spans="1:17" x14ac:dyDescent="0.3">
      <c r="A4124" t="s">
        <v>4729</v>
      </c>
      <c r="B4124" t="str">
        <f>"300324"</f>
        <v>300324</v>
      </c>
      <c r="C4124" t="s">
        <v>8593</v>
      </c>
      <c r="D4124" t="s">
        <v>236</v>
      </c>
      <c r="F4124">
        <v>935340052</v>
      </c>
      <c r="G4124">
        <v>969402782</v>
      </c>
      <c r="H4124">
        <v>953661050</v>
      </c>
      <c r="I4124">
        <v>1118800183</v>
      </c>
      <c r="J4124">
        <v>861009641</v>
      </c>
      <c r="K4124">
        <v>700860252</v>
      </c>
      <c r="L4124">
        <v>253392706</v>
      </c>
      <c r="M4124">
        <v>198053309</v>
      </c>
      <c r="N4124">
        <v>73018938</v>
      </c>
      <c r="O4124">
        <v>72674629</v>
      </c>
      <c r="P4124">
        <v>235</v>
      </c>
      <c r="Q4124" t="s">
        <v>8594</v>
      </c>
    </row>
    <row r="4125" spans="1:17" x14ac:dyDescent="0.3">
      <c r="A4125" t="s">
        <v>4729</v>
      </c>
      <c r="B4125" t="str">
        <f>"300325"</f>
        <v>300325</v>
      </c>
      <c r="C4125" t="s">
        <v>8595</v>
      </c>
      <c r="D4125" t="s">
        <v>1192</v>
      </c>
      <c r="F4125">
        <v>127647094</v>
      </c>
      <c r="G4125">
        <v>171808168</v>
      </c>
      <c r="H4125">
        <v>218551887</v>
      </c>
      <c r="I4125">
        <v>743228639</v>
      </c>
      <c r="J4125">
        <v>1110711708</v>
      </c>
      <c r="K4125">
        <v>1014417525</v>
      </c>
      <c r="L4125">
        <v>525151628</v>
      </c>
      <c r="M4125">
        <v>456433501</v>
      </c>
      <c r="N4125">
        <v>368864500</v>
      </c>
      <c r="O4125">
        <v>212336473</v>
      </c>
      <c r="P4125">
        <v>81</v>
      </c>
      <c r="Q4125" t="s">
        <v>8596</v>
      </c>
    </row>
    <row r="4126" spans="1:17" x14ac:dyDescent="0.3">
      <c r="A4126" t="s">
        <v>4729</v>
      </c>
      <c r="B4126" t="str">
        <f>"300326"</f>
        <v>300326</v>
      </c>
      <c r="C4126" t="s">
        <v>8597</v>
      </c>
      <c r="D4126" t="s">
        <v>1077</v>
      </c>
      <c r="F4126">
        <v>453914328</v>
      </c>
      <c r="G4126">
        <v>577741466</v>
      </c>
      <c r="H4126">
        <v>551654031</v>
      </c>
      <c r="I4126">
        <v>381728668</v>
      </c>
      <c r="J4126">
        <v>430241675</v>
      </c>
      <c r="K4126">
        <v>334893593</v>
      </c>
      <c r="L4126">
        <v>270455291</v>
      </c>
      <c r="M4126">
        <v>142200683</v>
      </c>
      <c r="N4126">
        <v>35949089</v>
      </c>
      <c r="O4126">
        <v>21251529</v>
      </c>
      <c r="P4126">
        <v>854</v>
      </c>
      <c r="Q4126" t="s">
        <v>8598</v>
      </c>
    </row>
    <row r="4127" spans="1:17" x14ac:dyDescent="0.3">
      <c r="A4127" t="s">
        <v>4729</v>
      </c>
      <c r="B4127" t="str">
        <f>"300327"</f>
        <v>300327</v>
      </c>
      <c r="C4127" t="s">
        <v>8599</v>
      </c>
      <c r="D4127" t="s">
        <v>461</v>
      </c>
      <c r="F4127">
        <v>216571453</v>
      </c>
      <c r="G4127">
        <v>156000412</v>
      </c>
      <c r="H4127">
        <v>138849712</v>
      </c>
      <c r="I4127">
        <v>90677711</v>
      </c>
      <c r="J4127">
        <v>109206908</v>
      </c>
      <c r="K4127">
        <v>79050674</v>
      </c>
      <c r="L4127">
        <v>61120088</v>
      </c>
      <c r="M4127">
        <v>53764829</v>
      </c>
      <c r="N4127">
        <v>51881450</v>
      </c>
      <c r="O4127">
        <v>44102206</v>
      </c>
      <c r="P4127">
        <v>4063</v>
      </c>
      <c r="Q4127" t="s">
        <v>8600</v>
      </c>
    </row>
    <row r="4128" spans="1:17" x14ac:dyDescent="0.3">
      <c r="A4128" t="s">
        <v>4729</v>
      </c>
      <c r="B4128" t="str">
        <f>"300328"</f>
        <v>300328</v>
      </c>
      <c r="C4128" t="s">
        <v>8601</v>
      </c>
      <c r="D4128" t="s">
        <v>636</v>
      </c>
      <c r="F4128">
        <v>347062327</v>
      </c>
      <c r="G4128">
        <v>263410314</v>
      </c>
      <c r="H4128">
        <v>280933421</v>
      </c>
      <c r="I4128">
        <v>351264265</v>
      </c>
      <c r="J4128">
        <v>245207971</v>
      </c>
      <c r="K4128">
        <v>195930831</v>
      </c>
      <c r="L4128">
        <v>157372227</v>
      </c>
      <c r="M4128">
        <v>164218163</v>
      </c>
      <c r="N4128">
        <v>119501754</v>
      </c>
      <c r="O4128">
        <v>75785062</v>
      </c>
      <c r="P4128">
        <v>232</v>
      </c>
      <c r="Q4128" t="s">
        <v>8602</v>
      </c>
    </row>
    <row r="4129" spans="1:17" x14ac:dyDescent="0.3">
      <c r="A4129" t="s">
        <v>4729</v>
      </c>
      <c r="B4129" t="str">
        <f>"300329"</f>
        <v>300329</v>
      </c>
      <c r="C4129" t="s">
        <v>8603</v>
      </c>
      <c r="D4129" t="s">
        <v>2931</v>
      </c>
      <c r="F4129">
        <v>112199661</v>
      </c>
      <c r="G4129">
        <v>107046436</v>
      </c>
      <c r="H4129">
        <v>94828537</v>
      </c>
      <c r="I4129">
        <v>85549122</v>
      </c>
      <c r="J4129">
        <v>97559165</v>
      </c>
      <c r="K4129">
        <v>88948580</v>
      </c>
      <c r="L4129">
        <v>91722559</v>
      </c>
      <c r="M4129">
        <v>86454395</v>
      </c>
      <c r="N4129">
        <v>79162250</v>
      </c>
      <c r="O4129">
        <v>73648054</v>
      </c>
      <c r="P4129">
        <v>96</v>
      </c>
      <c r="Q4129" t="s">
        <v>8604</v>
      </c>
    </row>
    <row r="4130" spans="1:17" x14ac:dyDescent="0.3">
      <c r="A4130" t="s">
        <v>4729</v>
      </c>
      <c r="B4130" t="str">
        <f>"300330"</f>
        <v>300330</v>
      </c>
      <c r="C4130" t="s">
        <v>8605</v>
      </c>
      <c r="D4130" t="s">
        <v>236</v>
      </c>
      <c r="F4130">
        <v>146816733</v>
      </c>
      <c r="G4130">
        <v>118486892</v>
      </c>
      <c r="H4130">
        <v>173172432</v>
      </c>
      <c r="I4130">
        <v>201265803</v>
      </c>
      <c r="J4130">
        <v>182890943</v>
      </c>
      <c r="K4130">
        <v>141956816</v>
      </c>
      <c r="L4130">
        <v>186789428</v>
      </c>
      <c r="M4130">
        <v>204682101</v>
      </c>
      <c r="N4130">
        <v>178926712</v>
      </c>
      <c r="O4130">
        <v>169504041</v>
      </c>
      <c r="P4130">
        <v>82</v>
      </c>
      <c r="Q4130" t="s">
        <v>8606</v>
      </c>
    </row>
    <row r="4131" spans="1:17" x14ac:dyDescent="0.3">
      <c r="A4131" t="s">
        <v>4729</v>
      </c>
      <c r="B4131" t="str">
        <f>"300331"</f>
        <v>300331</v>
      </c>
      <c r="C4131" t="s">
        <v>8607</v>
      </c>
      <c r="D4131" t="s">
        <v>1117</v>
      </c>
      <c r="F4131">
        <v>759604488</v>
      </c>
      <c r="G4131">
        <v>687836412</v>
      </c>
      <c r="H4131">
        <v>587929265</v>
      </c>
      <c r="I4131">
        <v>441018258</v>
      </c>
      <c r="J4131">
        <v>368976137</v>
      </c>
      <c r="K4131">
        <v>307626973</v>
      </c>
      <c r="L4131">
        <v>155088433</v>
      </c>
      <c r="M4131">
        <v>144911105</v>
      </c>
      <c r="N4131">
        <v>108887920</v>
      </c>
      <c r="O4131">
        <v>81307936</v>
      </c>
      <c r="P4131">
        <v>164</v>
      </c>
      <c r="Q4131" t="s">
        <v>8608</v>
      </c>
    </row>
    <row r="4132" spans="1:17" x14ac:dyDescent="0.3">
      <c r="A4132" t="s">
        <v>4729</v>
      </c>
      <c r="B4132" t="str">
        <f>"300332"</f>
        <v>300332</v>
      </c>
      <c r="C4132" t="s">
        <v>8609</v>
      </c>
      <c r="D4132" t="s">
        <v>749</v>
      </c>
      <c r="F4132">
        <v>671944075</v>
      </c>
      <c r="G4132">
        <v>574765506</v>
      </c>
      <c r="H4132">
        <v>517201069</v>
      </c>
      <c r="I4132">
        <v>548305833</v>
      </c>
      <c r="J4132">
        <v>466776439</v>
      </c>
      <c r="K4132">
        <v>521763237</v>
      </c>
      <c r="L4132">
        <v>236585042</v>
      </c>
      <c r="M4132">
        <v>153956287</v>
      </c>
      <c r="N4132">
        <v>47753227</v>
      </c>
      <c r="O4132">
        <v>32147880</v>
      </c>
      <c r="P4132">
        <v>117</v>
      </c>
      <c r="Q4132" t="s">
        <v>8610</v>
      </c>
    </row>
    <row r="4133" spans="1:17" x14ac:dyDescent="0.3">
      <c r="A4133" t="s">
        <v>4729</v>
      </c>
      <c r="B4133" t="str">
        <f>"300333"</f>
        <v>300333</v>
      </c>
      <c r="C4133" t="s">
        <v>8611</v>
      </c>
      <c r="D4133" t="s">
        <v>236</v>
      </c>
      <c r="F4133">
        <v>21744910</v>
      </c>
      <c r="G4133">
        <v>24146940</v>
      </c>
      <c r="H4133">
        <v>21449281</v>
      </c>
      <c r="I4133">
        <v>12848305</v>
      </c>
      <c r="J4133">
        <v>26695095</v>
      </c>
      <c r="K4133">
        <v>5313670</v>
      </c>
      <c r="L4133">
        <v>7289435</v>
      </c>
      <c r="M4133">
        <v>5028296</v>
      </c>
      <c r="N4133">
        <v>2738728</v>
      </c>
      <c r="O4133">
        <v>4776878</v>
      </c>
      <c r="P4133">
        <v>94</v>
      </c>
      <c r="Q4133" t="s">
        <v>8612</v>
      </c>
    </row>
    <row r="4134" spans="1:17" x14ac:dyDescent="0.3">
      <c r="A4134" t="s">
        <v>4729</v>
      </c>
      <c r="B4134" t="str">
        <f>"300334"</f>
        <v>300334</v>
      </c>
      <c r="C4134" t="s">
        <v>8613</v>
      </c>
      <c r="D4134" t="s">
        <v>33</v>
      </c>
      <c r="F4134">
        <v>278899523</v>
      </c>
      <c r="G4134">
        <v>333638116</v>
      </c>
      <c r="H4134">
        <v>317831260</v>
      </c>
      <c r="I4134">
        <v>429907934</v>
      </c>
      <c r="J4134">
        <v>336519028</v>
      </c>
      <c r="K4134">
        <v>330104728</v>
      </c>
      <c r="L4134">
        <v>333717473</v>
      </c>
      <c r="M4134">
        <v>284767669</v>
      </c>
      <c r="N4134">
        <v>266307719</v>
      </c>
      <c r="O4134">
        <v>127434200</v>
      </c>
      <c r="P4134">
        <v>80</v>
      </c>
      <c r="Q4134" t="s">
        <v>8614</v>
      </c>
    </row>
    <row r="4135" spans="1:17" x14ac:dyDescent="0.3">
      <c r="A4135" t="s">
        <v>4729</v>
      </c>
      <c r="B4135" t="str">
        <f>"300335"</f>
        <v>300335</v>
      </c>
      <c r="C4135" t="s">
        <v>8615</v>
      </c>
      <c r="D4135" t="s">
        <v>351</v>
      </c>
      <c r="F4135">
        <v>346432384</v>
      </c>
      <c r="G4135">
        <v>371703370</v>
      </c>
      <c r="H4135">
        <v>358105597</v>
      </c>
      <c r="I4135">
        <v>351107150</v>
      </c>
      <c r="J4135">
        <v>300673004</v>
      </c>
      <c r="K4135">
        <v>242241999</v>
      </c>
      <c r="L4135">
        <v>111947212</v>
      </c>
      <c r="M4135">
        <v>123443273</v>
      </c>
      <c r="N4135">
        <v>63105782</v>
      </c>
      <c r="O4135">
        <v>73825921</v>
      </c>
      <c r="P4135">
        <v>231</v>
      </c>
      <c r="Q4135" t="s">
        <v>8616</v>
      </c>
    </row>
    <row r="4136" spans="1:17" x14ac:dyDescent="0.3">
      <c r="A4136" t="s">
        <v>4729</v>
      </c>
      <c r="B4136" t="str">
        <f>"300336"</f>
        <v>300336</v>
      </c>
      <c r="C4136" t="s">
        <v>8617</v>
      </c>
      <c r="D4136" t="s">
        <v>5132</v>
      </c>
      <c r="F4136">
        <v>49952865</v>
      </c>
      <c r="G4136">
        <v>129892404</v>
      </c>
      <c r="H4136">
        <v>210938486</v>
      </c>
      <c r="I4136">
        <v>554455403</v>
      </c>
      <c r="J4136">
        <v>835885968</v>
      </c>
      <c r="K4136">
        <v>717923580</v>
      </c>
      <c r="L4136">
        <v>1042320990</v>
      </c>
      <c r="M4136">
        <v>354609169</v>
      </c>
      <c r="N4136">
        <v>295843176</v>
      </c>
      <c r="O4136">
        <v>255339294</v>
      </c>
      <c r="P4136">
        <v>98</v>
      </c>
      <c r="Q4136" t="s">
        <v>8618</v>
      </c>
    </row>
    <row r="4137" spans="1:17" x14ac:dyDescent="0.3">
      <c r="A4137" t="s">
        <v>4729</v>
      </c>
      <c r="B4137" t="str">
        <f>"300337"</f>
        <v>300337</v>
      </c>
      <c r="C4137" t="s">
        <v>8619</v>
      </c>
      <c r="D4137" t="s">
        <v>504</v>
      </c>
      <c r="F4137">
        <v>746586327</v>
      </c>
      <c r="G4137">
        <v>750394666</v>
      </c>
      <c r="H4137">
        <v>526777327</v>
      </c>
      <c r="I4137">
        <v>406468777</v>
      </c>
      <c r="J4137">
        <v>405592457</v>
      </c>
      <c r="K4137">
        <v>382190546</v>
      </c>
      <c r="L4137">
        <v>350935704</v>
      </c>
      <c r="M4137">
        <v>334393790</v>
      </c>
      <c r="N4137">
        <v>413897098</v>
      </c>
      <c r="O4137">
        <v>365435958</v>
      </c>
      <c r="P4137">
        <v>142</v>
      </c>
      <c r="Q4137" t="s">
        <v>8620</v>
      </c>
    </row>
    <row r="4138" spans="1:17" x14ac:dyDescent="0.3">
      <c r="A4138" t="s">
        <v>4729</v>
      </c>
      <c r="B4138" t="str">
        <f>"300338"</f>
        <v>300338</v>
      </c>
      <c r="C4138" t="s">
        <v>8621</v>
      </c>
      <c r="D4138" t="s">
        <v>1336</v>
      </c>
      <c r="F4138">
        <v>34476592</v>
      </c>
      <c r="G4138">
        <v>85615477</v>
      </c>
      <c r="H4138">
        <v>82513202</v>
      </c>
      <c r="I4138">
        <v>270270288</v>
      </c>
      <c r="J4138">
        <v>344716411</v>
      </c>
      <c r="K4138">
        <v>242787767</v>
      </c>
      <c r="L4138">
        <v>230178797</v>
      </c>
      <c r="M4138">
        <v>197035138</v>
      </c>
      <c r="N4138">
        <v>177746772</v>
      </c>
      <c r="O4138">
        <v>161120351</v>
      </c>
      <c r="P4138">
        <v>118</v>
      </c>
      <c r="Q4138" t="s">
        <v>8622</v>
      </c>
    </row>
    <row r="4139" spans="1:17" x14ac:dyDescent="0.3">
      <c r="A4139" t="s">
        <v>4729</v>
      </c>
      <c r="B4139" t="str">
        <f>"300339"</f>
        <v>300339</v>
      </c>
      <c r="C4139" t="s">
        <v>8623</v>
      </c>
      <c r="D4139" t="s">
        <v>316</v>
      </c>
      <c r="F4139">
        <v>1095885497</v>
      </c>
      <c r="G4139">
        <v>952447709</v>
      </c>
      <c r="H4139">
        <v>1172540006</v>
      </c>
      <c r="I4139">
        <v>1209334647</v>
      </c>
      <c r="J4139">
        <v>1029155159</v>
      </c>
      <c r="K4139">
        <v>812038915</v>
      </c>
      <c r="L4139">
        <v>835620819</v>
      </c>
      <c r="M4139">
        <v>376901829</v>
      </c>
      <c r="N4139">
        <v>184348835</v>
      </c>
      <c r="O4139">
        <v>127484339</v>
      </c>
      <c r="P4139">
        <v>332</v>
      </c>
      <c r="Q4139" t="s">
        <v>8624</v>
      </c>
    </row>
    <row r="4140" spans="1:17" x14ac:dyDescent="0.3">
      <c r="A4140" t="s">
        <v>4729</v>
      </c>
      <c r="B4140" t="str">
        <f>"300340"</f>
        <v>300340</v>
      </c>
      <c r="C4140" t="s">
        <v>8625</v>
      </c>
      <c r="D4140" t="s">
        <v>1790</v>
      </c>
      <c r="F4140">
        <v>1162626825</v>
      </c>
      <c r="G4140">
        <v>641855024</v>
      </c>
      <c r="H4140">
        <v>807356975</v>
      </c>
      <c r="I4140">
        <v>1008422136</v>
      </c>
      <c r="J4140">
        <v>820878522</v>
      </c>
      <c r="K4140">
        <v>427982919</v>
      </c>
      <c r="L4140">
        <v>222406086</v>
      </c>
      <c r="M4140">
        <v>212321675</v>
      </c>
      <c r="N4140">
        <v>173734056</v>
      </c>
      <c r="O4140">
        <v>206995554</v>
      </c>
      <c r="P4140">
        <v>96</v>
      </c>
      <c r="Q4140" t="s">
        <v>8626</v>
      </c>
    </row>
    <row r="4141" spans="1:17" x14ac:dyDescent="0.3">
      <c r="A4141" t="s">
        <v>4729</v>
      </c>
      <c r="B4141" t="str">
        <f>"300341"</f>
        <v>300341</v>
      </c>
      <c r="C4141" t="s">
        <v>8627</v>
      </c>
      <c r="D4141" t="s">
        <v>210</v>
      </c>
      <c r="F4141">
        <v>410082349</v>
      </c>
      <c r="G4141">
        <v>312102907</v>
      </c>
      <c r="H4141">
        <v>285167400</v>
      </c>
      <c r="I4141">
        <v>248511572</v>
      </c>
      <c r="J4141">
        <v>161018488</v>
      </c>
      <c r="K4141">
        <v>154873661</v>
      </c>
      <c r="L4141">
        <v>154122499</v>
      </c>
      <c r="M4141">
        <v>90620404</v>
      </c>
      <c r="N4141">
        <v>90278493</v>
      </c>
      <c r="O4141">
        <v>89329732</v>
      </c>
      <c r="P4141">
        <v>142</v>
      </c>
      <c r="Q4141" t="s">
        <v>8628</v>
      </c>
    </row>
    <row r="4142" spans="1:17" x14ac:dyDescent="0.3">
      <c r="A4142" t="s">
        <v>4729</v>
      </c>
      <c r="B4142" t="str">
        <f>"300342"</f>
        <v>300342</v>
      </c>
      <c r="C4142" t="s">
        <v>8629</v>
      </c>
      <c r="D4142" t="s">
        <v>1253</v>
      </c>
      <c r="F4142">
        <v>482560448</v>
      </c>
      <c r="G4142">
        <v>415369663</v>
      </c>
      <c r="H4142">
        <v>343003697</v>
      </c>
      <c r="I4142">
        <v>304554072</v>
      </c>
      <c r="J4142">
        <v>331843493</v>
      </c>
      <c r="K4142">
        <v>229227707</v>
      </c>
      <c r="L4142">
        <v>195166563</v>
      </c>
      <c r="M4142">
        <v>126026191</v>
      </c>
      <c r="N4142">
        <v>98967793</v>
      </c>
      <c r="O4142">
        <v>95205043</v>
      </c>
      <c r="P4142">
        <v>181</v>
      </c>
      <c r="Q4142" t="s">
        <v>8630</v>
      </c>
    </row>
    <row r="4143" spans="1:17" x14ac:dyDescent="0.3">
      <c r="A4143" t="s">
        <v>4729</v>
      </c>
      <c r="B4143" t="str">
        <f>"300343"</f>
        <v>300343</v>
      </c>
      <c r="C4143" t="s">
        <v>8631</v>
      </c>
      <c r="D4143" t="s">
        <v>207</v>
      </c>
      <c r="F4143">
        <v>176791012</v>
      </c>
      <c r="G4143">
        <v>129301836</v>
      </c>
      <c r="H4143">
        <v>1577381131</v>
      </c>
      <c r="I4143">
        <v>2089885468</v>
      </c>
      <c r="J4143">
        <v>1721706098</v>
      </c>
      <c r="K4143">
        <v>1505270982</v>
      </c>
      <c r="L4143">
        <v>509998443</v>
      </c>
      <c r="M4143">
        <v>117625952</v>
      </c>
      <c r="N4143">
        <v>98568628</v>
      </c>
      <c r="O4143">
        <v>74327426</v>
      </c>
      <c r="P4143">
        <v>155</v>
      </c>
      <c r="Q4143" t="s">
        <v>8632</v>
      </c>
    </row>
    <row r="4144" spans="1:17" x14ac:dyDescent="0.3">
      <c r="A4144" t="s">
        <v>4729</v>
      </c>
      <c r="B4144" t="str">
        <f>"300344"</f>
        <v>300344</v>
      </c>
      <c r="C4144" t="s">
        <v>8633</v>
      </c>
      <c r="D4144" t="s">
        <v>945</v>
      </c>
      <c r="F4144">
        <v>331854755</v>
      </c>
      <c r="G4144">
        <v>161552515</v>
      </c>
      <c r="H4144">
        <v>247383997</v>
      </c>
      <c r="I4144">
        <v>232129302</v>
      </c>
      <c r="J4144">
        <v>212000685</v>
      </c>
      <c r="K4144">
        <v>206016122</v>
      </c>
      <c r="L4144">
        <v>127688080</v>
      </c>
      <c r="M4144">
        <v>164332945</v>
      </c>
      <c r="N4144">
        <v>252534396</v>
      </c>
      <c r="O4144">
        <v>205945868</v>
      </c>
      <c r="P4144">
        <v>64</v>
      </c>
      <c r="Q4144" t="s">
        <v>8634</v>
      </c>
    </row>
    <row r="4145" spans="1:17" x14ac:dyDescent="0.3">
      <c r="A4145" t="s">
        <v>4729</v>
      </c>
      <c r="B4145" t="str">
        <f>"300345"</f>
        <v>300345</v>
      </c>
      <c r="C4145" t="s">
        <v>8635</v>
      </c>
      <c r="D4145" t="s">
        <v>404</v>
      </c>
      <c r="F4145">
        <v>62311129</v>
      </c>
      <c r="G4145">
        <v>67974991</v>
      </c>
      <c r="H4145">
        <v>55915224</v>
      </c>
      <c r="I4145">
        <v>99393057</v>
      </c>
      <c r="J4145">
        <v>150352300</v>
      </c>
      <c r="K4145">
        <v>224151673</v>
      </c>
      <c r="L4145">
        <v>210555398</v>
      </c>
      <c r="M4145">
        <v>177537389</v>
      </c>
      <c r="N4145">
        <v>176981396</v>
      </c>
      <c r="O4145">
        <v>213048494</v>
      </c>
      <c r="P4145">
        <v>53</v>
      </c>
      <c r="Q4145" t="s">
        <v>8636</v>
      </c>
    </row>
    <row r="4146" spans="1:17" x14ac:dyDescent="0.3">
      <c r="A4146" t="s">
        <v>4729</v>
      </c>
      <c r="B4146" t="str">
        <f>"300346"</f>
        <v>300346</v>
      </c>
      <c r="C4146" t="s">
        <v>8637</v>
      </c>
      <c r="D4146" t="s">
        <v>2408</v>
      </c>
      <c r="F4146">
        <v>298216183</v>
      </c>
      <c r="G4146">
        <v>204196929</v>
      </c>
      <c r="H4146">
        <v>151608251</v>
      </c>
      <c r="I4146">
        <v>83597135</v>
      </c>
      <c r="J4146">
        <v>84555825</v>
      </c>
      <c r="K4146">
        <v>51285942</v>
      </c>
      <c r="L4146">
        <v>59767066</v>
      </c>
      <c r="M4146">
        <v>59973316</v>
      </c>
      <c r="N4146">
        <v>45578541</v>
      </c>
      <c r="O4146">
        <v>33846089</v>
      </c>
      <c r="P4146">
        <v>447</v>
      </c>
      <c r="Q4146" t="s">
        <v>8638</v>
      </c>
    </row>
    <row r="4147" spans="1:17" x14ac:dyDescent="0.3">
      <c r="A4147" t="s">
        <v>4729</v>
      </c>
      <c r="B4147" t="str">
        <f>"300347"</f>
        <v>300347</v>
      </c>
      <c r="C4147" t="s">
        <v>8639</v>
      </c>
      <c r="D4147" t="s">
        <v>1461</v>
      </c>
      <c r="F4147">
        <v>809126539</v>
      </c>
      <c r="G4147">
        <v>490923859</v>
      </c>
      <c r="H4147">
        <v>1074722160</v>
      </c>
      <c r="I4147">
        <v>780938723</v>
      </c>
      <c r="J4147">
        <v>631686778</v>
      </c>
      <c r="K4147">
        <v>447014322</v>
      </c>
      <c r="L4147">
        <v>381482188</v>
      </c>
      <c r="M4147">
        <v>301543683</v>
      </c>
      <c r="N4147">
        <v>130235838</v>
      </c>
      <c r="O4147">
        <v>86644711</v>
      </c>
      <c r="P4147">
        <v>3109</v>
      </c>
      <c r="Q4147" t="s">
        <v>8640</v>
      </c>
    </row>
    <row r="4148" spans="1:17" x14ac:dyDescent="0.3">
      <c r="A4148" t="s">
        <v>4729</v>
      </c>
      <c r="B4148" t="str">
        <f>"300348"</f>
        <v>300348</v>
      </c>
      <c r="C4148" t="s">
        <v>8641</v>
      </c>
      <c r="D4148" t="s">
        <v>945</v>
      </c>
      <c r="F4148">
        <v>546441817</v>
      </c>
      <c r="G4148">
        <v>475413133</v>
      </c>
      <c r="H4148">
        <v>911922445</v>
      </c>
      <c r="I4148">
        <v>682427240</v>
      </c>
      <c r="J4148">
        <v>521845430</v>
      </c>
      <c r="K4148">
        <v>371243378</v>
      </c>
      <c r="L4148">
        <v>221380565</v>
      </c>
      <c r="M4148">
        <v>103757343</v>
      </c>
      <c r="N4148">
        <v>68599119</v>
      </c>
      <c r="O4148">
        <v>43065765</v>
      </c>
      <c r="P4148">
        <v>364</v>
      </c>
      <c r="Q4148" t="s">
        <v>8642</v>
      </c>
    </row>
    <row r="4149" spans="1:17" x14ac:dyDescent="0.3">
      <c r="A4149" t="s">
        <v>4729</v>
      </c>
      <c r="B4149" t="str">
        <f>"300349"</f>
        <v>300349</v>
      </c>
      <c r="C4149" t="s">
        <v>8643</v>
      </c>
      <c r="D4149" t="s">
        <v>2566</v>
      </c>
      <c r="F4149">
        <v>986192195</v>
      </c>
      <c r="G4149">
        <v>867600136</v>
      </c>
      <c r="H4149">
        <v>916603646</v>
      </c>
      <c r="I4149">
        <v>787162697</v>
      </c>
      <c r="J4149">
        <v>576563537</v>
      </c>
      <c r="K4149">
        <v>476302031</v>
      </c>
      <c r="L4149">
        <v>267110605</v>
      </c>
      <c r="M4149">
        <v>267814345</v>
      </c>
      <c r="N4149">
        <v>200643640</v>
      </c>
      <c r="O4149">
        <v>116035233</v>
      </c>
      <c r="P4149">
        <v>395</v>
      </c>
      <c r="Q4149" t="s">
        <v>8644</v>
      </c>
    </row>
    <row r="4150" spans="1:17" x14ac:dyDescent="0.3">
      <c r="A4150" t="s">
        <v>4729</v>
      </c>
      <c r="B4150" t="str">
        <f>"300350"</f>
        <v>300350</v>
      </c>
      <c r="C4150" t="s">
        <v>8645</v>
      </c>
      <c r="D4150" t="s">
        <v>3125</v>
      </c>
      <c r="F4150">
        <v>572723614</v>
      </c>
      <c r="G4150">
        <v>646947192</v>
      </c>
      <c r="H4150">
        <v>688616081</v>
      </c>
      <c r="I4150">
        <v>793333568</v>
      </c>
      <c r="J4150">
        <v>398681778</v>
      </c>
      <c r="K4150">
        <v>286400430</v>
      </c>
      <c r="L4150">
        <v>243052230</v>
      </c>
      <c r="M4150">
        <v>368673268</v>
      </c>
      <c r="N4150">
        <v>270905366</v>
      </c>
      <c r="O4150">
        <v>164679467</v>
      </c>
      <c r="P4150">
        <v>106</v>
      </c>
      <c r="Q4150" t="s">
        <v>8646</v>
      </c>
    </row>
    <row r="4151" spans="1:17" x14ac:dyDescent="0.3">
      <c r="A4151" t="s">
        <v>4729</v>
      </c>
      <c r="B4151" t="str">
        <f>"300351"</f>
        <v>300351</v>
      </c>
      <c r="C4151" t="s">
        <v>8647</v>
      </c>
      <c r="D4151" t="s">
        <v>1012</v>
      </c>
      <c r="F4151">
        <v>590925258</v>
      </c>
      <c r="G4151">
        <v>441717270</v>
      </c>
      <c r="H4151">
        <v>537831610</v>
      </c>
      <c r="I4151">
        <v>751241276</v>
      </c>
      <c r="J4151">
        <v>705921504</v>
      </c>
      <c r="K4151">
        <v>566653432</v>
      </c>
      <c r="L4151">
        <v>221271273</v>
      </c>
      <c r="M4151">
        <v>141200599</v>
      </c>
      <c r="N4151">
        <v>134591896</v>
      </c>
      <c r="O4151">
        <v>96613982</v>
      </c>
      <c r="P4151">
        <v>234</v>
      </c>
      <c r="Q4151" t="s">
        <v>8648</v>
      </c>
    </row>
    <row r="4152" spans="1:17" x14ac:dyDescent="0.3">
      <c r="A4152" t="s">
        <v>4729</v>
      </c>
      <c r="B4152" t="str">
        <f>"300352"</f>
        <v>300352</v>
      </c>
      <c r="C4152" t="s">
        <v>8649</v>
      </c>
      <c r="D4152" t="s">
        <v>945</v>
      </c>
      <c r="F4152">
        <v>632049356</v>
      </c>
      <c r="G4152">
        <v>1076371393</v>
      </c>
      <c r="H4152">
        <v>1064230681</v>
      </c>
      <c r="I4152">
        <v>923158434</v>
      </c>
      <c r="J4152">
        <v>732866568</v>
      </c>
      <c r="K4152">
        <v>569496822</v>
      </c>
      <c r="L4152">
        <v>455803629</v>
      </c>
      <c r="M4152">
        <v>359960646</v>
      </c>
      <c r="N4152">
        <v>246081382</v>
      </c>
      <c r="O4152">
        <v>155445282</v>
      </c>
      <c r="P4152">
        <v>255</v>
      </c>
      <c r="Q4152" t="s">
        <v>8650</v>
      </c>
    </row>
    <row r="4153" spans="1:17" x14ac:dyDescent="0.3">
      <c r="A4153" t="s">
        <v>4729</v>
      </c>
      <c r="B4153" t="str">
        <f>"300353"</f>
        <v>300353</v>
      </c>
      <c r="C4153" t="s">
        <v>8651</v>
      </c>
      <c r="D4153" t="s">
        <v>595</v>
      </c>
      <c r="F4153">
        <v>519240735</v>
      </c>
      <c r="G4153">
        <v>533025020</v>
      </c>
      <c r="H4153">
        <v>830944323</v>
      </c>
      <c r="I4153">
        <v>829998405</v>
      </c>
      <c r="J4153">
        <v>573514921</v>
      </c>
      <c r="K4153">
        <v>370993196</v>
      </c>
      <c r="L4153">
        <v>254160637</v>
      </c>
      <c r="M4153">
        <v>74193696</v>
      </c>
      <c r="N4153">
        <v>56498164</v>
      </c>
      <c r="O4153">
        <v>55871318</v>
      </c>
      <c r="P4153">
        <v>3033</v>
      </c>
      <c r="Q4153" t="s">
        <v>8652</v>
      </c>
    </row>
    <row r="4154" spans="1:17" x14ac:dyDescent="0.3">
      <c r="A4154" t="s">
        <v>4729</v>
      </c>
      <c r="B4154" t="str">
        <f>"300354"</f>
        <v>300354</v>
      </c>
      <c r="C4154" t="s">
        <v>8653</v>
      </c>
      <c r="D4154" t="s">
        <v>2566</v>
      </c>
      <c r="F4154">
        <v>111071751</v>
      </c>
      <c r="G4154">
        <v>85390642</v>
      </c>
      <c r="H4154">
        <v>65472710</v>
      </c>
      <c r="I4154">
        <v>56053542</v>
      </c>
      <c r="J4154">
        <v>70617352</v>
      </c>
      <c r="K4154">
        <v>63358421</v>
      </c>
      <c r="L4154">
        <v>56032309</v>
      </c>
      <c r="M4154">
        <v>50004730</v>
      </c>
      <c r="N4154">
        <v>46147038</v>
      </c>
      <c r="O4154">
        <v>56074219</v>
      </c>
      <c r="P4154">
        <v>139</v>
      </c>
      <c r="Q4154" t="s">
        <v>8654</v>
      </c>
    </row>
    <row r="4155" spans="1:17" x14ac:dyDescent="0.3">
      <c r="A4155" t="s">
        <v>4729</v>
      </c>
      <c r="B4155" t="str">
        <f>"300355"</f>
        <v>300355</v>
      </c>
      <c r="C4155" t="s">
        <v>8655</v>
      </c>
      <c r="D4155" t="s">
        <v>2417</v>
      </c>
      <c r="F4155">
        <v>3235247300</v>
      </c>
      <c r="G4155">
        <v>2308657386</v>
      </c>
      <c r="H4155">
        <v>4072938447</v>
      </c>
      <c r="I4155">
        <v>4110805490</v>
      </c>
      <c r="J4155">
        <v>5421396117</v>
      </c>
      <c r="K4155">
        <v>3387283186</v>
      </c>
      <c r="L4155">
        <v>2440168720</v>
      </c>
      <c r="M4155">
        <v>2002130229</v>
      </c>
      <c r="N4155">
        <v>1077578808</v>
      </c>
      <c r="O4155">
        <v>754267770</v>
      </c>
      <c r="P4155">
        <v>406</v>
      </c>
      <c r="Q4155" t="s">
        <v>8656</v>
      </c>
    </row>
    <row r="4156" spans="1:17" x14ac:dyDescent="0.3">
      <c r="A4156" t="s">
        <v>4729</v>
      </c>
      <c r="B4156" t="str">
        <f>"300356"</f>
        <v>300356</v>
      </c>
      <c r="C4156" t="s">
        <v>8657</v>
      </c>
      <c r="D4156" t="s">
        <v>2180</v>
      </c>
      <c r="F4156">
        <v>186640689</v>
      </c>
      <c r="G4156">
        <v>209317997</v>
      </c>
      <c r="H4156">
        <v>358507340</v>
      </c>
      <c r="I4156">
        <v>515144895</v>
      </c>
      <c r="J4156">
        <v>589216789</v>
      </c>
      <c r="K4156">
        <v>746446066</v>
      </c>
      <c r="L4156">
        <v>767991492</v>
      </c>
      <c r="M4156">
        <v>603335604</v>
      </c>
      <c r="N4156">
        <v>206552047</v>
      </c>
      <c r="O4156">
        <v>118166643</v>
      </c>
      <c r="P4156">
        <v>67</v>
      </c>
      <c r="Q4156" t="s">
        <v>8658</v>
      </c>
    </row>
    <row r="4157" spans="1:17" x14ac:dyDescent="0.3">
      <c r="A4157" t="s">
        <v>4729</v>
      </c>
      <c r="B4157" t="str">
        <f>"300357"</f>
        <v>300357</v>
      </c>
      <c r="C4157" t="s">
        <v>8659</v>
      </c>
      <c r="D4157" t="s">
        <v>1379</v>
      </c>
      <c r="F4157">
        <v>156111063</v>
      </c>
      <c r="G4157">
        <v>134258584</v>
      </c>
      <c r="H4157">
        <v>133508513</v>
      </c>
      <c r="I4157">
        <v>108768293</v>
      </c>
      <c r="J4157">
        <v>101673255</v>
      </c>
      <c r="K4157">
        <v>76791898</v>
      </c>
      <c r="L4157">
        <v>65330729</v>
      </c>
      <c r="M4157">
        <v>62136394</v>
      </c>
      <c r="N4157">
        <v>58464144</v>
      </c>
      <c r="O4157">
        <v>49054770</v>
      </c>
      <c r="P4157">
        <v>31270</v>
      </c>
      <c r="Q4157" t="s">
        <v>8660</v>
      </c>
    </row>
    <row r="4158" spans="1:17" x14ac:dyDescent="0.3">
      <c r="A4158" t="s">
        <v>4729</v>
      </c>
      <c r="B4158" t="str">
        <f>"300358"</f>
        <v>300358</v>
      </c>
      <c r="C4158" t="s">
        <v>8661</v>
      </c>
      <c r="D4158" t="s">
        <v>122</v>
      </c>
      <c r="F4158">
        <v>711681215</v>
      </c>
      <c r="G4158">
        <v>769174138</v>
      </c>
      <c r="H4158">
        <v>709793329</v>
      </c>
      <c r="I4158">
        <v>722197000</v>
      </c>
      <c r="J4158">
        <v>656669204</v>
      </c>
      <c r="K4158">
        <v>682829118</v>
      </c>
      <c r="L4158">
        <v>538603495</v>
      </c>
      <c r="M4158">
        <v>306515268</v>
      </c>
      <c r="N4158">
        <v>163111318</v>
      </c>
      <c r="O4158">
        <v>135789828</v>
      </c>
      <c r="P4158">
        <v>185</v>
      </c>
      <c r="Q4158" t="s">
        <v>8662</v>
      </c>
    </row>
    <row r="4159" spans="1:17" x14ac:dyDescent="0.3">
      <c r="A4159" t="s">
        <v>4729</v>
      </c>
      <c r="B4159" t="str">
        <f>"300359"</f>
        <v>300359</v>
      </c>
      <c r="C4159" t="s">
        <v>8663</v>
      </c>
      <c r="D4159" t="s">
        <v>1336</v>
      </c>
      <c r="F4159">
        <v>232605266</v>
      </c>
      <c r="G4159">
        <v>226175778</v>
      </c>
      <c r="H4159">
        <v>276148803</v>
      </c>
      <c r="I4159">
        <v>463912343</v>
      </c>
      <c r="J4159">
        <v>521370769</v>
      </c>
      <c r="K4159">
        <v>363034022</v>
      </c>
      <c r="L4159">
        <v>146898481</v>
      </c>
      <c r="M4159">
        <v>61053174</v>
      </c>
      <c r="N4159">
        <v>43444392</v>
      </c>
      <c r="O4159">
        <v>36685982</v>
      </c>
      <c r="P4159">
        <v>166</v>
      </c>
      <c r="Q4159" t="s">
        <v>8664</v>
      </c>
    </row>
    <row r="4160" spans="1:17" x14ac:dyDescent="0.3">
      <c r="A4160" t="s">
        <v>4729</v>
      </c>
      <c r="B4160" t="str">
        <f>"300360"</f>
        <v>300360</v>
      </c>
      <c r="C4160" t="s">
        <v>8665</v>
      </c>
      <c r="D4160" t="s">
        <v>2180</v>
      </c>
      <c r="F4160">
        <v>417341393</v>
      </c>
      <c r="G4160">
        <v>322250348</v>
      </c>
      <c r="H4160">
        <v>341316606</v>
      </c>
      <c r="I4160">
        <v>374156822</v>
      </c>
      <c r="J4160">
        <v>475003503</v>
      </c>
      <c r="K4160">
        <v>485518577</v>
      </c>
      <c r="L4160">
        <v>378981094</v>
      </c>
      <c r="M4160">
        <v>349518689</v>
      </c>
      <c r="N4160">
        <v>262168622</v>
      </c>
      <c r="O4160">
        <v>242470287</v>
      </c>
      <c r="P4160">
        <v>958</v>
      </c>
      <c r="Q4160" t="s">
        <v>8666</v>
      </c>
    </row>
    <row r="4161" spans="1:17" x14ac:dyDescent="0.3">
      <c r="A4161" t="s">
        <v>4729</v>
      </c>
      <c r="B4161" t="str">
        <f>"300361"</f>
        <v>300361</v>
      </c>
      <c r="C4161" t="s">
        <v>7298</v>
      </c>
      <c r="D4161" t="s">
        <v>143</v>
      </c>
      <c r="P4161">
        <v>8</v>
      </c>
      <c r="Q4161" t="s">
        <v>8667</v>
      </c>
    </row>
    <row r="4162" spans="1:17" x14ac:dyDescent="0.3">
      <c r="A4162" t="s">
        <v>4729</v>
      </c>
      <c r="B4162" t="str">
        <f>"300362"</f>
        <v>300362</v>
      </c>
      <c r="C4162" t="s">
        <v>8668</v>
      </c>
      <c r="G4162">
        <v>156117799</v>
      </c>
      <c r="H4162">
        <v>176368174</v>
      </c>
      <c r="I4162">
        <v>338424092</v>
      </c>
      <c r="J4162">
        <v>557664550</v>
      </c>
      <c r="K4162">
        <v>945335561</v>
      </c>
      <c r="L4162">
        <v>375765611</v>
      </c>
      <c r="M4162">
        <v>195907101</v>
      </c>
      <c r="N4162">
        <v>202475663</v>
      </c>
      <c r="O4162">
        <v>172703411</v>
      </c>
      <c r="P4162">
        <v>87</v>
      </c>
      <c r="Q4162" t="s">
        <v>8669</v>
      </c>
    </row>
    <row r="4163" spans="1:17" x14ac:dyDescent="0.3">
      <c r="A4163" t="s">
        <v>4729</v>
      </c>
      <c r="B4163" t="str">
        <f>"300363"</f>
        <v>300363</v>
      </c>
      <c r="C4163" t="s">
        <v>8670</v>
      </c>
      <c r="D4163" t="s">
        <v>1461</v>
      </c>
      <c r="F4163">
        <v>1035069447</v>
      </c>
      <c r="G4163">
        <v>401011467</v>
      </c>
      <c r="H4163">
        <v>349327984</v>
      </c>
      <c r="I4163">
        <v>252551280</v>
      </c>
      <c r="J4163">
        <v>265714856</v>
      </c>
      <c r="K4163">
        <v>300255034</v>
      </c>
      <c r="L4163">
        <v>262940408</v>
      </c>
      <c r="M4163">
        <v>293030724</v>
      </c>
      <c r="N4163">
        <v>88766363</v>
      </c>
      <c r="O4163">
        <v>116930711</v>
      </c>
      <c r="P4163">
        <v>542</v>
      </c>
      <c r="Q4163" t="s">
        <v>8671</v>
      </c>
    </row>
    <row r="4164" spans="1:17" x14ac:dyDescent="0.3">
      <c r="A4164" t="s">
        <v>4729</v>
      </c>
      <c r="B4164" t="str">
        <f>"300364"</f>
        <v>300364</v>
      </c>
      <c r="C4164" t="s">
        <v>8672</v>
      </c>
      <c r="D4164" t="s">
        <v>525</v>
      </c>
      <c r="F4164">
        <v>111641664</v>
      </c>
      <c r="G4164">
        <v>171977717</v>
      </c>
      <c r="H4164">
        <v>146418567</v>
      </c>
      <c r="I4164">
        <v>232940409</v>
      </c>
      <c r="J4164">
        <v>133383640</v>
      </c>
      <c r="K4164">
        <v>149185831</v>
      </c>
      <c r="L4164">
        <v>159856031</v>
      </c>
      <c r="M4164">
        <v>97537232</v>
      </c>
      <c r="N4164">
        <v>66570485</v>
      </c>
      <c r="O4164">
        <v>57914138</v>
      </c>
      <c r="P4164">
        <v>153</v>
      </c>
      <c r="Q4164" t="s">
        <v>8673</v>
      </c>
    </row>
    <row r="4165" spans="1:17" x14ac:dyDescent="0.3">
      <c r="A4165" t="s">
        <v>4729</v>
      </c>
      <c r="B4165" t="str">
        <f>"300365"</f>
        <v>300365</v>
      </c>
      <c r="C4165" t="s">
        <v>8674</v>
      </c>
      <c r="D4165" t="s">
        <v>945</v>
      </c>
      <c r="F4165">
        <v>1272580340</v>
      </c>
      <c r="G4165">
        <v>1277100492</v>
      </c>
      <c r="H4165">
        <v>1370012232</v>
      </c>
      <c r="I4165">
        <v>948724423</v>
      </c>
      <c r="J4165">
        <v>776966405</v>
      </c>
      <c r="K4165">
        <v>464311531</v>
      </c>
      <c r="L4165">
        <v>296935466</v>
      </c>
      <c r="M4165">
        <v>156641021</v>
      </c>
      <c r="N4165">
        <v>118430281</v>
      </c>
      <c r="O4165">
        <v>79362426</v>
      </c>
      <c r="P4165">
        <v>334</v>
      </c>
      <c r="Q4165" t="s">
        <v>8675</v>
      </c>
    </row>
    <row r="4166" spans="1:17" x14ac:dyDescent="0.3">
      <c r="A4166" t="s">
        <v>4729</v>
      </c>
      <c r="B4166" t="str">
        <f>"300366"</f>
        <v>300366</v>
      </c>
      <c r="C4166" t="s">
        <v>8676</v>
      </c>
      <c r="D4166" t="s">
        <v>945</v>
      </c>
      <c r="F4166">
        <v>1311476744</v>
      </c>
      <c r="G4166">
        <v>1317744344</v>
      </c>
      <c r="H4166">
        <v>1441713924</v>
      </c>
      <c r="I4166">
        <v>1173804587</v>
      </c>
      <c r="J4166">
        <v>842059562</v>
      </c>
      <c r="K4166">
        <v>724028977</v>
      </c>
      <c r="L4166">
        <v>465590758</v>
      </c>
      <c r="M4166">
        <v>169528395</v>
      </c>
      <c r="N4166">
        <v>137751363</v>
      </c>
      <c r="O4166">
        <v>90863558</v>
      </c>
      <c r="P4166">
        <v>222</v>
      </c>
      <c r="Q4166" t="s">
        <v>8677</v>
      </c>
    </row>
    <row r="4167" spans="1:17" x14ac:dyDescent="0.3">
      <c r="A4167" t="s">
        <v>4729</v>
      </c>
      <c r="B4167" t="str">
        <f>"300367"</f>
        <v>300367</v>
      </c>
      <c r="C4167" t="s">
        <v>8678</v>
      </c>
      <c r="D4167" t="s">
        <v>2980</v>
      </c>
      <c r="F4167">
        <v>197610564</v>
      </c>
      <c r="G4167">
        <v>570626149</v>
      </c>
      <c r="H4167">
        <v>911749937</v>
      </c>
      <c r="I4167">
        <v>2708152418</v>
      </c>
      <c r="J4167">
        <v>1818012662</v>
      </c>
      <c r="K4167">
        <v>1249748502</v>
      </c>
      <c r="L4167">
        <v>707333971</v>
      </c>
      <c r="M4167">
        <v>278364682</v>
      </c>
      <c r="N4167">
        <v>164667072</v>
      </c>
      <c r="O4167">
        <v>103434019</v>
      </c>
      <c r="P4167">
        <v>196</v>
      </c>
      <c r="Q4167" t="s">
        <v>8679</v>
      </c>
    </row>
    <row r="4168" spans="1:17" x14ac:dyDescent="0.3">
      <c r="A4168" t="s">
        <v>4729</v>
      </c>
      <c r="B4168" t="str">
        <f>"300368"</f>
        <v>300368</v>
      </c>
      <c r="C4168" t="s">
        <v>8680</v>
      </c>
      <c r="D4168" t="s">
        <v>236</v>
      </c>
      <c r="F4168">
        <v>1688997378</v>
      </c>
      <c r="G4168">
        <v>1228743493</v>
      </c>
      <c r="H4168">
        <v>520658698</v>
      </c>
      <c r="I4168">
        <v>235661167</v>
      </c>
      <c r="J4168">
        <v>368188243</v>
      </c>
      <c r="K4168">
        <v>336343748</v>
      </c>
      <c r="L4168">
        <v>207321529</v>
      </c>
      <c r="M4168">
        <v>125050452</v>
      </c>
      <c r="N4168">
        <v>50864609</v>
      </c>
      <c r="O4168">
        <v>36957559</v>
      </c>
      <c r="P4168">
        <v>119</v>
      </c>
      <c r="Q4168" t="s">
        <v>8681</v>
      </c>
    </row>
    <row r="4169" spans="1:17" x14ac:dyDescent="0.3">
      <c r="A4169" t="s">
        <v>4729</v>
      </c>
      <c r="B4169" t="str">
        <f>"300369"</f>
        <v>300369</v>
      </c>
      <c r="C4169" t="s">
        <v>8682</v>
      </c>
      <c r="D4169" t="s">
        <v>1189</v>
      </c>
      <c r="F4169">
        <v>679061689</v>
      </c>
      <c r="G4169">
        <v>612888588</v>
      </c>
      <c r="H4169">
        <v>726775476</v>
      </c>
      <c r="I4169">
        <v>842424824</v>
      </c>
      <c r="J4169">
        <v>765639260</v>
      </c>
      <c r="K4169">
        <v>696628226</v>
      </c>
      <c r="L4169">
        <v>552289036</v>
      </c>
      <c r="M4169">
        <v>372644800</v>
      </c>
      <c r="N4169">
        <v>382010459</v>
      </c>
      <c r="O4169">
        <v>209975759</v>
      </c>
      <c r="P4169">
        <v>418</v>
      </c>
      <c r="Q4169" t="s">
        <v>8683</v>
      </c>
    </row>
    <row r="4170" spans="1:17" x14ac:dyDescent="0.3">
      <c r="A4170" t="s">
        <v>4729</v>
      </c>
      <c r="B4170" t="str">
        <f>"300370"</f>
        <v>300370</v>
      </c>
      <c r="C4170" t="s">
        <v>8684</v>
      </c>
      <c r="D4170" t="s">
        <v>2566</v>
      </c>
      <c r="F4170">
        <v>511074337</v>
      </c>
      <c r="G4170">
        <v>596887567</v>
      </c>
      <c r="H4170">
        <v>724729418</v>
      </c>
      <c r="I4170">
        <v>1093358582</v>
      </c>
      <c r="J4170">
        <v>1166915522</v>
      </c>
      <c r="K4170">
        <v>705278632</v>
      </c>
      <c r="L4170">
        <v>471468188</v>
      </c>
      <c r="M4170">
        <v>313455503</v>
      </c>
      <c r="N4170">
        <v>214708289</v>
      </c>
      <c r="O4170">
        <v>181254194</v>
      </c>
      <c r="P4170">
        <v>103</v>
      </c>
      <c r="Q4170" t="s">
        <v>8685</v>
      </c>
    </row>
    <row r="4171" spans="1:17" x14ac:dyDescent="0.3">
      <c r="A4171" t="s">
        <v>4729</v>
      </c>
      <c r="B4171" t="str">
        <f>"300371"</f>
        <v>300371</v>
      </c>
      <c r="C4171" t="s">
        <v>8686</v>
      </c>
      <c r="D4171" t="s">
        <v>2566</v>
      </c>
      <c r="F4171">
        <v>264268674</v>
      </c>
      <c r="G4171">
        <v>167204148</v>
      </c>
      <c r="H4171">
        <v>164160844</v>
      </c>
      <c r="I4171">
        <v>121330356</v>
      </c>
      <c r="J4171">
        <v>90118806</v>
      </c>
      <c r="K4171">
        <v>83351844</v>
      </c>
      <c r="L4171">
        <v>78573503</v>
      </c>
      <c r="M4171">
        <v>59755355</v>
      </c>
      <c r="N4171">
        <v>50117763</v>
      </c>
      <c r="O4171">
        <v>44914933</v>
      </c>
      <c r="P4171">
        <v>288</v>
      </c>
      <c r="Q4171" t="s">
        <v>8687</v>
      </c>
    </row>
    <row r="4172" spans="1:17" x14ac:dyDescent="0.3">
      <c r="A4172" t="s">
        <v>4729</v>
      </c>
      <c r="B4172" t="str">
        <f>"300372"</f>
        <v>300372</v>
      </c>
      <c r="C4172" t="s">
        <v>8688</v>
      </c>
      <c r="K4172">
        <v>399484100</v>
      </c>
      <c r="L4172">
        <v>494457668.20999998</v>
      </c>
      <c r="M4172">
        <v>439068259.35000002</v>
      </c>
      <c r="N4172">
        <v>207819469.93000001</v>
      </c>
      <c r="O4172">
        <v>168834097.40000001</v>
      </c>
      <c r="P4172">
        <v>5</v>
      </c>
      <c r="Q4172" t="s">
        <v>8689</v>
      </c>
    </row>
    <row r="4173" spans="1:17" x14ac:dyDescent="0.3">
      <c r="A4173" t="s">
        <v>4729</v>
      </c>
      <c r="B4173" t="str">
        <f>"300373"</f>
        <v>300373</v>
      </c>
      <c r="C4173" t="s">
        <v>8690</v>
      </c>
      <c r="D4173" t="s">
        <v>795</v>
      </c>
      <c r="F4173">
        <v>1020560981</v>
      </c>
      <c r="G4173">
        <v>801365177</v>
      </c>
      <c r="H4173">
        <v>621051220</v>
      </c>
      <c r="I4173">
        <v>577034104</v>
      </c>
      <c r="J4173">
        <v>454997630</v>
      </c>
      <c r="K4173">
        <v>362979256</v>
      </c>
      <c r="L4173">
        <v>332864224</v>
      </c>
      <c r="M4173">
        <v>212312035</v>
      </c>
      <c r="N4173">
        <v>158398607</v>
      </c>
      <c r="O4173">
        <v>136680070</v>
      </c>
      <c r="P4173">
        <v>4304</v>
      </c>
      <c r="Q4173" t="s">
        <v>8691</v>
      </c>
    </row>
    <row r="4174" spans="1:17" x14ac:dyDescent="0.3">
      <c r="A4174" t="s">
        <v>4729</v>
      </c>
      <c r="B4174" t="str">
        <f>"300374"</f>
        <v>300374</v>
      </c>
      <c r="C4174" t="s">
        <v>8692</v>
      </c>
      <c r="D4174" t="s">
        <v>5922</v>
      </c>
      <c r="F4174">
        <v>559923715</v>
      </c>
      <c r="G4174">
        <v>732631326</v>
      </c>
      <c r="H4174">
        <v>824407812</v>
      </c>
      <c r="I4174">
        <v>896316962</v>
      </c>
      <c r="J4174">
        <v>535782006</v>
      </c>
      <c r="K4174">
        <v>396922708</v>
      </c>
      <c r="L4174">
        <v>392657119</v>
      </c>
      <c r="M4174">
        <v>264504890</v>
      </c>
      <c r="N4174">
        <v>209122939</v>
      </c>
      <c r="O4174">
        <v>194947630</v>
      </c>
      <c r="P4174">
        <v>61</v>
      </c>
      <c r="Q4174" t="s">
        <v>8693</v>
      </c>
    </row>
    <row r="4175" spans="1:17" x14ac:dyDescent="0.3">
      <c r="A4175" t="s">
        <v>4729</v>
      </c>
      <c r="B4175" t="str">
        <f>"300375"</f>
        <v>300375</v>
      </c>
      <c r="C4175" t="s">
        <v>8694</v>
      </c>
      <c r="D4175" t="s">
        <v>348</v>
      </c>
      <c r="F4175">
        <v>341128547</v>
      </c>
      <c r="G4175">
        <v>331303966</v>
      </c>
      <c r="H4175">
        <v>356042312</v>
      </c>
      <c r="I4175">
        <v>503854933</v>
      </c>
      <c r="J4175">
        <v>213777116</v>
      </c>
      <c r="K4175">
        <v>191074407</v>
      </c>
      <c r="L4175">
        <v>156666182</v>
      </c>
      <c r="M4175">
        <v>138113641</v>
      </c>
      <c r="N4175">
        <v>123273496</v>
      </c>
      <c r="O4175">
        <v>70623163</v>
      </c>
      <c r="P4175">
        <v>99</v>
      </c>
      <c r="Q4175" t="s">
        <v>8695</v>
      </c>
    </row>
    <row r="4176" spans="1:17" x14ac:dyDescent="0.3">
      <c r="A4176" t="s">
        <v>4729</v>
      </c>
      <c r="B4176" t="str">
        <f>"300376"</f>
        <v>300376</v>
      </c>
      <c r="C4176" t="s">
        <v>8696</v>
      </c>
      <c r="D4176" t="s">
        <v>880</v>
      </c>
      <c r="F4176">
        <v>3482943182</v>
      </c>
      <c r="G4176">
        <v>3093544073</v>
      </c>
      <c r="H4176">
        <v>3429029251</v>
      </c>
      <c r="I4176">
        <v>3087546609</v>
      </c>
      <c r="J4176">
        <v>3355104476</v>
      </c>
      <c r="K4176">
        <v>2992087668</v>
      </c>
      <c r="L4176">
        <v>1743601393</v>
      </c>
      <c r="M4176">
        <v>987191005</v>
      </c>
      <c r="N4176">
        <v>638304268</v>
      </c>
      <c r="O4176">
        <v>322507355</v>
      </c>
      <c r="P4176">
        <v>849</v>
      </c>
      <c r="Q4176" t="s">
        <v>8697</v>
      </c>
    </row>
    <row r="4177" spans="1:17" x14ac:dyDescent="0.3">
      <c r="A4177" t="s">
        <v>4729</v>
      </c>
      <c r="B4177" t="str">
        <f>"300377"</f>
        <v>300377</v>
      </c>
      <c r="C4177" t="s">
        <v>8698</v>
      </c>
      <c r="D4177" t="s">
        <v>945</v>
      </c>
      <c r="F4177">
        <v>783531912</v>
      </c>
      <c r="G4177">
        <v>692661197</v>
      </c>
      <c r="H4177">
        <v>731177305</v>
      </c>
      <c r="I4177">
        <v>538306993</v>
      </c>
      <c r="J4177">
        <v>348312001</v>
      </c>
      <c r="K4177">
        <v>178813399</v>
      </c>
      <c r="L4177">
        <v>123800091</v>
      </c>
      <c r="M4177">
        <v>115938484</v>
      </c>
      <c r="N4177">
        <v>96536709</v>
      </c>
      <c r="O4177">
        <v>72336450</v>
      </c>
      <c r="P4177">
        <v>3125</v>
      </c>
      <c r="Q4177" t="s">
        <v>8699</v>
      </c>
    </row>
    <row r="4178" spans="1:17" x14ac:dyDescent="0.3">
      <c r="A4178" t="s">
        <v>4729</v>
      </c>
      <c r="B4178" t="str">
        <f>"300378"</f>
        <v>300378</v>
      </c>
      <c r="C4178" t="s">
        <v>8700</v>
      </c>
      <c r="D4178" t="s">
        <v>1189</v>
      </c>
      <c r="F4178">
        <v>151720494</v>
      </c>
      <c r="G4178">
        <v>123247485</v>
      </c>
      <c r="H4178">
        <v>151874439</v>
      </c>
      <c r="I4178">
        <v>155652809</v>
      </c>
      <c r="J4178">
        <v>143786597</v>
      </c>
      <c r="K4178">
        <v>212708515</v>
      </c>
      <c r="L4178">
        <v>245343436</v>
      </c>
      <c r="M4178">
        <v>313747501</v>
      </c>
      <c r="N4178">
        <v>314601396</v>
      </c>
      <c r="O4178">
        <v>243740865</v>
      </c>
      <c r="P4178">
        <v>195</v>
      </c>
      <c r="Q4178" t="s">
        <v>8701</v>
      </c>
    </row>
    <row r="4179" spans="1:17" x14ac:dyDescent="0.3">
      <c r="A4179" t="s">
        <v>4729</v>
      </c>
      <c r="B4179" t="str">
        <f>"300379"</f>
        <v>300379</v>
      </c>
      <c r="C4179" t="s">
        <v>8702</v>
      </c>
      <c r="D4179" t="s">
        <v>945</v>
      </c>
      <c r="F4179">
        <v>627748711</v>
      </c>
      <c r="G4179">
        <v>573951445</v>
      </c>
      <c r="H4179">
        <v>449446677</v>
      </c>
      <c r="I4179">
        <v>350312839</v>
      </c>
      <c r="J4179">
        <v>301033038</v>
      </c>
      <c r="K4179">
        <v>308787492</v>
      </c>
      <c r="L4179">
        <v>257449444</v>
      </c>
      <c r="M4179">
        <v>232659600</v>
      </c>
      <c r="N4179">
        <v>182245945</v>
      </c>
      <c r="O4179">
        <v>142214561</v>
      </c>
      <c r="P4179">
        <v>395</v>
      </c>
      <c r="Q4179" t="s">
        <v>8703</v>
      </c>
    </row>
    <row r="4180" spans="1:17" x14ac:dyDescent="0.3">
      <c r="A4180" t="s">
        <v>4729</v>
      </c>
      <c r="B4180" t="str">
        <f>"300380"</f>
        <v>300380</v>
      </c>
      <c r="C4180" t="s">
        <v>8704</v>
      </c>
      <c r="D4180" t="s">
        <v>945</v>
      </c>
      <c r="F4180">
        <v>72293738</v>
      </c>
      <c r="G4180">
        <v>68592443</v>
      </c>
      <c r="H4180">
        <v>85502822</v>
      </c>
      <c r="I4180">
        <v>90440611</v>
      </c>
      <c r="J4180">
        <v>117482520</v>
      </c>
      <c r="K4180">
        <v>122195755</v>
      </c>
      <c r="L4180">
        <v>92301528</v>
      </c>
      <c r="M4180">
        <v>80646809</v>
      </c>
      <c r="N4180">
        <v>76136186</v>
      </c>
      <c r="O4180">
        <v>67720661</v>
      </c>
      <c r="P4180">
        <v>85</v>
      </c>
      <c r="Q4180" t="s">
        <v>8705</v>
      </c>
    </row>
    <row r="4181" spans="1:17" x14ac:dyDescent="0.3">
      <c r="A4181" t="s">
        <v>4729</v>
      </c>
      <c r="B4181" t="str">
        <f>"300381"</f>
        <v>300381</v>
      </c>
      <c r="C4181" t="s">
        <v>8706</v>
      </c>
      <c r="D4181" t="s">
        <v>496</v>
      </c>
      <c r="F4181">
        <v>486722304</v>
      </c>
      <c r="G4181">
        <v>586095924</v>
      </c>
      <c r="H4181">
        <v>566154339</v>
      </c>
      <c r="I4181">
        <v>475276176</v>
      </c>
      <c r="J4181">
        <v>539563326</v>
      </c>
      <c r="K4181">
        <v>387841099</v>
      </c>
      <c r="L4181">
        <v>272658928</v>
      </c>
      <c r="M4181">
        <v>133291595</v>
      </c>
      <c r="N4181">
        <v>55750091</v>
      </c>
      <c r="O4181">
        <v>45763818</v>
      </c>
      <c r="P4181">
        <v>160</v>
      </c>
      <c r="Q4181" t="s">
        <v>8707</v>
      </c>
    </row>
    <row r="4182" spans="1:17" x14ac:dyDescent="0.3">
      <c r="A4182" t="s">
        <v>4729</v>
      </c>
      <c r="B4182" t="str">
        <f>"300382"</f>
        <v>300382</v>
      </c>
      <c r="C4182" t="s">
        <v>8708</v>
      </c>
      <c r="D4182" t="s">
        <v>741</v>
      </c>
      <c r="F4182">
        <v>353841370</v>
      </c>
      <c r="G4182">
        <v>379108911</v>
      </c>
      <c r="H4182">
        <v>360310796</v>
      </c>
      <c r="I4182">
        <v>361245114</v>
      </c>
      <c r="J4182">
        <v>344516522</v>
      </c>
      <c r="K4182">
        <v>202427066</v>
      </c>
      <c r="L4182">
        <v>122505306</v>
      </c>
      <c r="M4182">
        <v>63203769</v>
      </c>
      <c r="N4182">
        <v>48022712</v>
      </c>
      <c r="O4182">
        <v>13598162</v>
      </c>
      <c r="P4182">
        <v>182</v>
      </c>
      <c r="Q4182" t="s">
        <v>8709</v>
      </c>
    </row>
    <row r="4183" spans="1:17" x14ac:dyDescent="0.3">
      <c r="A4183" t="s">
        <v>4729</v>
      </c>
      <c r="B4183" t="str">
        <f>"300383"</f>
        <v>300383</v>
      </c>
      <c r="C4183" t="s">
        <v>8710</v>
      </c>
      <c r="D4183" t="s">
        <v>316</v>
      </c>
      <c r="F4183">
        <v>2213448305</v>
      </c>
      <c r="G4183">
        <v>1951013230</v>
      </c>
      <c r="H4183">
        <v>1928255691</v>
      </c>
      <c r="I4183">
        <v>1617922955</v>
      </c>
      <c r="J4183">
        <v>986724853</v>
      </c>
      <c r="K4183">
        <v>560111606</v>
      </c>
      <c r="L4183">
        <v>84405140</v>
      </c>
      <c r="M4183">
        <v>43948945</v>
      </c>
      <c r="N4183">
        <v>26234510</v>
      </c>
      <c r="O4183">
        <v>23343928</v>
      </c>
      <c r="P4183">
        <v>2115</v>
      </c>
      <c r="Q4183" t="s">
        <v>8711</v>
      </c>
    </row>
    <row r="4184" spans="1:17" x14ac:dyDescent="0.3">
      <c r="A4184" t="s">
        <v>4729</v>
      </c>
      <c r="B4184" t="str">
        <f>"300384"</f>
        <v>300384</v>
      </c>
      <c r="C4184" t="s">
        <v>8712</v>
      </c>
      <c r="D4184" t="s">
        <v>2025</v>
      </c>
      <c r="F4184">
        <v>8432432</v>
      </c>
      <c r="G4184">
        <v>8061879</v>
      </c>
      <c r="H4184">
        <v>33375896</v>
      </c>
      <c r="I4184">
        <v>123325265</v>
      </c>
      <c r="J4184">
        <v>72770931</v>
      </c>
      <c r="K4184">
        <v>64455415</v>
      </c>
      <c r="L4184">
        <v>40954511</v>
      </c>
      <c r="M4184">
        <v>32772229</v>
      </c>
      <c r="N4184">
        <v>16200937</v>
      </c>
      <c r="O4184">
        <v>21034367</v>
      </c>
      <c r="P4184">
        <v>164</v>
      </c>
      <c r="Q4184" t="s">
        <v>8713</v>
      </c>
    </row>
    <row r="4185" spans="1:17" x14ac:dyDescent="0.3">
      <c r="A4185" t="s">
        <v>4729</v>
      </c>
      <c r="B4185" t="str">
        <f>"300385"</f>
        <v>300385</v>
      </c>
      <c r="C4185" t="s">
        <v>8714</v>
      </c>
      <c r="D4185" t="s">
        <v>663</v>
      </c>
      <c r="F4185">
        <v>841211154</v>
      </c>
      <c r="G4185">
        <v>743023422</v>
      </c>
      <c r="H4185">
        <v>686315557</v>
      </c>
      <c r="I4185">
        <v>488598648</v>
      </c>
      <c r="J4185">
        <v>498275845</v>
      </c>
      <c r="K4185">
        <v>452673153</v>
      </c>
      <c r="L4185">
        <v>326879351</v>
      </c>
      <c r="M4185">
        <v>253636035</v>
      </c>
      <c r="N4185">
        <v>214859582</v>
      </c>
      <c r="O4185">
        <v>166825904</v>
      </c>
      <c r="P4185">
        <v>92</v>
      </c>
      <c r="Q4185" t="s">
        <v>8715</v>
      </c>
    </row>
    <row r="4186" spans="1:17" x14ac:dyDescent="0.3">
      <c r="A4186" t="s">
        <v>4729</v>
      </c>
      <c r="B4186" t="str">
        <f>"300386"</f>
        <v>300386</v>
      </c>
      <c r="C4186" t="s">
        <v>8716</v>
      </c>
      <c r="D4186" t="s">
        <v>236</v>
      </c>
      <c r="F4186">
        <v>92679939</v>
      </c>
      <c r="G4186">
        <v>103153182</v>
      </c>
      <c r="H4186">
        <v>123971307</v>
      </c>
      <c r="I4186">
        <v>97244483</v>
      </c>
      <c r="J4186">
        <v>68811134</v>
      </c>
      <c r="K4186">
        <v>40333200</v>
      </c>
      <c r="L4186">
        <v>48928821</v>
      </c>
      <c r="M4186">
        <v>83390650</v>
      </c>
      <c r="N4186">
        <v>62730946</v>
      </c>
      <c r="O4186">
        <v>46588703</v>
      </c>
      <c r="P4186">
        <v>188</v>
      </c>
      <c r="Q4186" t="s">
        <v>8717</v>
      </c>
    </row>
    <row r="4187" spans="1:17" x14ac:dyDescent="0.3">
      <c r="A4187" t="s">
        <v>4729</v>
      </c>
      <c r="B4187" t="str">
        <f>"300387"</f>
        <v>300387</v>
      </c>
      <c r="C4187" t="s">
        <v>8718</v>
      </c>
      <c r="D4187" t="s">
        <v>5562</v>
      </c>
      <c r="F4187">
        <v>200463124</v>
      </c>
      <c r="G4187">
        <v>168236049</v>
      </c>
      <c r="H4187">
        <v>172073593</v>
      </c>
      <c r="I4187">
        <v>131288746</v>
      </c>
      <c r="J4187">
        <v>165912771</v>
      </c>
      <c r="K4187">
        <v>159843562</v>
      </c>
      <c r="L4187">
        <v>133603915</v>
      </c>
      <c r="M4187">
        <v>127290506</v>
      </c>
      <c r="N4187">
        <v>83843217</v>
      </c>
      <c r="O4187">
        <v>53307453</v>
      </c>
      <c r="P4187">
        <v>89</v>
      </c>
      <c r="Q4187" t="s">
        <v>8719</v>
      </c>
    </row>
    <row r="4188" spans="1:17" x14ac:dyDescent="0.3">
      <c r="A4188" t="s">
        <v>4729</v>
      </c>
      <c r="B4188" t="str">
        <f>"300388"</f>
        <v>300388</v>
      </c>
      <c r="C4188" t="s">
        <v>8720</v>
      </c>
      <c r="D4188" t="s">
        <v>33</v>
      </c>
      <c r="F4188">
        <v>1461498399</v>
      </c>
      <c r="G4188">
        <v>1351396860</v>
      </c>
      <c r="H4188">
        <v>1345399115</v>
      </c>
      <c r="I4188">
        <v>943333378</v>
      </c>
      <c r="J4188">
        <v>781364741</v>
      </c>
      <c r="K4188">
        <v>601284318</v>
      </c>
      <c r="L4188">
        <v>588592225</v>
      </c>
      <c r="M4188">
        <v>304950963</v>
      </c>
      <c r="N4188">
        <v>210480369</v>
      </c>
      <c r="O4188">
        <v>178097371</v>
      </c>
      <c r="P4188">
        <v>225</v>
      </c>
      <c r="Q4188" t="s">
        <v>8721</v>
      </c>
    </row>
    <row r="4189" spans="1:17" x14ac:dyDescent="0.3">
      <c r="A4189" t="s">
        <v>4729</v>
      </c>
      <c r="B4189" t="str">
        <f>"300389"</f>
        <v>300389</v>
      </c>
      <c r="C4189" t="s">
        <v>8722</v>
      </c>
      <c r="D4189" t="s">
        <v>803</v>
      </c>
      <c r="F4189">
        <v>470926961</v>
      </c>
      <c r="G4189">
        <v>426688746</v>
      </c>
      <c r="H4189">
        <v>594885909</v>
      </c>
      <c r="I4189">
        <v>568555978</v>
      </c>
      <c r="J4189">
        <v>467234246</v>
      </c>
      <c r="K4189">
        <v>332902733</v>
      </c>
      <c r="L4189">
        <v>211562902</v>
      </c>
      <c r="M4189">
        <v>153041835</v>
      </c>
      <c r="N4189">
        <v>97071187</v>
      </c>
      <c r="O4189">
        <v>70044306</v>
      </c>
      <c r="P4189">
        <v>198</v>
      </c>
      <c r="Q4189" t="s">
        <v>8723</v>
      </c>
    </row>
    <row r="4190" spans="1:17" x14ac:dyDescent="0.3">
      <c r="A4190" t="s">
        <v>4729</v>
      </c>
      <c r="B4190" t="str">
        <f>"300390"</f>
        <v>300390</v>
      </c>
      <c r="C4190" t="s">
        <v>8724</v>
      </c>
      <c r="D4190" t="s">
        <v>651</v>
      </c>
      <c r="F4190">
        <v>483278703</v>
      </c>
      <c r="G4190">
        <v>161717755</v>
      </c>
      <c r="H4190">
        <v>164758537</v>
      </c>
      <c r="I4190">
        <v>186652345</v>
      </c>
      <c r="J4190">
        <v>183971976</v>
      </c>
      <c r="K4190">
        <v>184864199</v>
      </c>
      <c r="L4190">
        <v>159624565</v>
      </c>
      <c r="M4190">
        <v>93942878</v>
      </c>
      <c r="N4190">
        <v>83808552</v>
      </c>
      <c r="O4190">
        <v>86101544</v>
      </c>
      <c r="P4190">
        <v>460</v>
      </c>
      <c r="Q4190" t="s">
        <v>8725</v>
      </c>
    </row>
    <row r="4191" spans="1:17" x14ac:dyDescent="0.3">
      <c r="A4191" t="s">
        <v>4729</v>
      </c>
      <c r="B4191" t="str">
        <f>"300391"</f>
        <v>300391</v>
      </c>
      <c r="C4191" t="s">
        <v>8726</v>
      </c>
      <c r="D4191" t="s">
        <v>348</v>
      </c>
      <c r="F4191">
        <v>1377957524</v>
      </c>
      <c r="G4191">
        <v>1190839099</v>
      </c>
      <c r="H4191">
        <v>330165256</v>
      </c>
      <c r="I4191">
        <v>347589731</v>
      </c>
      <c r="J4191">
        <v>320039409</v>
      </c>
      <c r="K4191">
        <v>108657220</v>
      </c>
      <c r="L4191">
        <v>88634119</v>
      </c>
      <c r="M4191">
        <v>143498758</v>
      </c>
      <c r="N4191">
        <v>106396831</v>
      </c>
      <c r="O4191">
        <v>78090300</v>
      </c>
      <c r="P4191">
        <v>80</v>
      </c>
      <c r="Q4191" t="s">
        <v>8727</v>
      </c>
    </row>
    <row r="4192" spans="1:17" x14ac:dyDescent="0.3">
      <c r="A4192" t="s">
        <v>4729</v>
      </c>
      <c r="B4192" t="str">
        <f>"300392"</f>
        <v>300392</v>
      </c>
      <c r="C4192" t="s">
        <v>8728</v>
      </c>
      <c r="D4192" t="s">
        <v>207</v>
      </c>
      <c r="F4192">
        <v>98134114</v>
      </c>
      <c r="G4192">
        <v>178999919</v>
      </c>
      <c r="H4192">
        <v>416293892</v>
      </c>
      <c r="I4192">
        <v>407639684</v>
      </c>
      <c r="J4192">
        <v>711939104</v>
      </c>
      <c r="K4192">
        <v>491608122</v>
      </c>
      <c r="L4192">
        <v>719684454</v>
      </c>
      <c r="M4192">
        <v>363645974</v>
      </c>
      <c r="N4192">
        <v>266505233</v>
      </c>
      <c r="O4192">
        <v>181899644</v>
      </c>
      <c r="P4192">
        <v>66</v>
      </c>
      <c r="Q4192" t="s">
        <v>8729</v>
      </c>
    </row>
    <row r="4193" spans="1:17" x14ac:dyDescent="0.3">
      <c r="A4193" t="s">
        <v>4729</v>
      </c>
      <c r="B4193" t="str">
        <f>"300393"</f>
        <v>300393</v>
      </c>
      <c r="C4193" t="s">
        <v>8730</v>
      </c>
      <c r="D4193" t="s">
        <v>356</v>
      </c>
      <c r="F4193">
        <v>1331297611</v>
      </c>
      <c r="G4193">
        <v>1019909059</v>
      </c>
      <c r="H4193">
        <v>704935702</v>
      </c>
      <c r="I4193">
        <v>690512782</v>
      </c>
      <c r="J4193">
        <v>713470145</v>
      </c>
      <c r="K4193">
        <v>422208941</v>
      </c>
      <c r="L4193">
        <v>305650318</v>
      </c>
      <c r="M4193">
        <v>158055685</v>
      </c>
      <c r="N4193">
        <v>110144373</v>
      </c>
      <c r="O4193">
        <v>91685567</v>
      </c>
      <c r="P4193">
        <v>304</v>
      </c>
      <c r="Q4193" t="s">
        <v>8731</v>
      </c>
    </row>
    <row r="4194" spans="1:17" x14ac:dyDescent="0.3">
      <c r="A4194" t="s">
        <v>4729</v>
      </c>
      <c r="B4194" t="str">
        <f>"300394"</f>
        <v>300394</v>
      </c>
      <c r="C4194" t="s">
        <v>8732</v>
      </c>
      <c r="D4194" t="s">
        <v>1019</v>
      </c>
      <c r="F4194">
        <v>264047921</v>
      </c>
      <c r="G4194">
        <v>261181260</v>
      </c>
      <c r="H4194">
        <v>168415127</v>
      </c>
      <c r="I4194">
        <v>128697781</v>
      </c>
      <c r="J4194">
        <v>96110310</v>
      </c>
      <c r="K4194">
        <v>102976387</v>
      </c>
      <c r="L4194">
        <v>82218693</v>
      </c>
      <c r="M4194">
        <v>67903642</v>
      </c>
      <c r="N4194">
        <v>64125516</v>
      </c>
      <c r="O4194">
        <v>54242430</v>
      </c>
      <c r="P4194">
        <v>802</v>
      </c>
      <c r="Q4194" t="s">
        <v>8733</v>
      </c>
    </row>
    <row r="4195" spans="1:17" x14ac:dyDescent="0.3">
      <c r="A4195" t="s">
        <v>4729</v>
      </c>
      <c r="B4195" t="str">
        <f>"300395"</f>
        <v>300395</v>
      </c>
      <c r="C4195" t="s">
        <v>8734</v>
      </c>
      <c r="D4195" t="s">
        <v>98</v>
      </c>
      <c r="F4195">
        <v>231950199</v>
      </c>
      <c r="G4195">
        <v>219373363</v>
      </c>
      <c r="H4195">
        <v>220094977</v>
      </c>
      <c r="I4195">
        <v>167996767</v>
      </c>
      <c r="J4195">
        <v>157490069</v>
      </c>
      <c r="K4195">
        <v>101235791</v>
      </c>
      <c r="L4195">
        <v>77801160</v>
      </c>
      <c r="M4195">
        <v>72254153</v>
      </c>
      <c r="N4195">
        <v>49064869</v>
      </c>
      <c r="O4195">
        <v>35788751</v>
      </c>
      <c r="P4195">
        <v>553</v>
      </c>
      <c r="Q4195" t="s">
        <v>8735</v>
      </c>
    </row>
    <row r="4196" spans="1:17" x14ac:dyDescent="0.3">
      <c r="A4196" t="s">
        <v>4729</v>
      </c>
      <c r="B4196" t="str">
        <f>"300396"</f>
        <v>300396</v>
      </c>
      <c r="C4196" t="s">
        <v>8736</v>
      </c>
      <c r="D4196" t="s">
        <v>1305</v>
      </c>
      <c r="F4196">
        <v>128532337</v>
      </c>
      <c r="G4196">
        <v>107712073</v>
      </c>
      <c r="H4196">
        <v>172257248</v>
      </c>
      <c r="I4196">
        <v>170819656</v>
      </c>
      <c r="J4196">
        <v>160933134</v>
      </c>
      <c r="K4196">
        <v>151109979</v>
      </c>
      <c r="L4196">
        <v>152231142</v>
      </c>
      <c r="M4196">
        <v>87680327</v>
      </c>
      <c r="N4196">
        <v>77690937</v>
      </c>
      <c r="O4196">
        <v>64716633</v>
      </c>
      <c r="P4196">
        <v>360</v>
      </c>
      <c r="Q4196" t="s">
        <v>8737</v>
      </c>
    </row>
    <row r="4197" spans="1:17" x14ac:dyDescent="0.3">
      <c r="A4197" t="s">
        <v>4729</v>
      </c>
      <c r="B4197" t="str">
        <f>"300397"</f>
        <v>300397</v>
      </c>
      <c r="C4197" t="s">
        <v>8738</v>
      </c>
      <c r="D4197" t="s">
        <v>98</v>
      </c>
      <c r="F4197">
        <v>184326337</v>
      </c>
      <c r="G4197">
        <v>255189038</v>
      </c>
      <c r="H4197">
        <v>351566992</v>
      </c>
      <c r="I4197">
        <v>165633495</v>
      </c>
      <c r="J4197">
        <v>251238107</v>
      </c>
      <c r="K4197">
        <v>392722111</v>
      </c>
      <c r="L4197">
        <v>368448136</v>
      </c>
      <c r="M4197">
        <v>396547805</v>
      </c>
      <c r="N4197">
        <v>283961543</v>
      </c>
      <c r="O4197">
        <v>193300194</v>
      </c>
      <c r="P4197">
        <v>232</v>
      </c>
      <c r="Q4197" t="s">
        <v>8739</v>
      </c>
    </row>
    <row r="4198" spans="1:17" x14ac:dyDescent="0.3">
      <c r="A4198" t="s">
        <v>4729</v>
      </c>
      <c r="B4198" t="str">
        <f>"300398"</f>
        <v>300398</v>
      </c>
      <c r="C4198" t="s">
        <v>8740</v>
      </c>
      <c r="D4198" t="s">
        <v>2408</v>
      </c>
      <c r="F4198">
        <v>818517746</v>
      </c>
      <c r="G4198">
        <v>603173699</v>
      </c>
      <c r="H4198">
        <v>466395348</v>
      </c>
      <c r="I4198">
        <v>415448934</v>
      </c>
      <c r="J4198">
        <v>463552311</v>
      </c>
      <c r="K4198">
        <v>154011880</v>
      </c>
      <c r="L4198">
        <v>126931068</v>
      </c>
      <c r="M4198">
        <v>127808837</v>
      </c>
      <c r="N4198">
        <v>91408765</v>
      </c>
      <c r="O4198">
        <v>82351150</v>
      </c>
      <c r="P4198">
        <v>244</v>
      </c>
      <c r="Q4198" t="s">
        <v>8741</v>
      </c>
    </row>
    <row r="4199" spans="1:17" x14ac:dyDescent="0.3">
      <c r="A4199" t="s">
        <v>4729</v>
      </c>
      <c r="B4199" t="str">
        <f>"300399"</f>
        <v>300399</v>
      </c>
      <c r="C4199" t="s">
        <v>8742</v>
      </c>
      <c r="D4199" t="s">
        <v>316</v>
      </c>
      <c r="F4199">
        <v>78543534</v>
      </c>
      <c r="G4199">
        <v>25257579</v>
      </c>
      <c r="H4199">
        <v>46956710</v>
      </c>
      <c r="I4199">
        <v>49602069</v>
      </c>
      <c r="J4199">
        <v>47832883</v>
      </c>
      <c r="K4199">
        <v>26511243</v>
      </c>
      <c r="L4199">
        <v>17424631</v>
      </c>
      <c r="M4199">
        <v>17783166</v>
      </c>
      <c r="N4199">
        <v>67170555</v>
      </c>
      <c r="O4199">
        <v>29049047</v>
      </c>
      <c r="P4199">
        <v>80</v>
      </c>
      <c r="Q4199" t="s">
        <v>8743</v>
      </c>
    </row>
    <row r="4200" spans="1:17" x14ac:dyDescent="0.3">
      <c r="A4200" t="s">
        <v>4729</v>
      </c>
      <c r="B4200" t="str">
        <f>"300400"</f>
        <v>300400</v>
      </c>
      <c r="C4200" t="s">
        <v>8744</v>
      </c>
      <c r="D4200" t="s">
        <v>3477</v>
      </c>
      <c r="F4200">
        <v>342690819</v>
      </c>
      <c r="G4200">
        <v>252048159</v>
      </c>
      <c r="H4200">
        <v>232504926</v>
      </c>
      <c r="I4200">
        <v>212163379</v>
      </c>
      <c r="J4200">
        <v>201298334</v>
      </c>
      <c r="K4200">
        <v>160329772</v>
      </c>
      <c r="L4200">
        <v>100292978</v>
      </c>
      <c r="M4200">
        <v>105916246</v>
      </c>
      <c r="N4200">
        <v>94056572</v>
      </c>
      <c r="O4200">
        <v>85521653</v>
      </c>
      <c r="P4200">
        <v>273</v>
      </c>
      <c r="Q4200" t="s">
        <v>8745</v>
      </c>
    </row>
    <row r="4201" spans="1:17" x14ac:dyDescent="0.3">
      <c r="A4201" t="s">
        <v>4729</v>
      </c>
      <c r="B4201" t="str">
        <f>"300401"</f>
        <v>300401</v>
      </c>
      <c r="C4201" t="s">
        <v>8746</v>
      </c>
      <c r="D4201" t="s">
        <v>496</v>
      </c>
      <c r="F4201">
        <v>88264106</v>
      </c>
      <c r="G4201">
        <v>63911476</v>
      </c>
      <c r="H4201">
        <v>63074681</v>
      </c>
      <c r="I4201">
        <v>100017420</v>
      </c>
      <c r="J4201">
        <v>64593217</v>
      </c>
      <c r="K4201">
        <v>89560851</v>
      </c>
      <c r="L4201">
        <v>25268755</v>
      </c>
      <c r="M4201">
        <v>29122833</v>
      </c>
      <c r="N4201">
        <v>33555307</v>
      </c>
      <c r="O4201">
        <v>24476819</v>
      </c>
      <c r="P4201">
        <v>476</v>
      </c>
      <c r="Q4201" t="s">
        <v>8747</v>
      </c>
    </row>
    <row r="4202" spans="1:17" x14ac:dyDescent="0.3">
      <c r="A4202" t="s">
        <v>4729</v>
      </c>
      <c r="B4202" t="str">
        <f>"300402"</f>
        <v>300402</v>
      </c>
      <c r="C4202" t="s">
        <v>8748</v>
      </c>
      <c r="D4202" t="s">
        <v>274</v>
      </c>
      <c r="F4202">
        <v>496990867</v>
      </c>
      <c r="G4202">
        <v>374306295</v>
      </c>
      <c r="H4202">
        <v>352321516</v>
      </c>
      <c r="I4202">
        <v>405946536</v>
      </c>
      <c r="J4202">
        <v>273632423</v>
      </c>
      <c r="K4202">
        <v>254550180</v>
      </c>
      <c r="L4202">
        <v>399975516</v>
      </c>
      <c r="M4202">
        <v>259298095</v>
      </c>
      <c r="N4202">
        <v>297349622</v>
      </c>
      <c r="O4202">
        <v>214377524</v>
      </c>
      <c r="P4202">
        <v>101</v>
      </c>
      <c r="Q4202" t="s">
        <v>8749</v>
      </c>
    </row>
    <row r="4203" spans="1:17" x14ac:dyDescent="0.3">
      <c r="A4203" t="s">
        <v>4729</v>
      </c>
      <c r="B4203" t="str">
        <f>"300403"</f>
        <v>300403</v>
      </c>
      <c r="C4203" t="s">
        <v>8750</v>
      </c>
      <c r="D4203" t="s">
        <v>1253</v>
      </c>
      <c r="F4203">
        <v>266828856</v>
      </c>
      <c r="G4203">
        <v>230769266</v>
      </c>
      <c r="H4203">
        <v>197451490</v>
      </c>
      <c r="I4203">
        <v>184714176</v>
      </c>
      <c r="J4203">
        <v>150486090</v>
      </c>
      <c r="K4203">
        <v>155220399</v>
      </c>
      <c r="L4203">
        <v>153470785</v>
      </c>
      <c r="M4203">
        <v>146687158</v>
      </c>
      <c r="N4203">
        <v>137590903</v>
      </c>
      <c r="O4203">
        <v>101965953</v>
      </c>
      <c r="P4203">
        <v>253</v>
      </c>
      <c r="Q4203" t="s">
        <v>8751</v>
      </c>
    </row>
    <row r="4204" spans="1:17" x14ac:dyDescent="0.3">
      <c r="A4204" t="s">
        <v>4729</v>
      </c>
      <c r="B4204" t="str">
        <f>"300404"</f>
        <v>300404</v>
      </c>
      <c r="C4204" t="s">
        <v>8752</v>
      </c>
      <c r="D4204" t="s">
        <v>1461</v>
      </c>
      <c r="F4204">
        <v>71713347</v>
      </c>
      <c r="G4204">
        <v>42603770</v>
      </c>
      <c r="H4204">
        <v>78074241</v>
      </c>
      <c r="I4204">
        <v>64812439</v>
      </c>
      <c r="J4204">
        <v>56337833</v>
      </c>
      <c r="K4204">
        <v>59872886</v>
      </c>
      <c r="L4204">
        <v>63844110</v>
      </c>
      <c r="M4204">
        <v>57084104</v>
      </c>
      <c r="N4204">
        <v>49875832</v>
      </c>
      <c r="O4204">
        <v>43599887</v>
      </c>
      <c r="P4204">
        <v>150</v>
      </c>
      <c r="Q4204" t="s">
        <v>8753</v>
      </c>
    </row>
    <row r="4205" spans="1:17" x14ac:dyDescent="0.3">
      <c r="A4205" t="s">
        <v>4729</v>
      </c>
      <c r="B4205" t="str">
        <f>"300405"</f>
        <v>300405</v>
      </c>
      <c r="C4205" t="s">
        <v>8754</v>
      </c>
      <c r="D4205" t="s">
        <v>386</v>
      </c>
      <c r="F4205">
        <v>386695533</v>
      </c>
      <c r="G4205">
        <v>430281892</v>
      </c>
      <c r="H4205">
        <v>437600210</v>
      </c>
      <c r="I4205">
        <v>503662380</v>
      </c>
      <c r="J4205">
        <v>544261175</v>
      </c>
      <c r="K4205">
        <v>474958826</v>
      </c>
      <c r="L4205">
        <v>346880616</v>
      </c>
      <c r="M4205">
        <v>333462431</v>
      </c>
      <c r="N4205">
        <v>241533798</v>
      </c>
      <c r="O4205">
        <v>142227353</v>
      </c>
      <c r="P4205">
        <v>59</v>
      </c>
      <c r="Q4205" t="s">
        <v>8755</v>
      </c>
    </row>
    <row r="4206" spans="1:17" x14ac:dyDescent="0.3">
      <c r="A4206" t="s">
        <v>4729</v>
      </c>
      <c r="B4206" t="str">
        <f>"300406"</f>
        <v>300406</v>
      </c>
      <c r="C4206" t="s">
        <v>8756</v>
      </c>
      <c r="D4206" t="s">
        <v>1305</v>
      </c>
      <c r="F4206">
        <v>917342741</v>
      </c>
      <c r="G4206">
        <v>746156273</v>
      </c>
      <c r="H4206">
        <v>552279082</v>
      </c>
      <c r="I4206">
        <v>446607496</v>
      </c>
      <c r="J4206">
        <v>424942693</v>
      </c>
      <c r="K4206">
        <v>350610997</v>
      </c>
      <c r="L4206">
        <v>282926361</v>
      </c>
      <c r="M4206">
        <v>202285036</v>
      </c>
      <c r="N4206">
        <v>159067103</v>
      </c>
      <c r="O4206">
        <v>120410461</v>
      </c>
      <c r="P4206">
        <v>14630</v>
      </c>
      <c r="Q4206" t="s">
        <v>8757</v>
      </c>
    </row>
    <row r="4207" spans="1:17" x14ac:dyDescent="0.3">
      <c r="A4207" t="s">
        <v>4729</v>
      </c>
      <c r="B4207" t="str">
        <f>"300407"</f>
        <v>300407</v>
      </c>
      <c r="C4207" t="s">
        <v>8758</v>
      </c>
      <c r="D4207" t="s">
        <v>610</v>
      </c>
      <c r="F4207">
        <v>670509145</v>
      </c>
      <c r="G4207">
        <v>659916140</v>
      </c>
      <c r="H4207">
        <v>625945975</v>
      </c>
      <c r="I4207">
        <v>537163967</v>
      </c>
      <c r="J4207">
        <v>476733739</v>
      </c>
      <c r="K4207">
        <v>370250505</v>
      </c>
      <c r="L4207">
        <v>271707748</v>
      </c>
      <c r="M4207">
        <v>230390066</v>
      </c>
      <c r="N4207">
        <v>180875087</v>
      </c>
      <c r="O4207">
        <v>106795904</v>
      </c>
      <c r="P4207">
        <v>132</v>
      </c>
      <c r="Q4207" t="s">
        <v>8759</v>
      </c>
    </row>
    <row r="4208" spans="1:17" x14ac:dyDescent="0.3">
      <c r="A4208" t="s">
        <v>4729</v>
      </c>
      <c r="B4208" t="str">
        <f>"300408"</f>
        <v>300408</v>
      </c>
      <c r="C4208" t="s">
        <v>8760</v>
      </c>
      <c r="D4208" t="s">
        <v>546</v>
      </c>
      <c r="F4208">
        <v>1528326748</v>
      </c>
      <c r="G4208">
        <v>1178627120</v>
      </c>
      <c r="H4208">
        <v>688288122</v>
      </c>
      <c r="I4208">
        <v>797585236</v>
      </c>
      <c r="J4208">
        <v>1138284759</v>
      </c>
      <c r="K4208">
        <v>896875681</v>
      </c>
      <c r="L4208">
        <v>779175717</v>
      </c>
      <c r="M4208">
        <v>628980693</v>
      </c>
      <c r="N4208">
        <v>592251569</v>
      </c>
      <c r="O4208">
        <v>514091717</v>
      </c>
      <c r="P4208">
        <v>1510</v>
      </c>
      <c r="Q4208" t="s">
        <v>8761</v>
      </c>
    </row>
    <row r="4209" spans="1:17" x14ac:dyDescent="0.3">
      <c r="A4209" t="s">
        <v>4729</v>
      </c>
      <c r="B4209" t="str">
        <f>"300409"</f>
        <v>300409</v>
      </c>
      <c r="C4209" t="s">
        <v>8762</v>
      </c>
      <c r="D4209" t="s">
        <v>1790</v>
      </c>
      <c r="F4209">
        <v>1331980842</v>
      </c>
      <c r="G4209">
        <v>591234623</v>
      </c>
      <c r="H4209">
        <v>312187496</v>
      </c>
      <c r="I4209">
        <v>547799840</v>
      </c>
      <c r="J4209">
        <v>414071283</v>
      </c>
      <c r="K4209">
        <v>230223459</v>
      </c>
      <c r="L4209">
        <v>205358537</v>
      </c>
      <c r="M4209">
        <v>147339297</v>
      </c>
      <c r="N4209">
        <v>88994318</v>
      </c>
      <c r="O4209">
        <v>65030209</v>
      </c>
      <c r="P4209">
        <v>240</v>
      </c>
      <c r="Q4209" t="s">
        <v>8763</v>
      </c>
    </row>
    <row r="4210" spans="1:17" x14ac:dyDescent="0.3">
      <c r="A4210" t="s">
        <v>4729</v>
      </c>
      <c r="B4210" t="str">
        <f>"300410"</f>
        <v>300410</v>
      </c>
      <c r="C4210" t="s">
        <v>8764</v>
      </c>
      <c r="D4210" t="s">
        <v>2566</v>
      </c>
      <c r="F4210">
        <v>727718515</v>
      </c>
      <c r="G4210">
        <v>686332249</v>
      </c>
      <c r="H4210">
        <v>755601947</v>
      </c>
      <c r="I4210">
        <v>855695159</v>
      </c>
      <c r="J4210">
        <v>728700312</v>
      </c>
      <c r="K4210">
        <v>340294986</v>
      </c>
      <c r="L4210">
        <v>241508668</v>
      </c>
      <c r="M4210">
        <v>172527560</v>
      </c>
      <c r="N4210">
        <v>131778175</v>
      </c>
      <c r="O4210">
        <v>100371166</v>
      </c>
      <c r="P4210">
        <v>215</v>
      </c>
      <c r="Q4210" t="s">
        <v>8765</v>
      </c>
    </row>
    <row r="4211" spans="1:17" x14ac:dyDescent="0.3">
      <c r="A4211" t="s">
        <v>4729</v>
      </c>
      <c r="B4211" t="str">
        <f>"300411"</f>
        <v>300411</v>
      </c>
      <c r="C4211" t="s">
        <v>8766</v>
      </c>
      <c r="D4211" t="s">
        <v>741</v>
      </c>
      <c r="F4211">
        <v>415322429</v>
      </c>
      <c r="G4211">
        <v>471795450</v>
      </c>
      <c r="H4211">
        <v>637308230</v>
      </c>
      <c r="I4211">
        <v>726292945</v>
      </c>
      <c r="J4211">
        <v>703190900</v>
      </c>
      <c r="K4211">
        <v>514670576</v>
      </c>
      <c r="L4211">
        <v>479180375</v>
      </c>
      <c r="M4211">
        <v>372522989</v>
      </c>
      <c r="N4211">
        <v>264686711</v>
      </c>
      <c r="O4211">
        <v>161352445</v>
      </c>
      <c r="P4211">
        <v>73</v>
      </c>
      <c r="Q4211" t="s">
        <v>8767</v>
      </c>
    </row>
    <row r="4212" spans="1:17" x14ac:dyDescent="0.3">
      <c r="A4212" t="s">
        <v>4729</v>
      </c>
      <c r="B4212" t="str">
        <f>"300412"</f>
        <v>300412</v>
      </c>
      <c r="C4212" t="s">
        <v>8768</v>
      </c>
      <c r="D4212" t="s">
        <v>741</v>
      </c>
      <c r="F4212">
        <v>336651876</v>
      </c>
      <c r="G4212">
        <v>293492132</v>
      </c>
      <c r="H4212">
        <v>302692094</v>
      </c>
      <c r="I4212">
        <v>255836120</v>
      </c>
      <c r="J4212">
        <v>171795168</v>
      </c>
      <c r="K4212">
        <v>113596307</v>
      </c>
      <c r="L4212">
        <v>63294511</v>
      </c>
      <c r="M4212">
        <v>45846262</v>
      </c>
      <c r="N4212">
        <v>39037111</v>
      </c>
      <c r="O4212">
        <v>31469903</v>
      </c>
      <c r="P4212">
        <v>96</v>
      </c>
      <c r="Q4212" t="s">
        <v>8769</v>
      </c>
    </row>
    <row r="4213" spans="1:17" x14ac:dyDescent="0.3">
      <c r="A4213" t="s">
        <v>4729</v>
      </c>
      <c r="B4213" t="str">
        <f>"300413"</f>
        <v>300413</v>
      </c>
      <c r="C4213" t="s">
        <v>8770</v>
      </c>
      <c r="D4213" t="s">
        <v>1294</v>
      </c>
      <c r="F4213">
        <v>3113742915</v>
      </c>
      <c r="G4213">
        <v>2976696673</v>
      </c>
      <c r="H4213">
        <v>2997010509</v>
      </c>
      <c r="I4213">
        <v>1340876920</v>
      </c>
      <c r="J4213">
        <v>215586155</v>
      </c>
      <c r="K4213">
        <v>152346186</v>
      </c>
      <c r="L4213">
        <v>53220991</v>
      </c>
      <c r="M4213">
        <v>21213747</v>
      </c>
      <c r="N4213">
        <v>17252532</v>
      </c>
      <c r="O4213">
        <v>18578937</v>
      </c>
      <c r="P4213">
        <v>1145</v>
      </c>
      <c r="Q4213" t="s">
        <v>8771</v>
      </c>
    </row>
    <row r="4214" spans="1:17" x14ac:dyDescent="0.3">
      <c r="A4214" t="s">
        <v>4729</v>
      </c>
      <c r="B4214" t="str">
        <f>"300414"</f>
        <v>300414</v>
      </c>
      <c r="C4214" t="s">
        <v>8772</v>
      </c>
      <c r="D4214" t="s">
        <v>595</v>
      </c>
      <c r="F4214">
        <v>319292622</v>
      </c>
      <c r="G4214">
        <v>244337705</v>
      </c>
      <c r="H4214">
        <v>189672891</v>
      </c>
      <c r="I4214">
        <v>204089481</v>
      </c>
      <c r="J4214">
        <v>189759359</v>
      </c>
      <c r="K4214">
        <v>93512844</v>
      </c>
      <c r="L4214">
        <v>109921961</v>
      </c>
      <c r="M4214">
        <v>118071252</v>
      </c>
      <c r="N4214">
        <v>90984607</v>
      </c>
      <c r="O4214">
        <v>59506626</v>
      </c>
      <c r="P4214">
        <v>219</v>
      </c>
      <c r="Q4214" t="s">
        <v>8773</v>
      </c>
    </row>
    <row r="4215" spans="1:17" x14ac:dyDescent="0.3">
      <c r="A4215" t="s">
        <v>4729</v>
      </c>
      <c r="B4215" t="str">
        <f>"300415"</f>
        <v>300415</v>
      </c>
      <c r="C4215" t="s">
        <v>8774</v>
      </c>
      <c r="D4215" t="s">
        <v>741</v>
      </c>
      <c r="F4215">
        <v>514715197</v>
      </c>
      <c r="G4215">
        <v>476764311</v>
      </c>
      <c r="H4215">
        <v>424116500</v>
      </c>
      <c r="I4215">
        <v>372944044</v>
      </c>
      <c r="J4215">
        <v>324204092</v>
      </c>
      <c r="K4215">
        <v>251897854</v>
      </c>
      <c r="L4215">
        <v>244239458</v>
      </c>
      <c r="M4215">
        <v>209956944</v>
      </c>
      <c r="N4215">
        <v>172113408</v>
      </c>
      <c r="O4215">
        <v>139076256</v>
      </c>
      <c r="P4215">
        <v>547</v>
      </c>
      <c r="Q4215" t="s">
        <v>8775</v>
      </c>
    </row>
    <row r="4216" spans="1:17" x14ac:dyDescent="0.3">
      <c r="A4216" t="s">
        <v>4729</v>
      </c>
      <c r="B4216" t="str">
        <f>"300416"</f>
        <v>300416</v>
      </c>
      <c r="C4216" t="s">
        <v>8776</v>
      </c>
      <c r="D4216" t="s">
        <v>2566</v>
      </c>
      <c r="F4216">
        <v>574865611</v>
      </c>
      <c r="G4216">
        <v>462475077</v>
      </c>
      <c r="H4216">
        <v>450018932</v>
      </c>
      <c r="I4216">
        <v>278055595</v>
      </c>
      <c r="J4216">
        <v>251035247</v>
      </c>
      <c r="K4216">
        <v>180674755</v>
      </c>
      <c r="L4216">
        <v>139228730</v>
      </c>
      <c r="M4216">
        <v>93159277</v>
      </c>
      <c r="N4216">
        <v>71540864</v>
      </c>
      <c r="O4216">
        <v>59472512</v>
      </c>
      <c r="P4216">
        <v>305</v>
      </c>
      <c r="Q4216" t="s">
        <v>8777</v>
      </c>
    </row>
    <row r="4217" spans="1:17" x14ac:dyDescent="0.3">
      <c r="A4217" t="s">
        <v>4729</v>
      </c>
      <c r="B4217" t="str">
        <f>"300417"</f>
        <v>300417</v>
      </c>
      <c r="C4217" t="s">
        <v>8778</v>
      </c>
      <c r="D4217" t="s">
        <v>2566</v>
      </c>
      <c r="F4217">
        <v>46142705</v>
      </c>
      <c r="G4217">
        <v>61282377</v>
      </c>
      <c r="H4217">
        <v>49123693</v>
      </c>
      <c r="I4217">
        <v>27896244</v>
      </c>
      <c r="J4217">
        <v>33127024</v>
      </c>
      <c r="K4217">
        <v>42595698</v>
      </c>
      <c r="L4217">
        <v>40184449</v>
      </c>
      <c r="M4217">
        <v>34613772</v>
      </c>
      <c r="N4217">
        <v>23567658</v>
      </c>
      <c r="O4217">
        <v>19900026</v>
      </c>
      <c r="P4217">
        <v>196</v>
      </c>
      <c r="Q4217" t="s">
        <v>8779</v>
      </c>
    </row>
    <row r="4218" spans="1:17" x14ac:dyDescent="0.3">
      <c r="A4218" t="s">
        <v>4729</v>
      </c>
      <c r="B4218" t="str">
        <f>"300418"</f>
        <v>300418</v>
      </c>
      <c r="C4218" t="s">
        <v>8780</v>
      </c>
      <c r="D4218" t="s">
        <v>517</v>
      </c>
      <c r="F4218">
        <v>594625497</v>
      </c>
      <c r="G4218">
        <v>338933331</v>
      </c>
      <c r="H4218">
        <v>374861691</v>
      </c>
      <c r="I4218">
        <v>362696764</v>
      </c>
      <c r="J4218">
        <v>409752912</v>
      </c>
      <c r="K4218">
        <v>579971332</v>
      </c>
      <c r="L4218">
        <v>288512696</v>
      </c>
      <c r="M4218">
        <v>254302444</v>
      </c>
      <c r="N4218">
        <v>230441744</v>
      </c>
      <c r="O4218">
        <v>88520384</v>
      </c>
      <c r="P4218">
        <v>17528</v>
      </c>
      <c r="Q4218" t="s">
        <v>8781</v>
      </c>
    </row>
    <row r="4219" spans="1:17" x14ac:dyDescent="0.3">
      <c r="A4219" t="s">
        <v>4729</v>
      </c>
      <c r="B4219" t="str">
        <f>"300419"</f>
        <v>300419</v>
      </c>
      <c r="C4219" t="s">
        <v>8782</v>
      </c>
      <c r="D4219" t="s">
        <v>316</v>
      </c>
      <c r="F4219">
        <v>137385572</v>
      </c>
      <c r="G4219">
        <v>83299938</v>
      </c>
      <c r="H4219">
        <v>79263544</v>
      </c>
      <c r="I4219">
        <v>91243297</v>
      </c>
      <c r="J4219">
        <v>84813414</v>
      </c>
      <c r="K4219">
        <v>119597298</v>
      </c>
      <c r="L4219">
        <v>83884873</v>
      </c>
      <c r="M4219">
        <v>50453667</v>
      </c>
      <c r="N4219">
        <v>20171452</v>
      </c>
      <c r="O4219">
        <v>29479392</v>
      </c>
      <c r="P4219">
        <v>89</v>
      </c>
      <c r="Q4219" t="s">
        <v>8783</v>
      </c>
    </row>
    <row r="4220" spans="1:17" x14ac:dyDescent="0.3">
      <c r="A4220" t="s">
        <v>4729</v>
      </c>
      <c r="B4220" t="str">
        <f>"300420"</f>
        <v>300420</v>
      </c>
      <c r="C4220" t="s">
        <v>8784</v>
      </c>
      <c r="D4220" t="s">
        <v>560</v>
      </c>
      <c r="F4220">
        <v>885783867</v>
      </c>
      <c r="G4220">
        <v>923688157</v>
      </c>
      <c r="H4220">
        <v>795124324</v>
      </c>
      <c r="I4220">
        <v>631391345</v>
      </c>
      <c r="J4220">
        <v>499877240</v>
      </c>
      <c r="K4220">
        <v>316869203</v>
      </c>
      <c r="L4220">
        <v>271237879</v>
      </c>
      <c r="M4220">
        <v>79363097</v>
      </c>
      <c r="N4220">
        <v>64128602</v>
      </c>
      <c r="O4220">
        <v>59795137</v>
      </c>
      <c r="P4220">
        <v>146</v>
      </c>
      <c r="Q4220" t="s">
        <v>8785</v>
      </c>
    </row>
    <row r="4221" spans="1:17" x14ac:dyDescent="0.3">
      <c r="A4221" t="s">
        <v>4729</v>
      </c>
      <c r="B4221" t="str">
        <f>"300421"</f>
        <v>300421</v>
      </c>
      <c r="C4221" t="s">
        <v>8786</v>
      </c>
      <c r="D4221" t="s">
        <v>274</v>
      </c>
      <c r="F4221">
        <v>295171165</v>
      </c>
      <c r="G4221">
        <v>266511220</v>
      </c>
      <c r="H4221">
        <v>248585213</v>
      </c>
      <c r="I4221">
        <v>227900393</v>
      </c>
      <c r="J4221">
        <v>235855976</v>
      </c>
      <c r="K4221">
        <v>184362388</v>
      </c>
      <c r="L4221">
        <v>169366205</v>
      </c>
      <c r="M4221">
        <v>143205973</v>
      </c>
      <c r="N4221">
        <v>131388531</v>
      </c>
      <c r="O4221">
        <v>115791928</v>
      </c>
      <c r="P4221">
        <v>108</v>
      </c>
      <c r="Q4221" t="s">
        <v>8787</v>
      </c>
    </row>
    <row r="4222" spans="1:17" x14ac:dyDescent="0.3">
      <c r="A4222" t="s">
        <v>4729</v>
      </c>
      <c r="B4222" t="str">
        <f>"300422"</f>
        <v>300422</v>
      </c>
      <c r="C4222" t="s">
        <v>8788</v>
      </c>
      <c r="D4222" t="s">
        <v>33</v>
      </c>
      <c r="F4222">
        <v>1547013601</v>
      </c>
      <c r="G4222">
        <v>1505986807</v>
      </c>
      <c r="H4222">
        <v>2037865051</v>
      </c>
      <c r="I4222">
        <v>1706696302</v>
      </c>
      <c r="J4222">
        <v>954569350</v>
      </c>
      <c r="K4222">
        <v>596741794</v>
      </c>
      <c r="L4222">
        <v>380249129</v>
      </c>
      <c r="M4222">
        <v>212571772</v>
      </c>
      <c r="N4222">
        <v>124594126</v>
      </c>
      <c r="O4222">
        <v>101341218</v>
      </c>
      <c r="P4222">
        <v>331</v>
      </c>
      <c r="Q4222" t="s">
        <v>8789</v>
      </c>
    </row>
    <row r="4223" spans="1:17" x14ac:dyDescent="0.3">
      <c r="A4223" t="s">
        <v>4729</v>
      </c>
      <c r="B4223" t="str">
        <f>"300423"</f>
        <v>300423</v>
      </c>
      <c r="C4223" t="s">
        <v>8790</v>
      </c>
      <c r="D4223" t="s">
        <v>210</v>
      </c>
      <c r="F4223">
        <v>1564920513</v>
      </c>
      <c r="G4223">
        <v>1864852991</v>
      </c>
      <c r="H4223">
        <v>1107237853</v>
      </c>
      <c r="I4223">
        <v>1455125255</v>
      </c>
      <c r="J4223">
        <v>254493331</v>
      </c>
      <c r="K4223">
        <v>247898645</v>
      </c>
      <c r="L4223">
        <v>250605556</v>
      </c>
      <c r="M4223">
        <v>239457409</v>
      </c>
      <c r="N4223">
        <v>178346031</v>
      </c>
      <c r="O4223">
        <v>134059936</v>
      </c>
      <c r="P4223">
        <v>156</v>
      </c>
      <c r="Q4223" t="s">
        <v>8791</v>
      </c>
    </row>
    <row r="4224" spans="1:17" x14ac:dyDescent="0.3">
      <c r="A4224" t="s">
        <v>4729</v>
      </c>
      <c r="B4224" t="str">
        <f>"300424"</f>
        <v>300424</v>
      </c>
      <c r="C4224" t="s">
        <v>8792</v>
      </c>
      <c r="D4224" t="s">
        <v>98</v>
      </c>
      <c r="F4224">
        <v>632701790</v>
      </c>
      <c r="G4224">
        <v>516651095</v>
      </c>
      <c r="H4224">
        <v>512037468</v>
      </c>
      <c r="I4224">
        <v>494217794</v>
      </c>
      <c r="J4224">
        <v>348467431</v>
      </c>
      <c r="K4224">
        <v>239800735</v>
      </c>
      <c r="L4224">
        <v>168431606</v>
      </c>
      <c r="M4224">
        <v>145740770</v>
      </c>
      <c r="N4224">
        <v>141946082</v>
      </c>
      <c r="O4224">
        <v>169775918</v>
      </c>
      <c r="P4224">
        <v>133</v>
      </c>
      <c r="Q4224" t="s">
        <v>8793</v>
      </c>
    </row>
    <row r="4225" spans="1:17" x14ac:dyDescent="0.3">
      <c r="A4225" t="s">
        <v>4729</v>
      </c>
      <c r="B4225" t="str">
        <f>"300425"</f>
        <v>300425</v>
      </c>
      <c r="C4225" t="s">
        <v>8794</v>
      </c>
      <c r="D4225" t="s">
        <v>33</v>
      </c>
      <c r="F4225">
        <v>949728619</v>
      </c>
      <c r="G4225">
        <v>905192287</v>
      </c>
      <c r="H4225">
        <v>958725581</v>
      </c>
      <c r="I4225">
        <v>770900242</v>
      </c>
      <c r="J4225">
        <v>455838025</v>
      </c>
      <c r="K4225">
        <v>371077251</v>
      </c>
      <c r="L4225">
        <v>282505621</v>
      </c>
      <c r="M4225">
        <v>144059120</v>
      </c>
      <c r="N4225">
        <v>118505559</v>
      </c>
      <c r="O4225">
        <v>111119778</v>
      </c>
      <c r="P4225">
        <v>121</v>
      </c>
      <c r="Q4225" t="s">
        <v>8795</v>
      </c>
    </row>
    <row r="4226" spans="1:17" x14ac:dyDescent="0.3">
      <c r="A4226" t="s">
        <v>4729</v>
      </c>
      <c r="B4226" t="str">
        <f>"300426"</f>
        <v>300426</v>
      </c>
      <c r="C4226" t="s">
        <v>8796</v>
      </c>
      <c r="D4226" t="s">
        <v>113</v>
      </c>
      <c r="F4226">
        <v>307285548</v>
      </c>
      <c r="G4226">
        <v>290169187</v>
      </c>
      <c r="H4226">
        <v>279939887</v>
      </c>
      <c r="I4226">
        <v>587696799</v>
      </c>
      <c r="J4226">
        <v>1254659266</v>
      </c>
      <c r="K4226">
        <v>423898820</v>
      </c>
      <c r="L4226">
        <v>400082328</v>
      </c>
      <c r="M4226">
        <v>319558484</v>
      </c>
      <c r="N4226">
        <v>228033147</v>
      </c>
      <c r="O4226">
        <v>131484426</v>
      </c>
      <c r="P4226">
        <v>130</v>
      </c>
      <c r="Q4226" t="s">
        <v>8797</v>
      </c>
    </row>
    <row r="4227" spans="1:17" x14ac:dyDescent="0.3">
      <c r="A4227" t="s">
        <v>4729</v>
      </c>
      <c r="B4227" t="str">
        <f>"300427"</f>
        <v>300427</v>
      </c>
      <c r="C4227" t="s">
        <v>8798</v>
      </c>
      <c r="D4227" t="s">
        <v>610</v>
      </c>
      <c r="F4227">
        <v>736138015</v>
      </c>
      <c r="G4227">
        <v>929259904</v>
      </c>
      <c r="H4227">
        <v>832749806</v>
      </c>
      <c r="I4227">
        <v>1098024110</v>
      </c>
      <c r="J4227">
        <v>665695754</v>
      </c>
      <c r="K4227">
        <v>263613716</v>
      </c>
      <c r="L4227">
        <v>268835561</v>
      </c>
      <c r="M4227">
        <v>226657311</v>
      </c>
      <c r="N4227">
        <v>172843002</v>
      </c>
      <c r="O4227">
        <v>133300137</v>
      </c>
      <c r="P4227">
        <v>249</v>
      </c>
      <c r="Q4227" t="s">
        <v>8799</v>
      </c>
    </row>
    <row r="4228" spans="1:17" x14ac:dyDescent="0.3">
      <c r="A4228" t="s">
        <v>4729</v>
      </c>
      <c r="B4228" t="str">
        <f>"300428"</f>
        <v>300428</v>
      </c>
      <c r="C4228" t="s">
        <v>8800</v>
      </c>
      <c r="D4228" t="s">
        <v>422</v>
      </c>
      <c r="F4228">
        <v>3349650224</v>
      </c>
      <c r="G4228">
        <v>2661243633</v>
      </c>
      <c r="H4228">
        <v>1211913526</v>
      </c>
      <c r="I4228">
        <v>1070857755</v>
      </c>
      <c r="J4228">
        <v>196278206</v>
      </c>
      <c r="K4228">
        <v>167982253</v>
      </c>
      <c r="L4228">
        <v>105433248</v>
      </c>
      <c r="M4228">
        <v>91529244</v>
      </c>
      <c r="N4228">
        <v>72845404</v>
      </c>
      <c r="O4228">
        <v>57520047</v>
      </c>
      <c r="P4228">
        <v>171</v>
      </c>
      <c r="Q4228" t="s">
        <v>8801</v>
      </c>
    </row>
    <row r="4229" spans="1:17" x14ac:dyDescent="0.3">
      <c r="A4229" t="s">
        <v>4729</v>
      </c>
      <c r="B4229" t="str">
        <f>"300429"</f>
        <v>300429</v>
      </c>
      <c r="C4229" t="s">
        <v>8802</v>
      </c>
      <c r="D4229" t="s">
        <v>2408</v>
      </c>
      <c r="F4229">
        <v>193084504</v>
      </c>
      <c r="G4229">
        <v>133942698</v>
      </c>
      <c r="H4229">
        <v>114972941</v>
      </c>
      <c r="I4229">
        <v>91424524</v>
      </c>
      <c r="J4229">
        <v>89329103</v>
      </c>
      <c r="K4229">
        <v>61965583</v>
      </c>
      <c r="L4229">
        <v>47230813</v>
      </c>
      <c r="M4229">
        <v>28751817</v>
      </c>
      <c r="N4229">
        <v>30627357</v>
      </c>
      <c r="O4229">
        <v>27868148</v>
      </c>
      <c r="P4229">
        <v>261</v>
      </c>
      <c r="Q4229" t="s">
        <v>8803</v>
      </c>
    </row>
    <row r="4230" spans="1:17" x14ac:dyDescent="0.3">
      <c r="A4230" t="s">
        <v>4729</v>
      </c>
      <c r="B4230" t="str">
        <f>"300430"</f>
        <v>300430</v>
      </c>
      <c r="C4230" t="s">
        <v>8804</v>
      </c>
      <c r="D4230" t="s">
        <v>560</v>
      </c>
      <c r="F4230">
        <v>431686874</v>
      </c>
      <c r="G4230">
        <v>346296350</v>
      </c>
      <c r="H4230">
        <v>382346580</v>
      </c>
      <c r="I4230">
        <v>422664592</v>
      </c>
      <c r="J4230">
        <v>302182532</v>
      </c>
      <c r="K4230">
        <v>206628448</v>
      </c>
      <c r="L4230">
        <v>151551221</v>
      </c>
      <c r="M4230">
        <v>108609083</v>
      </c>
      <c r="N4230">
        <v>84995206</v>
      </c>
      <c r="O4230">
        <v>78603446</v>
      </c>
      <c r="P4230">
        <v>95</v>
      </c>
      <c r="Q4230" t="s">
        <v>8805</v>
      </c>
    </row>
    <row r="4231" spans="1:17" x14ac:dyDescent="0.3">
      <c r="A4231" t="s">
        <v>4729</v>
      </c>
      <c r="B4231" t="str">
        <f>"300431"</f>
        <v>300431</v>
      </c>
      <c r="C4231" t="s">
        <v>8806</v>
      </c>
      <c r="I4231">
        <v>324594944</v>
      </c>
      <c r="J4231">
        <v>736006958</v>
      </c>
      <c r="K4231">
        <v>565863313</v>
      </c>
      <c r="L4231">
        <v>298924931</v>
      </c>
      <c r="M4231">
        <v>174187741</v>
      </c>
      <c r="N4231">
        <v>157090270</v>
      </c>
      <c r="O4231">
        <v>110255124</v>
      </c>
      <c r="P4231">
        <v>145</v>
      </c>
      <c r="Q4231" t="s">
        <v>8807</v>
      </c>
    </row>
    <row r="4232" spans="1:17" x14ac:dyDescent="0.3">
      <c r="A4232" t="s">
        <v>4729</v>
      </c>
      <c r="B4232" t="str">
        <f>"300432"</f>
        <v>300432</v>
      </c>
      <c r="C4232" t="s">
        <v>8808</v>
      </c>
      <c r="D4232" t="s">
        <v>348</v>
      </c>
      <c r="F4232">
        <v>667306160</v>
      </c>
      <c r="G4232">
        <v>480503221</v>
      </c>
      <c r="H4232">
        <v>337956988</v>
      </c>
      <c r="I4232">
        <v>555966527</v>
      </c>
      <c r="J4232">
        <v>1393299114</v>
      </c>
      <c r="K4232">
        <v>534223345</v>
      </c>
      <c r="L4232">
        <v>186128488</v>
      </c>
      <c r="M4232">
        <v>145740715</v>
      </c>
      <c r="N4232">
        <v>136459058</v>
      </c>
      <c r="O4232">
        <v>95902514</v>
      </c>
      <c r="P4232">
        <v>304</v>
      </c>
      <c r="Q4232" t="s">
        <v>8809</v>
      </c>
    </row>
    <row r="4233" spans="1:17" x14ac:dyDescent="0.3">
      <c r="A4233" t="s">
        <v>4729</v>
      </c>
      <c r="B4233" t="str">
        <f>"300433"</f>
        <v>300433</v>
      </c>
      <c r="C4233" t="s">
        <v>8810</v>
      </c>
      <c r="D4233" t="s">
        <v>313</v>
      </c>
      <c r="F4233">
        <v>9712406240</v>
      </c>
      <c r="G4233">
        <v>8033913412</v>
      </c>
      <c r="H4233">
        <v>6769113646</v>
      </c>
      <c r="I4233">
        <v>6179734932</v>
      </c>
      <c r="J4233">
        <v>5749985392</v>
      </c>
      <c r="K4233">
        <v>3429342342</v>
      </c>
      <c r="L4233">
        <v>3256520316</v>
      </c>
      <c r="M4233">
        <v>2699938978</v>
      </c>
      <c r="N4233">
        <v>2388351071</v>
      </c>
      <c r="O4233">
        <v>2064728540</v>
      </c>
      <c r="P4233">
        <v>1652</v>
      </c>
      <c r="Q4233" t="s">
        <v>8811</v>
      </c>
    </row>
    <row r="4234" spans="1:17" x14ac:dyDescent="0.3">
      <c r="A4234" t="s">
        <v>4729</v>
      </c>
      <c r="B4234" t="str">
        <f>"300434"</f>
        <v>300434</v>
      </c>
      <c r="C4234" t="s">
        <v>8812</v>
      </c>
      <c r="D4234" t="s">
        <v>143</v>
      </c>
      <c r="F4234">
        <v>62172651</v>
      </c>
      <c r="G4234">
        <v>38627337</v>
      </c>
      <c r="H4234">
        <v>50942966</v>
      </c>
      <c r="I4234">
        <v>37398493</v>
      </c>
      <c r="J4234">
        <v>40486735</v>
      </c>
      <c r="K4234">
        <v>22384006</v>
      </c>
      <c r="L4234">
        <v>10576776</v>
      </c>
      <c r="M4234">
        <v>12801916</v>
      </c>
      <c r="N4234">
        <v>11407279</v>
      </c>
      <c r="O4234">
        <v>9453026</v>
      </c>
      <c r="P4234">
        <v>96</v>
      </c>
      <c r="Q4234" t="s">
        <v>8813</v>
      </c>
    </row>
    <row r="4235" spans="1:17" x14ac:dyDescent="0.3">
      <c r="A4235" t="s">
        <v>4729</v>
      </c>
      <c r="B4235" t="str">
        <f>"300435"</f>
        <v>300435</v>
      </c>
      <c r="C4235" t="s">
        <v>8814</v>
      </c>
      <c r="D4235" t="s">
        <v>749</v>
      </c>
      <c r="F4235">
        <v>467397360</v>
      </c>
      <c r="G4235">
        <v>515494326</v>
      </c>
      <c r="H4235">
        <v>532686427</v>
      </c>
      <c r="I4235">
        <v>313854945</v>
      </c>
      <c r="J4235">
        <v>351710875</v>
      </c>
      <c r="K4235">
        <v>275385678</v>
      </c>
      <c r="L4235">
        <v>236904411</v>
      </c>
      <c r="M4235">
        <v>141862051</v>
      </c>
      <c r="N4235">
        <v>110981810</v>
      </c>
      <c r="O4235">
        <v>102477612</v>
      </c>
      <c r="P4235">
        <v>111</v>
      </c>
      <c r="Q4235" t="s">
        <v>8815</v>
      </c>
    </row>
    <row r="4236" spans="1:17" x14ac:dyDescent="0.3">
      <c r="A4236" t="s">
        <v>4729</v>
      </c>
      <c r="B4236" t="str">
        <f>"300436"</f>
        <v>300436</v>
      </c>
      <c r="C4236" t="s">
        <v>8816</v>
      </c>
      <c r="D4236" t="s">
        <v>143</v>
      </c>
      <c r="F4236">
        <v>51680871</v>
      </c>
      <c r="G4236">
        <v>46209751</v>
      </c>
      <c r="H4236">
        <v>50289922</v>
      </c>
      <c r="I4236">
        <v>62711089</v>
      </c>
      <c r="J4236">
        <v>31749968</v>
      </c>
      <c r="K4236">
        <v>20011107</v>
      </c>
      <c r="L4236">
        <v>8414224</v>
      </c>
      <c r="M4236">
        <v>5540976</v>
      </c>
      <c r="N4236">
        <v>3354874</v>
      </c>
      <c r="O4236">
        <v>1366949</v>
      </c>
      <c r="P4236">
        <v>135</v>
      </c>
      <c r="Q4236" t="s">
        <v>8817</v>
      </c>
    </row>
    <row r="4237" spans="1:17" x14ac:dyDescent="0.3">
      <c r="A4237" t="s">
        <v>4729</v>
      </c>
      <c r="B4237" t="str">
        <f>"300437"</f>
        <v>300437</v>
      </c>
      <c r="C4237" t="s">
        <v>8818</v>
      </c>
      <c r="D4237" t="s">
        <v>33</v>
      </c>
      <c r="F4237">
        <v>338273140</v>
      </c>
      <c r="G4237">
        <v>629065017</v>
      </c>
      <c r="H4237">
        <v>810454710</v>
      </c>
      <c r="I4237">
        <v>875122380</v>
      </c>
      <c r="J4237">
        <v>775570945</v>
      </c>
      <c r="K4237">
        <v>100917579</v>
      </c>
      <c r="L4237">
        <v>53688612</v>
      </c>
      <c r="M4237">
        <v>32948484</v>
      </c>
      <c r="N4237">
        <v>32242931</v>
      </c>
      <c r="O4237">
        <v>37650930</v>
      </c>
      <c r="P4237">
        <v>143</v>
      </c>
      <c r="Q4237" t="s">
        <v>8819</v>
      </c>
    </row>
    <row r="4238" spans="1:17" x14ac:dyDescent="0.3">
      <c r="A4238" t="s">
        <v>4729</v>
      </c>
      <c r="B4238" t="str">
        <f>"300438"</f>
        <v>300438</v>
      </c>
      <c r="C4238" t="s">
        <v>8820</v>
      </c>
      <c r="D4238" t="s">
        <v>359</v>
      </c>
      <c r="F4238">
        <v>1718681679</v>
      </c>
      <c r="G4238">
        <v>1735346670</v>
      </c>
      <c r="H4238">
        <v>1515543566</v>
      </c>
      <c r="I4238">
        <v>1551812046</v>
      </c>
      <c r="J4238">
        <v>1165934778</v>
      </c>
      <c r="K4238">
        <v>679192610</v>
      </c>
      <c r="L4238">
        <v>407469779</v>
      </c>
      <c r="M4238">
        <v>256941844</v>
      </c>
      <c r="N4238">
        <v>192157726</v>
      </c>
      <c r="O4238">
        <v>187346516</v>
      </c>
      <c r="P4238">
        <v>394</v>
      </c>
      <c r="Q4238" t="s">
        <v>8821</v>
      </c>
    </row>
    <row r="4239" spans="1:17" x14ac:dyDescent="0.3">
      <c r="A4239" t="s">
        <v>4729</v>
      </c>
      <c r="B4239" t="str">
        <f>"300439"</f>
        <v>300439</v>
      </c>
      <c r="C4239" t="s">
        <v>8822</v>
      </c>
      <c r="D4239" t="s">
        <v>1305</v>
      </c>
      <c r="F4239">
        <v>810810194</v>
      </c>
      <c r="G4239">
        <v>856063913</v>
      </c>
      <c r="H4239">
        <v>1076672780</v>
      </c>
      <c r="I4239">
        <v>1305469275</v>
      </c>
      <c r="J4239">
        <v>757968640</v>
      </c>
      <c r="K4239">
        <v>345349644</v>
      </c>
      <c r="L4239">
        <v>202581398</v>
      </c>
      <c r="M4239">
        <v>185389869</v>
      </c>
      <c r="N4239">
        <v>141472761</v>
      </c>
      <c r="O4239">
        <v>95836935</v>
      </c>
      <c r="P4239">
        <v>209</v>
      </c>
      <c r="Q4239" t="s">
        <v>8823</v>
      </c>
    </row>
    <row r="4240" spans="1:17" x14ac:dyDescent="0.3">
      <c r="A4240" t="s">
        <v>4729</v>
      </c>
      <c r="B4240" t="str">
        <f>"300440"</f>
        <v>300440</v>
      </c>
      <c r="C4240" t="s">
        <v>8824</v>
      </c>
      <c r="D4240" t="s">
        <v>316</v>
      </c>
      <c r="F4240">
        <v>943514273</v>
      </c>
      <c r="G4240">
        <v>630548794</v>
      </c>
      <c r="H4240">
        <v>577774465</v>
      </c>
      <c r="I4240">
        <v>653458111</v>
      </c>
      <c r="J4240">
        <v>564095604</v>
      </c>
      <c r="K4240">
        <v>562026448</v>
      </c>
      <c r="L4240">
        <v>375600051</v>
      </c>
      <c r="M4240">
        <v>338204887</v>
      </c>
      <c r="N4240">
        <v>363965845</v>
      </c>
      <c r="O4240">
        <v>268718763</v>
      </c>
      <c r="P4240">
        <v>151</v>
      </c>
      <c r="Q4240" t="s">
        <v>8825</v>
      </c>
    </row>
    <row r="4241" spans="1:17" x14ac:dyDescent="0.3">
      <c r="A4241" t="s">
        <v>4729</v>
      </c>
      <c r="B4241" t="str">
        <f>"300441"</f>
        <v>300441</v>
      </c>
      <c r="C4241" t="s">
        <v>8826</v>
      </c>
      <c r="D4241" t="s">
        <v>560</v>
      </c>
      <c r="F4241">
        <v>416350170</v>
      </c>
      <c r="G4241">
        <v>454564319</v>
      </c>
      <c r="H4241">
        <v>351711213</v>
      </c>
      <c r="I4241">
        <v>322313546</v>
      </c>
      <c r="J4241">
        <v>246883959</v>
      </c>
      <c r="K4241">
        <v>158944886</v>
      </c>
      <c r="L4241">
        <v>61203122</v>
      </c>
      <c r="M4241">
        <v>47386231</v>
      </c>
      <c r="N4241">
        <v>25475379</v>
      </c>
      <c r="O4241">
        <v>17114333</v>
      </c>
      <c r="P4241">
        <v>96</v>
      </c>
      <c r="Q4241" t="s">
        <v>8827</v>
      </c>
    </row>
    <row r="4242" spans="1:17" x14ac:dyDescent="0.3">
      <c r="A4242" t="s">
        <v>4729</v>
      </c>
      <c r="B4242" t="str">
        <f>"300442"</f>
        <v>300442</v>
      </c>
      <c r="C4242" t="s">
        <v>8828</v>
      </c>
      <c r="D4242" t="s">
        <v>3415</v>
      </c>
      <c r="F4242">
        <v>236230835</v>
      </c>
      <c r="G4242">
        <v>208389166</v>
      </c>
      <c r="H4242">
        <v>310624460</v>
      </c>
      <c r="I4242">
        <v>321939485</v>
      </c>
      <c r="J4242">
        <v>374593271</v>
      </c>
      <c r="K4242">
        <v>341094943</v>
      </c>
      <c r="L4242">
        <v>291249682</v>
      </c>
      <c r="M4242">
        <v>198085512</v>
      </c>
      <c r="N4242">
        <v>129135639</v>
      </c>
      <c r="O4242">
        <v>126008971</v>
      </c>
      <c r="P4242">
        <v>66</v>
      </c>
      <c r="Q4242" t="s">
        <v>8829</v>
      </c>
    </row>
    <row r="4243" spans="1:17" x14ac:dyDescent="0.3">
      <c r="A4243" t="s">
        <v>4729</v>
      </c>
      <c r="B4243" t="str">
        <f>"300443"</f>
        <v>300443</v>
      </c>
      <c r="C4243" t="s">
        <v>8830</v>
      </c>
      <c r="D4243" t="s">
        <v>950</v>
      </c>
      <c r="F4243">
        <v>518084222</v>
      </c>
      <c r="G4243">
        <v>452503806</v>
      </c>
      <c r="H4243">
        <v>387467521</v>
      </c>
      <c r="I4243">
        <v>349404637</v>
      </c>
      <c r="J4243">
        <v>171227525</v>
      </c>
      <c r="K4243">
        <v>270412225</v>
      </c>
      <c r="L4243">
        <v>186350762</v>
      </c>
      <c r="M4243">
        <v>166968335</v>
      </c>
      <c r="N4243">
        <v>140136203</v>
      </c>
      <c r="O4243">
        <v>118357783</v>
      </c>
      <c r="P4243">
        <v>357</v>
      </c>
      <c r="Q4243" t="s">
        <v>8831</v>
      </c>
    </row>
    <row r="4244" spans="1:17" x14ac:dyDescent="0.3">
      <c r="A4244" t="s">
        <v>4729</v>
      </c>
      <c r="B4244" t="str">
        <f>"300444"</f>
        <v>300444</v>
      </c>
      <c r="C4244" t="s">
        <v>8832</v>
      </c>
      <c r="D4244" t="s">
        <v>210</v>
      </c>
      <c r="F4244">
        <v>801287819</v>
      </c>
      <c r="G4244">
        <v>851262581</v>
      </c>
      <c r="H4244">
        <v>1050172991</v>
      </c>
      <c r="I4244">
        <v>1279017443</v>
      </c>
      <c r="J4244">
        <v>1072879805</v>
      </c>
      <c r="K4244">
        <v>753597149</v>
      </c>
      <c r="L4244">
        <v>465249965</v>
      </c>
      <c r="M4244">
        <v>325495198</v>
      </c>
      <c r="N4244">
        <v>238469834</v>
      </c>
      <c r="O4244">
        <v>227288635</v>
      </c>
      <c r="P4244">
        <v>101</v>
      </c>
      <c r="Q4244" t="s">
        <v>8833</v>
      </c>
    </row>
    <row r="4245" spans="1:17" x14ac:dyDescent="0.3">
      <c r="A4245" t="s">
        <v>4729</v>
      </c>
      <c r="B4245" t="str">
        <f>"300445"</f>
        <v>300445</v>
      </c>
      <c r="C4245" t="s">
        <v>8834</v>
      </c>
      <c r="D4245" t="s">
        <v>2566</v>
      </c>
      <c r="F4245">
        <v>69188601</v>
      </c>
      <c r="G4245">
        <v>59853099</v>
      </c>
      <c r="H4245">
        <v>59621336</v>
      </c>
      <c r="I4245">
        <v>50379749</v>
      </c>
      <c r="J4245">
        <v>45374925</v>
      </c>
      <c r="K4245">
        <v>40596279</v>
      </c>
      <c r="L4245">
        <v>30883204</v>
      </c>
      <c r="M4245">
        <v>36028365</v>
      </c>
      <c r="N4245">
        <v>30717637</v>
      </c>
      <c r="O4245">
        <v>29300445</v>
      </c>
      <c r="P4245">
        <v>169</v>
      </c>
      <c r="Q4245" t="s">
        <v>8835</v>
      </c>
    </row>
    <row r="4246" spans="1:17" x14ac:dyDescent="0.3">
      <c r="A4246" t="s">
        <v>4729</v>
      </c>
      <c r="B4246" t="str">
        <f>"300446"</f>
        <v>300446</v>
      </c>
      <c r="C4246" t="s">
        <v>8836</v>
      </c>
      <c r="D4246" t="s">
        <v>2408</v>
      </c>
      <c r="F4246">
        <v>24906972</v>
      </c>
      <c r="G4246">
        <v>28059051</v>
      </c>
      <c r="H4246">
        <v>80811292</v>
      </c>
      <c r="I4246">
        <v>67949430</v>
      </c>
      <c r="J4246">
        <v>71627200</v>
      </c>
      <c r="K4246">
        <v>72571113</v>
      </c>
      <c r="L4246">
        <v>65953937</v>
      </c>
      <c r="M4246">
        <v>48148667</v>
      </c>
      <c r="N4246">
        <v>52459893</v>
      </c>
      <c r="O4246">
        <v>39186137</v>
      </c>
      <c r="P4246">
        <v>980</v>
      </c>
      <c r="Q4246" t="s">
        <v>8837</v>
      </c>
    </row>
    <row r="4247" spans="1:17" x14ac:dyDescent="0.3">
      <c r="A4247" t="s">
        <v>4729</v>
      </c>
      <c r="B4247" t="str">
        <f>"300447"</f>
        <v>300447</v>
      </c>
      <c r="C4247" t="s">
        <v>8838</v>
      </c>
      <c r="D4247" t="s">
        <v>1136</v>
      </c>
      <c r="F4247">
        <v>421768148</v>
      </c>
      <c r="G4247">
        <v>323918250</v>
      </c>
      <c r="H4247">
        <v>400852145</v>
      </c>
      <c r="I4247">
        <v>331187723</v>
      </c>
      <c r="J4247">
        <v>287316713</v>
      </c>
      <c r="K4247">
        <v>156694457</v>
      </c>
      <c r="L4247">
        <v>63245919</v>
      </c>
      <c r="M4247">
        <v>60889618</v>
      </c>
      <c r="N4247">
        <v>63852009</v>
      </c>
      <c r="O4247">
        <v>58298182</v>
      </c>
      <c r="P4247">
        <v>119</v>
      </c>
      <c r="Q4247" t="s">
        <v>8839</v>
      </c>
    </row>
    <row r="4248" spans="1:17" x14ac:dyDescent="0.3">
      <c r="A4248" t="s">
        <v>4729</v>
      </c>
      <c r="B4248" t="str">
        <f>"300448"</f>
        <v>300448</v>
      </c>
      <c r="C4248" t="s">
        <v>8840</v>
      </c>
      <c r="D4248" t="s">
        <v>316</v>
      </c>
      <c r="F4248">
        <v>301194066</v>
      </c>
      <c r="G4248">
        <v>279517963</v>
      </c>
      <c r="H4248">
        <v>393767717</v>
      </c>
      <c r="I4248">
        <v>320263778</v>
      </c>
      <c r="J4248">
        <v>240173913</v>
      </c>
      <c r="K4248">
        <v>214039296</v>
      </c>
      <c r="L4248">
        <v>122928430</v>
      </c>
      <c r="M4248">
        <v>87439966</v>
      </c>
      <c r="N4248">
        <v>53770911</v>
      </c>
      <c r="O4248">
        <v>51279120</v>
      </c>
      <c r="P4248">
        <v>157</v>
      </c>
      <c r="Q4248" t="s">
        <v>8841</v>
      </c>
    </row>
    <row r="4249" spans="1:17" x14ac:dyDescent="0.3">
      <c r="A4249" t="s">
        <v>4729</v>
      </c>
      <c r="B4249" t="str">
        <f>"300449"</f>
        <v>300449</v>
      </c>
      <c r="C4249" t="s">
        <v>8842</v>
      </c>
      <c r="D4249" t="s">
        <v>2980</v>
      </c>
      <c r="F4249">
        <v>201347193</v>
      </c>
      <c r="G4249">
        <v>338519039</v>
      </c>
      <c r="H4249">
        <v>605668453</v>
      </c>
      <c r="I4249">
        <v>729699133</v>
      </c>
      <c r="J4249">
        <v>700914629</v>
      </c>
      <c r="K4249">
        <v>440400124</v>
      </c>
      <c r="L4249">
        <v>358094295</v>
      </c>
      <c r="M4249">
        <v>263909479</v>
      </c>
      <c r="N4249">
        <v>211906215</v>
      </c>
      <c r="O4249">
        <v>142830430</v>
      </c>
      <c r="P4249">
        <v>85</v>
      </c>
      <c r="Q4249" t="s">
        <v>8843</v>
      </c>
    </row>
    <row r="4250" spans="1:17" x14ac:dyDescent="0.3">
      <c r="A4250" t="s">
        <v>4729</v>
      </c>
      <c r="B4250" t="str">
        <f>"300450"</f>
        <v>300450</v>
      </c>
      <c r="C4250" t="s">
        <v>8844</v>
      </c>
      <c r="D4250" t="s">
        <v>3776</v>
      </c>
      <c r="F4250">
        <v>4059639682</v>
      </c>
      <c r="G4250">
        <v>2709034762</v>
      </c>
      <c r="H4250">
        <v>1799657083</v>
      </c>
      <c r="I4250">
        <v>709905660</v>
      </c>
      <c r="J4250">
        <v>896756918</v>
      </c>
      <c r="K4250">
        <v>185680981</v>
      </c>
      <c r="L4250">
        <v>144050685</v>
      </c>
      <c r="M4250">
        <v>93012442</v>
      </c>
      <c r="N4250">
        <v>89444771</v>
      </c>
      <c r="O4250">
        <v>62668395</v>
      </c>
      <c r="P4250">
        <v>9753</v>
      </c>
      <c r="Q4250" t="s">
        <v>8845</v>
      </c>
    </row>
    <row r="4251" spans="1:17" x14ac:dyDescent="0.3">
      <c r="A4251" t="s">
        <v>4729</v>
      </c>
      <c r="B4251" t="str">
        <f>"300451"</f>
        <v>300451</v>
      </c>
      <c r="C4251" t="s">
        <v>8846</v>
      </c>
      <c r="D4251" t="s">
        <v>945</v>
      </c>
      <c r="F4251">
        <v>1250852813</v>
      </c>
      <c r="G4251">
        <v>845393505</v>
      </c>
      <c r="H4251">
        <v>870613174</v>
      </c>
      <c r="I4251">
        <v>579520829</v>
      </c>
      <c r="J4251">
        <v>447674875</v>
      </c>
      <c r="K4251">
        <v>312970867</v>
      </c>
      <c r="L4251">
        <v>223301821</v>
      </c>
      <c r="M4251">
        <v>180464420</v>
      </c>
      <c r="N4251">
        <v>177198573</v>
      </c>
      <c r="O4251">
        <v>138564144</v>
      </c>
      <c r="P4251">
        <v>351</v>
      </c>
      <c r="Q4251" t="s">
        <v>8847</v>
      </c>
    </row>
    <row r="4252" spans="1:17" x14ac:dyDescent="0.3">
      <c r="A4252" t="s">
        <v>4729</v>
      </c>
      <c r="B4252" t="str">
        <f>"300452"</f>
        <v>300452</v>
      </c>
      <c r="C4252" t="s">
        <v>8848</v>
      </c>
      <c r="D4252" t="s">
        <v>496</v>
      </c>
      <c r="F4252">
        <v>57691414</v>
      </c>
      <c r="G4252">
        <v>43658451</v>
      </c>
      <c r="H4252">
        <v>41079527</v>
      </c>
      <c r="I4252">
        <v>39153768</v>
      </c>
      <c r="J4252">
        <v>35063183</v>
      </c>
      <c r="K4252">
        <v>26733679</v>
      </c>
      <c r="L4252">
        <v>22973377</v>
      </c>
      <c r="M4252">
        <v>16828362</v>
      </c>
      <c r="N4252">
        <v>13731241</v>
      </c>
      <c r="O4252">
        <v>12529416</v>
      </c>
      <c r="P4252">
        <v>300</v>
      </c>
      <c r="Q4252" t="s">
        <v>8849</v>
      </c>
    </row>
    <row r="4253" spans="1:17" x14ac:dyDescent="0.3">
      <c r="A4253" t="s">
        <v>4729</v>
      </c>
      <c r="B4253" t="str">
        <f>"300453"</f>
        <v>300453</v>
      </c>
      <c r="C4253" t="s">
        <v>8850</v>
      </c>
      <c r="D4253" t="s">
        <v>1077</v>
      </c>
      <c r="F4253">
        <v>97343390</v>
      </c>
      <c r="G4253">
        <v>93967508</v>
      </c>
      <c r="H4253">
        <v>119766584</v>
      </c>
      <c r="I4253">
        <v>72819064</v>
      </c>
      <c r="J4253">
        <v>61444186</v>
      </c>
      <c r="K4253">
        <v>59958919</v>
      </c>
      <c r="L4253">
        <v>71988149</v>
      </c>
      <c r="M4253">
        <v>73777743</v>
      </c>
      <c r="N4253">
        <v>61249388</v>
      </c>
      <c r="O4253">
        <v>34195315</v>
      </c>
      <c r="P4253">
        <v>226</v>
      </c>
      <c r="Q4253" t="s">
        <v>8851</v>
      </c>
    </row>
    <row r="4254" spans="1:17" x14ac:dyDescent="0.3">
      <c r="A4254" t="s">
        <v>4729</v>
      </c>
      <c r="B4254" t="str">
        <f>"300454"</f>
        <v>300454</v>
      </c>
      <c r="C4254" t="s">
        <v>8852</v>
      </c>
      <c r="D4254" t="s">
        <v>1189</v>
      </c>
      <c r="F4254">
        <v>548389571</v>
      </c>
      <c r="G4254">
        <v>493566863</v>
      </c>
      <c r="H4254">
        <v>393988168</v>
      </c>
      <c r="I4254">
        <v>301782511</v>
      </c>
      <c r="J4254">
        <v>246789147</v>
      </c>
      <c r="K4254">
        <v>143969005</v>
      </c>
      <c r="L4254">
        <v>128385386</v>
      </c>
      <c r="P4254">
        <v>799</v>
      </c>
      <c r="Q4254" t="s">
        <v>8853</v>
      </c>
    </row>
    <row r="4255" spans="1:17" x14ac:dyDescent="0.3">
      <c r="A4255" t="s">
        <v>4729</v>
      </c>
      <c r="B4255" t="str">
        <f>"300455"</f>
        <v>300455</v>
      </c>
      <c r="C4255" t="s">
        <v>8854</v>
      </c>
      <c r="D4255" t="s">
        <v>236</v>
      </c>
      <c r="F4255">
        <v>705127755</v>
      </c>
      <c r="G4255">
        <v>596117506</v>
      </c>
      <c r="H4255">
        <v>518851113</v>
      </c>
      <c r="I4255">
        <v>330133645</v>
      </c>
      <c r="J4255">
        <v>256201438</v>
      </c>
      <c r="K4255">
        <v>275983906</v>
      </c>
      <c r="L4255">
        <v>212323836</v>
      </c>
      <c r="M4255">
        <v>172634280</v>
      </c>
      <c r="N4255">
        <v>221337559</v>
      </c>
      <c r="O4255">
        <v>202603656</v>
      </c>
      <c r="P4255">
        <v>137</v>
      </c>
      <c r="Q4255" t="s">
        <v>8855</v>
      </c>
    </row>
    <row r="4256" spans="1:17" x14ac:dyDescent="0.3">
      <c r="A4256" t="s">
        <v>4729</v>
      </c>
      <c r="B4256" t="str">
        <f>"300456"</f>
        <v>300456</v>
      </c>
      <c r="C4256" t="s">
        <v>8856</v>
      </c>
      <c r="D4256" t="s">
        <v>4332</v>
      </c>
      <c r="F4256">
        <v>180727656</v>
      </c>
      <c r="G4256">
        <v>282152386</v>
      </c>
      <c r="H4256">
        <v>359852775</v>
      </c>
      <c r="I4256">
        <v>421216431</v>
      </c>
      <c r="J4256">
        <v>355812725</v>
      </c>
      <c r="K4256">
        <v>270586351</v>
      </c>
      <c r="L4256">
        <v>123759791</v>
      </c>
      <c r="M4256">
        <v>114958365</v>
      </c>
      <c r="N4256">
        <v>154895491</v>
      </c>
      <c r="O4256">
        <v>88365826</v>
      </c>
      <c r="P4256">
        <v>376</v>
      </c>
      <c r="Q4256" t="s">
        <v>8857</v>
      </c>
    </row>
    <row r="4257" spans="1:17" x14ac:dyDescent="0.3">
      <c r="A4257" t="s">
        <v>4729</v>
      </c>
      <c r="B4257" t="str">
        <f>"300457"</f>
        <v>300457</v>
      </c>
      <c r="C4257" t="s">
        <v>8858</v>
      </c>
      <c r="D4257" t="s">
        <v>3776</v>
      </c>
      <c r="F4257">
        <v>2789033389</v>
      </c>
      <c r="G4257">
        <v>1496968405</v>
      </c>
      <c r="H4257">
        <v>1423653665</v>
      </c>
      <c r="I4257">
        <v>1273797473</v>
      </c>
      <c r="J4257">
        <v>778189761</v>
      </c>
      <c r="K4257">
        <v>386781826</v>
      </c>
      <c r="L4257">
        <v>143353768</v>
      </c>
      <c r="M4257">
        <v>70038753</v>
      </c>
      <c r="N4257">
        <v>58171496</v>
      </c>
      <c r="O4257">
        <v>54117991</v>
      </c>
      <c r="P4257">
        <v>359</v>
      </c>
      <c r="Q4257" t="s">
        <v>8859</v>
      </c>
    </row>
    <row r="4258" spans="1:17" x14ac:dyDescent="0.3">
      <c r="A4258" t="s">
        <v>4729</v>
      </c>
      <c r="B4258" t="str">
        <f>"300458"</f>
        <v>300458</v>
      </c>
      <c r="C4258" t="s">
        <v>8860</v>
      </c>
      <c r="D4258" t="s">
        <v>461</v>
      </c>
      <c r="F4258">
        <v>22709941</v>
      </c>
      <c r="G4258">
        <v>32373573</v>
      </c>
      <c r="H4258">
        <v>35422743</v>
      </c>
      <c r="I4258">
        <v>45873809</v>
      </c>
      <c r="J4258">
        <v>59357337</v>
      </c>
      <c r="K4258">
        <v>108370678</v>
      </c>
      <c r="L4258">
        <v>14722641</v>
      </c>
      <c r="M4258">
        <v>2267801</v>
      </c>
      <c r="N4258">
        <v>5841202</v>
      </c>
      <c r="O4258">
        <v>3298125</v>
      </c>
      <c r="P4258">
        <v>561</v>
      </c>
      <c r="Q4258" t="s">
        <v>8861</v>
      </c>
    </row>
    <row r="4259" spans="1:17" x14ac:dyDescent="0.3">
      <c r="A4259" t="s">
        <v>4729</v>
      </c>
      <c r="B4259" t="str">
        <f>"300459"</f>
        <v>300459</v>
      </c>
      <c r="C4259" t="s">
        <v>8862</v>
      </c>
      <c r="D4259" t="s">
        <v>517</v>
      </c>
      <c r="F4259">
        <v>207910190</v>
      </c>
      <c r="G4259">
        <v>216708116</v>
      </c>
      <c r="H4259">
        <v>355291613</v>
      </c>
      <c r="I4259">
        <v>1105430817</v>
      </c>
      <c r="J4259">
        <v>608208194</v>
      </c>
      <c r="K4259">
        <v>270936519</v>
      </c>
      <c r="L4259">
        <v>94698626</v>
      </c>
      <c r="M4259">
        <v>77529458</v>
      </c>
      <c r="N4259">
        <v>78387958</v>
      </c>
      <c r="O4259">
        <v>58265743</v>
      </c>
      <c r="P4259">
        <v>287</v>
      </c>
      <c r="Q4259" t="s">
        <v>8863</v>
      </c>
    </row>
    <row r="4260" spans="1:17" x14ac:dyDescent="0.3">
      <c r="A4260" t="s">
        <v>4729</v>
      </c>
      <c r="B4260" t="str">
        <f>"300460"</f>
        <v>300460</v>
      </c>
      <c r="C4260" t="s">
        <v>8864</v>
      </c>
      <c r="D4260" t="s">
        <v>546</v>
      </c>
      <c r="F4260">
        <v>182291657</v>
      </c>
      <c r="G4260">
        <v>165042601</v>
      </c>
      <c r="H4260">
        <v>194720680</v>
      </c>
      <c r="I4260">
        <v>130868193</v>
      </c>
      <c r="J4260">
        <v>144404472</v>
      </c>
      <c r="K4260">
        <v>152034662</v>
      </c>
      <c r="L4260">
        <v>140428225</v>
      </c>
      <c r="M4260">
        <v>103750540</v>
      </c>
      <c r="N4260">
        <v>106130605</v>
      </c>
      <c r="O4260">
        <v>88576617</v>
      </c>
      <c r="P4260">
        <v>154</v>
      </c>
      <c r="Q4260" t="s">
        <v>8865</v>
      </c>
    </row>
    <row r="4261" spans="1:17" x14ac:dyDescent="0.3">
      <c r="A4261" t="s">
        <v>4729</v>
      </c>
      <c r="B4261" t="str">
        <f>"300461"</f>
        <v>300461</v>
      </c>
      <c r="C4261" t="s">
        <v>8866</v>
      </c>
      <c r="D4261" t="s">
        <v>3477</v>
      </c>
      <c r="F4261">
        <v>146974815</v>
      </c>
      <c r="G4261">
        <v>127645973</v>
      </c>
      <c r="H4261">
        <v>85993992</v>
      </c>
      <c r="I4261">
        <v>387874861</v>
      </c>
      <c r="J4261">
        <v>330715804</v>
      </c>
      <c r="K4261">
        <v>255376632</v>
      </c>
      <c r="L4261">
        <v>30674684</v>
      </c>
      <c r="M4261">
        <v>27133095</v>
      </c>
      <c r="N4261">
        <v>46491752</v>
      </c>
      <c r="O4261">
        <v>38318937</v>
      </c>
      <c r="P4261">
        <v>153</v>
      </c>
      <c r="Q4261" t="s">
        <v>8867</v>
      </c>
    </row>
    <row r="4262" spans="1:17" x14ac:dyDescent="0.3">
      <c r="A4262" t="s">
        <v>4729</v>
      </c>
      <c r="B4262" t="str">
        <f>"300462"</f>
        <v>300462</v>
      </c>
      <c r="C4262" t="s">
        <v>8868</v>
      </c>
      <c r="D4262" t="s">
        <v>236</v>
      </c>
      <c r="F4262">
        <v>659053900</v>
      </c>
      <c r="G4262">
        <v>807281059</v>
      </c>
      <c r="H4262">
        <v>1001533391</v>
      </c>
      <c r="I4262">
        <v>202456421</v>
      </c>
      <c r="J4262">
        <v>192452200</v>
      </c>
      <c r="K4262">
        <v>154221406</v>
      </c>
      <c r="L4262">
        <v>152796538</v>
      </c>
      <c r="M4262">
        <v>103493144</v>
      </c>
      <c r="N4262">
        <v>93944029</v>
      </c>
      <c r="O4262">
        <v>75195806</v>
      </c>
      <c r="P4262">
        <v>176</v>
      </c>
      <c r="Q4262" t="s">
        <v>8869</v>
      </c>
    </row>
    <row r="4263" spans="1:17" x14ac:dyDescent="0.3">
      <c r="A4263" t="s">
        <v>4729</v>
      </c>
      <c r="B4263" t="str">
        <f>"300463"</f>
        <v>300463</v>
      </c>
      <c r="C4263" t="s">
        <v>8870</v>
      </c>
      <c r="D4263" t="s">
        <v>1305</v>
      </c>
      <c r="F4263">
        <v>1882027692</v>
      </c>
      <c r="G4263">
        <v>2020529599</v>
      </c>
      <c r="H4263">
        <v>1919773391</v>
      </c>
      <c r="I4263">
        <v>1478932477</v>
      </c>
      <c r="J4263">
        <v>1125669939</v>
      </c>
      <c r="K4263">
        <v>790036392</v>
      </c>
      <c r="L4263">
        <v>579055564</v>
      </c>
      <c r="M4263">
        <v>387850835</v>
      </c>
      <c r="N4263">
        <v>231936516</v>
      </c>
      <c r="O4263">
        <v>149639873</v>
      </c>
      <c r="P4263">
        <v>1101</v>
      </c>
      <c r="Q4263" t="s">
        <v>8871</v>
      </c>
    </row>
    <row r="4264" spans="1:17" x14ac:dyDescent="0.3">
      <c r="A4264" t="s">
        <v>4729</v>
      </c>
      <c r="B4264" t="str">
        <f>"300464"</f>
        <v>300464</v>
      </c>
      <c r="C4264" t="s">
        <v>8872</v>
      </c>
      <c r="D4264" t="s">
        <v>2020</v>
      </c>
      <c r="F4264">
        <v>395154622</v>
      </c>
      <c r="G4264">
        <v>755995889</v>
      </c>
      <c r="H4264">
        <v>487029266</v>
      </c>
      <c r="I4264">
        <v>306178295</v>
      </c>
      <c r="J4264">
        <v>137928317</v>
      </c>
      <c r="K4264">
        <v>102279550</v>
      </c>
      <c r="L4264">
        <v>117069210</v>
      </c>
      <c r="M4264">
        <v>96698342</v>
      </c>
      <c r="N4264">
        <v>81310055</v>
      </c>
      <c r="O4264">
        <v>71649554</v>
      </c>
      <c r="P4264">
        <v>121</v>
      </c>
      <c r="Q4264" t="s">
        <v>8873</v>
      </c>
    </row>
    <row r="4265" spans="1:17" x14ac:dyDescent="0.3">
      <c r="A4265" t="s">
        <v>4729</v>
      </c>
      <c r="B4265" t="str">
        <f>"300465"</f>
        <v>300465</v>
      </c>
      <c r="C4265" t="s">
        <v>8874</v>
      </c>
      <c r="D4265" t="s">
        <v>945</v>
      </c>
      <c r="F4265">
        <v>391779063</v>
      </c>
      <c r="G4265">
        <v>363796975</v>
      </c>
      <c r="H4265">
        <v>588035061</v>
      </c>
      <c r="I4265">
        <v>536114993</v>
      </c>
      <c r="J4265">
        <v>548585372</v>
      </c>
      <c r="K4265">
        <v>391703501</v>
      </c>
      <c r="L4265">
        <v>275433209</v>
      </c>
      <c r="M4265">
        <v>263488838</v>
      </c>
      <c r="N4265">
        <v>234230073</v>
      </c>
      <c r="O4265">
        <v>171052190</v>
      </c>
      <c r="P4265">
        <v>252</v>
      </c>
      <c r="Q4265" t="s">
        <v>8875</v>
      </c>
    </row>
    <row r="4266" spans="1:17" x14ac:dyDescent="0.3">
      <c r="A4266" t="s">
        <v>4729</v>
      </c>
      <c r="B4266" t="str">
        <f>"300466"</f>
        <v>300466</v>
      </c>
      <c r="C4266" t="s">
        <v>8876</v>
      </c>
      <c r="D4266" t="s">
        <v>2180</v>
      </c>
      <c r="F4266">
        <v>432300502</v>
      </c>
      <c r="G4266">
        <v>409761566</v>
      </c>
      <c r="H4266">
        <v>371137841</v>
      </c>
      <c r="I4266">
        <v>415881769</v>
      </c>
      <c r="J4266">
        <v>454983307</v>
      </c>
      <c r="K4266">
        <v>398867152</v>
      </c>
      <c r="L4266">
        <v>262356628</v>
      </c>
      <c r="M4266">
        <v>222892097</v>
      </c>
      <c r="N4266">
        <v>176890045</v>
      </c>
      <c r="O4266">
        <v>131682539</v>
      </c>
      <c r="P4266">
        <v>121</v>
      </c>
      <c r="Q4266" t="s">
        <v>8877</v>
      </c>
    </row>
    <row r="4267" spans="1:17" x14ac:dyDescent="0.3">
      <c r="A4267" t="s">
        <v>4729</v>
      </c>
      <c r="B4267" t="str">
        <f>"300467"</f>
        <v>300467</v>
      </c>
      <c r="C4267" t="s">
        <v>8878</v>
      </c>
      <c r="D4267" t="s">
        <v>517</v>
      </c>
      <c r="F4267">
        <v>18580511</v>
      </c>
      <c r="G4267">
        <v>22084478</v>
      </c>
      <c r="H4267">
        <v>9588622</v>
      </c>
      <c r="I4267">
        <v>61668712</v>
      </c>
      <c r="J4267">
        <v>63630027</v>
      </c>
      <c r="K4267">
        <v>3139731</v>
      </c>
      <c r="L4267">
        <v>3516472</v>
      </c>
      <c r="M4267">
        <v>3230813</v>
      </c>
      <c r="N4267">
        <v>3619146</v>
      </c>
      <c r="O4267">
        <v>7852547</v>
      </c>
      <c r="P4267">
        <v>187</v>
      </c>
      <c r="Q4267" t="s">
        <v>8879</v>
      </c>
    </row>
    <row r="4268" spans="1:17" x14ac:dyDescent="0.3">
      <c r="A4268" t="s">
        <v>4729</v>
      </c>
      <c r="B4268" t="str">
        <f>"300468"</f>
        <v>300468</v>
      </c>
      <c r="C4268" t="s">
        <v>8880</v>
      </c>
      <c r="D4268" t="s">
        <v>945</v>
      </c>
      <c r="F4268">
        <v>231132979</v>
      </c>
      <c r="G4268">
        <v>209616066</v>
      </c>
      <c r="H4268">
        <v>175895621</v>
      </c>
      <c r="I4268">
        <v>193508351</v>
      </c>
      <c r="J4268">
        <v>191749046</v>
      </c>
      <c r="K4268">
        <v>122452753</v>
      </c>
      <c r="L4268">
        <v>84691226</v>
      </c>
      <c r="M4268">
        <v>58618900</v>
      </c>
      <c r="N4268">
        <v>46678074</v>
      </c>
      <c r="O4268">
        <v>45290633</v>
      </c>
      <c r="P4268">
        <v>213</v>
      </c>
      <c r="Q4268" t="s">
        <v>8881</v>
      </c>
    </row>
    <row r="4269" spans="1:17" x14ac:dyDescent="0.3">
      <c r="A4269" t="s">
        <v>4729</v>
      </c>
      <c r="B4269" t="str">
        <f>"300469"</f>
        <v>300469</v>
      </c>
      <c r="C4269" t="s">
        <v>8882</v>
      </c>
      <c r="D4269" t="s">
        <v>945</v>
      </c>
      <c r="F4269">
        <v>265598380</v>
      </c>
      <c r="G4269">
        <v>334874982</v>
      </c>
      <c r="H4269">
        <v>343333080</v>
      </c>
      <c r="I4269">
        <v>354806507</v>
      </c>
      <c r="J4269">
        <v>318647443</v>
      </c>
      <c r="K4269">
        <v>274564175</v>
      </c>
      <c r="L4269">
        <v>188996520</v>
      </c>
      <c r="M4269">
        <v>112692912</v>
      </c>
      <c r="N4269">
        <v>103432991</v>
      </c>
      <c r="O4269">
        <v>61317741</v>
      </c>
      <c r="P4269">
        <v>96</v>
      </c>
      <c r="Q4269" t="s">
        <v>8883</v>
      </c>
    </row>
    <row r="4270" spans="1:17" x14ac:dyDescent="0.3">
      <c r="A4270" t="s">
        <v>4729</v>
      </c>
      <c r="B4270" t="str">
        <f>"300470"</f>
        <v>300470</v>
      </c>
      <c r="C4270" t="s">
        <v>8884</v>
      </c>
      <c r="D4270" t="s">
        <v>560</v>
      </c>
      <c r="F4270">
        <v>497133283</v>
      </c>
      <c r="G4270">
        <v>450339126</v>
      </c>
      <c r="H4270">
        <v>384843199</v>
      </c>
      <c r="I4270">
        <v>329083402</v>
      </c>
      <c r="J4270">
        <v>259660882</v>
      </c>
      <c r="K4270">
        <v>171202408</v>
      </c>
      <c r="L4270">
        <v>151315576</v>
      </c>
      <c r="M4270">
        <v>137709819</v>
      </c>
      <c r="N4270">
        <v>117762027</v>
      </c>
      <c r="O4270">
        <v>99416267</v>
      </c>
      <c r="P4270">
        <v>347</v>
      </c>
      <c r="Q4270" t="s">
        <v>8885</v>
      </c>
    </row>
    <row r="4271" spans="1:17" x14ac:dyDescent="0.3">
      <c r="A4271" t="s">
        <v>4729</v>
      </c>
      <c r="B4271" t="str">
        <f>"300471"</f>
        <v>300471</v>
      </c>
      <c r="C4271" t="s">
        <v>8886</v>
      </c>
      <c r="D4271" t="s">
        <v>741</v>
      </c>
      <c r="F4271">
        <v>241421412</v>
      </c>
      <c r="G4271">
        <v>168254200</v>
      </c>
      <c r="H4271">
        <v>225874438</v>
      </c>
      <c r="I4271">
        <v>373074562</v>
      </c>
      <c r="J4271">
        <v>621144133</v>
      </c>
      <c r="K4271">
        <v>783434851</v>
      </c>
      <c r="L4271">
        <v>399392633</v>
      </c>
      <c r="M4271">
        <v>260462872</v>
      </c>
      <c r="N4271">
        <v>178028805</v>
      </c>
      <c r="O4271">
        <v>137753656</v>
      </c>
      <c r="P4271">
        <v>166</v>
      </c>
      <c r="Q4271" t="s">
        <v>8887</v>
      </c>
    </row>
    <row r="4272" spans="1:17" x14ac:dyDescent="0.3">
      <c r="A4272" t="s">
        <v>4729</v>
      </c>
      <c r="B4272" t="str">
        <f>"300472"</f>
        <v>300472</v>
      </c>
      <c r="C4272" t="s">
        <v>8888</v>
      </c>
      <c r="D4272" t="s">
        <v>741</v>
      </c>
      <c r="F4272">
        <v>582629547</v>
      </c>
      <c r="G4272">
        <v>384831663</v>
      </c>
      <c r="H4272">
        <v>391256091</v>
      </c>
      <c r="I4272">
        <v>374978064</v>
      </c>
      <c r="J4272">
        <v>355149723</v>
      </c>
      <c r="K4272">
        <v>220030500</v>
      </c>
      <c r="L4272">
        <v>142162445</v>
      </c>
      <c r="M4272">
        <v>73434055</v>
      </c>
      <c r="N4272">
        <v>77092538</v>
      </c>
      <c r="O4272">
        <v>56228429</v>
      </c>
      <c r="P4272">
        <v>78</v>
      </c>
      <c r="Q4272" t="s">
        <v>8889</v>
      </c>
    </row>
    <row r="4273" spans="1:17" x14ac:dyDescent="0.3">
      <c r="A4273" t="s">
        <v>4729</v>
      </c>
      <c r="B4273" t="str">
        <f>"300473"</f>
        <v>300473</v>
      </c>
      <c r="C4273" t="s">
        <v>8890</v>
      </c>
      <c r="D4273" t="s">
        <v>985</v>
      </c>
      <c r="F4273">
        <v>663091207</v>
      </c>
      <c r="G4273">
        <v>628600078</v>
      </c>
      <c r="H4273">
        <v>642916317</v>
      </c>
      <c r="I4273">
        <v>680647649</v>
      </c>
      <c r="J4273">
        <v>646039813</v>
      </c>
      <c r="K4273">
        <v>202003278</v>
      </c>
      <c r="L4273">
        <v>145561515</v>
      </c>
      <c r="M4273">
        <v>141998594</v>
      </c>
      <c r="N4273">
        <v>121872421</v>
      </c>
      <c r="O4273">
        <v>123212414</v>
      </c>
      <c r="P4273">
        <v>142</v>
      </c>
      <c r="Q4273" t="s">
        <v>8891</v>
      </c>
    </row>
    <row r="4274" spans="1:17" x14ac:dyDescent="0.3">
      <c r="A4274" t="s">
        <v>4729</v>
      </c>
      <c r="B4274" t="str">
        <f>"300474"</f>
        <v>300474</v>
      </c>
      <c r="C4274" t="s">
        <v>8892</v>
      </c>
      <c r="D4274" t="s">
        <v>1136</v>
      </c>
      <c r="F4274">
        <v>467662839</v>
      </c>
      <c r="G4274">
        <v>387558620</v>
      </c>
      <c r="H4274">
        <v>292646357</v>
      </c>
      <c r="I4274">
        <v>255144395</v>
      </c>
      <c r="J4274">
        <v>194276723</v>
      </c>
      <c r="K4274">
        <v>165066749</v>
      </c>
      <c r="L4274">
        <v>108019443</v>
      </c>
      <c r="M4274">
        <v>108837726</v>
      </c>
      <c r="N4274">
        <v>67621525</v>
      </c>
      <c r="P4274">
        <v>513</v>
      </c>
      <c r="Q4274" t="s">
        <v>8893</v>
      </c>
    </row>
    <row r="4275" spans="1:17" x14ac:dyDescent="0.3">
      <c r="A4275" t="s">
        <v>4729</v>
      </c>
      <c r="B4275" t="str">
        <f>"300475"</f>
        <v>300475</v>
      </c>
      <c r="C4275" t="s">
        <v>8894</v>
      </c>
      <c r="D4275" t="s">
        <v>1253</v>
      </c>
      <c r="F4275">
        <v>420146252</v>
      </c>
      <c r="G4275">
        <v>75474348</v>
      </c>
      <c r="H4275">
        <v>79180637</v>
      </c>
      <c r="I4275">
        <v>69611522</v>
      </c>
      <c r="J4275">
        <v>157975864</v>
      </c>
      <c r="K4275">
        <v>101742518</v>
      </c>
      <c r="L4275">
        <v>78563645</v>
      </c>
      <c r="M4275">
        <v>85600527</v>
      </c>
      <c r="N4275">
        <v>181500041</v>
      </c>
      <c r="O4275">
        <v>134590583</v>
      </c>
      <c r="P4275">
        <v>92</v>
      </c>
      <c r="Q4275" t="s">
        <v>8895</v>
      </c>
    </row>
    <row r="4276" spans="1:17" x14ac:dyDescent="0.3">
      <c r="A4276" t="s">
        <v>4729</v>
      </c>
      <c r="B4276" t="str">
        <f>"300476"</f>
        <v>300476</v>
      </c>
      <c r="C4276" t="s">
        <v>8896</v>
      </c>
      <c r="D4276" t="s">
        <v>425</v>
      </c>
      <c r="F4276">
        <v>2763977450</v>
      </c>
      <c r="G4276">
        <v>2288188408</v>
      </c>
      <c r="H4276">
        <v>1551830721</v>
      </c>
      <c r="I4276">
        <v>1194775474</v>
      </c>
      <c r="J4276">
        <v>901868282</v>
      </c>
      <c r="K4276">
        <v>708626441</v>
      </c>
      <c r="L4276">
        <v>487192611</v>
      </c>
      <c r="M4276">
        <v>385156131</v>
      </c>
      <c r="N4276">
        <v>347654108</v>
      </c>
      <c r="O4276">
        <v>306942595</v>
      </c>
      <c r="P4276">
        <v>633</v>
      </c>
      <c r="Q4276" t="s">
        <v>8897</v>
      </c>
    </row>
    <row r="4277" spans="1:17" x14ac:dyDescent="0.3">
      <c r="A4277" t="s">
        <v>4729</v>
      </c>
      <c r="B4277" t="str">
        <f>"300477"</f>
        <v>300477</v>
      </c>
      <c r="C4277" t="s">
        <v>8898</v>
      </c>
      <c r="D4277" t="s">
        <v>210</v>
      </c>
      <c r="F4277">
        <v>1111268030</v>
      </c>
      <c r="G4277">
        <v>804548507</v>
      </c>
      <c r="H4277">
        <v>1275235940</v>
      </c>
      <c r="I4277">
        <v>1222601970</v>
      </c>
      <c r="J4277">
        <v>1260779915</v>
      </c>
      <c r="K4277">
        <v>808950780</v>
      </c>
      <c r="L4277">
        <v>546854491</v>
      </c>
      <c r="M4277">
        <v>371833763</v>
      </c>
      <c r="N4277">
        <v>244476024</v>
      </c>
      <c r="O4277">
        <v>164675003</v>
      </c>
      <c r="P4277">
        <v>100</v>
      </c>
      <c r="Q4277" t="s">
        <v>8899</v>
      </c>
    </row>
    <row r="4278" spans="1:17" x14ac:dyDescent="0.3">
      <c r="A4278" t="s">
        <v>4729</v>
      </c>
      <c r="B4278" t="str">
        <f>"300478"</f>
        <v>300478</v>
      </c>
      <c r="C4278" t="s">
        <v>8900</v>
      </c>
      <c r="D4278" t="s">
        <v>341</v>
      </c>
      <c r="F4278">
        <v>123378486</v>
      </c>
      <c r="G4278">
        <v>105621437</v>
      </c>
      <c r="H4278">
        <v>153267139</v>
      </c>
      <c r="I4278">
        <v>166610465</v>
      </c>
      <c r="J4278">
        <v>243735503</v>
      </c>
      <c r="K4278">
        <v>146923028</v>
      </c>
      <c r="L4278">
        <v>168837356</v>
      </c>
      <c r="M4278">
        <v>133973044</v>
      </c>
      <c r="N4278">
        <v>137476657</v>
      </c>
      <c r="O4278">
        <v>123407757</v>
      </c>
      <c r="P4278">
        <v>58</v>
      </c>
      <c r="Q4278" t="s">
        <v>8901</v>
      </c>
    </row>
    <row r="4279" spans="1:17" x14ac:dyDescent="0.3">
      <c r="A4279" t="s">
        <v>4729</v>
      </c>
      <c r="B4279" t="str">
        <f>"300479"</f>
        <v>300479</v>
      </c>
      <c r="C4279" t="s">
        <v>8902</v>
      </c>
      <c r="D4279" t="s">
        <v>236</v>
      </c>
      <c r="F4279">
        <v>149260755</v>
      </c>
      <c r="G4279">
        <v>209805180</v>
      </c>
      <c r="H4279">
        <v>267797593</v>
      </c>
      <c r="I4279">
        <v>211066818</v>
      </c>
      <c r="J4279">
        <v>143622981</v>
      </c>
      <c r="K4279">
        <v>92548869</v>
      </c>
      <c r="L4279">
        <v>65194941</v>
      </c>
      <c r="M4279">
        <v>37748269</v>
      </c>
      <c r="N4279">
        <v>40562174</v>
      </c>
      <c r="O4279">
        <v>42818592</v>
      </c>
      <c r="P4279">
        <v>167</v>
      </c>
      <c r="Q4279" t="s">
        <v>8903</v>
      </c>
    </row>
    <row r="4280" spans="1:17" x14ac:dyDescent="0.3">
      <c r="A4280" t="s">
        <v>4729</v>
      </c>
      <c r="B4280" t="str">
        <f>"300480"</f>
        <v>300480</v>
      </c>
      <c r="C4280" t="s">
        <v>8904</v>
      </c>
      <c r="D4280" t="s">
        <v>395</v>
      </c>
      <c r="F4280">
        <v>321629796</v>
      </c>
      <c r="G4280">
        <v>202566847</v>
      </c>
      <c r="H4280">
        <v>171442481</v>
      </c>
      <c r="I4280">
        <v>174496353</v>
      </c>
      <c r="J4280">
        <v>164575211</v>
      </c>
      <c r="K4280">
        <v>137813599</v>
      </c>
      <c r="L4280">
        <v>116099519</v>
      </c>
      <c r="M4280">
        <v>109939452</v>
      </c>
      <c r="N4280">
        <v>111896256</v>
      </c>
      <c r="O4280">
        <v>104268216</v>
      </c>
      <c r="P4280">
        <v>84</v>
      </c>
      <c r="Q4280" t="s">
        <v>8905</v>
      </c>
    </row>
    <row r="4281" spans="1:17" x14ac:dyDescent="0.3">
      <c r="A4281" t="s">
        <v>4729</v>
      </c>
      <c r="B4281" t="str">
        <f>"300481"</f>
        <v>300481</v>
      </c>
      <c r="C4281" t="s">
        <v>8906</v>
      </c>
      <c r="D4281" t="s">
        <v>2408</v>
      </c>
      <c r="F4281">
        <v>227524846</v>
      </c>
      <c r="G4281">
        <v>138346062</v>
      </c>
      <c r="H4281">
        <v>109488661</v>
      </c>
      <c r="I4281">
        <v>84767126</v>
      </c>
      <c r="J4281">
        <v>75379539</v>
      </c>
      <c r="K4281">
        <v>53568853</v>
      </c>
      <c r="L4281">
        <v>51504372</v>
      </c>
      <c r="M4281">
        <v>43655417</v>
      </c>
      <c r="N4281">
        <v>40393948</v>
      </c>
      <c r="O4281">
        <v>32555540</v>
      </c>
      <c r="P4281">
        <v>352</v>
      </c>
      <c r="Q4281" t="s">
        <v>8907</v>
      </c>
    </row>
    <row r="4282" spans="1:17" x14ac:dyDescent="0.3">
      <c r="A4282" t="s">
        <v>4729</v>
      </c>
      <c r="B4282" t="str">
        <f>"300482"</f>
        <v>300482</v>
      </c>
      <c r="C4282" t="s">
        <v>8908</v>
      </c>
      <c r="D4282" t="s">
        <v>1305</v>
      </c>
      <c r="F4282">
        <v>498321965</v>
      </c>
      <c r="G4282">
        <v>269319316</v>
      </c>
      <c r="H4282">
        <v>418636902</v>
      </c>
      <c r="I4282">
        <v>358267744</v>
      </c>
      <c r="J4282">
        <v>245676944</v>
      </c>
      <c r="K4282">
        <v>58007914</v>
      </c>
      <c r="L4282">
        <v>36519676</v>
      </c>
      <c r="M4282">
        <v>23442215</v>
      </c>
      <c r="N4282">
        <v>21362887</v>
      </c>
      <c r="O4282">
        <v>32525698</v>
      </c>
      <c r="P4282">
        <v>17071</v>
      </c>
      <c r="Q4282" t="s">
        <v>8909</v>
      </c>
    </row>
    <row r="4283" spans="1:17" x14ac:dyDescent="0.3">
      <c r="A4283" t="s">
        <v>4729</v>
      </c>
      <c r="B4283" t="str">
        <f>"300483"</f>
        <v>300483</v>
      </c>
      <c r="C4283" t="s">
        <v>8910</v>
      </c>
      <c r="D4283" t="s">
        <v>749</v>
      </c>
      <c r="F4283">
        <v>108385526</v>
      </c>
      <c r="G4283">
        <v>117639048</v>
      </c>
      <c r="H4283">
        <v>230401399</v>
      </c>
      <c r="I4283">
        <v>309573530</v>
      </c>
      <c r="J4283">
        <v>138215798</v>
      </c>
      <c r="K4283">
        <v>178878138</v>
      </c>
      <c r="L4283">
        <v>182285089</v>
      </c>
      <c r="M4283">
        <v>140864506</v>
      </c>
      <c r="N4283">
        <v>96135990</v>
      </c>
      <c r="O4283">
        <v>87283680</v>
      </c>
      <c r="P4283">
        <v>140</v>
      </c>
      <c r="Q4283" t="s">
        <v>8911</v>
      </c>
    </row>
    <row r="4284" spans="1:17" x14ac:dyDescent="0.3">
      <c r="A4284" t="s">
        <v>4729</v>
      </c>
      <c r="B4284" t="str">
        <f>"300484"</f>
        <v>300484</v>
      </c>
      <c r="C4284" t="s">
        <v>8912</v>
      </c>
      <c r="D4284" t="s">
        <v>2432</v>
      </c>
      <c r="F4284">
        <v>165937743</v>
      </c>
      <c r="G4284">
        <v>156150878</v>
      </c>
      <c r="H4284">
        <v>192336927</v>
      </c>
      <c r="I4284">
        <v>322898523</v>
      </c>
      <c r="J4284">
        <v>324530445</v>
      </c>
      <c r="K4284">
        <v>268458735</v>
      </c>
      <c r="L4284">
        <v>174565563</v>
      </c>
      <c r="M4284">
        <v>78584079</v>
      </c>
      <c r="N4284">
        <v>31108595</v>
      </c>
      <c r="O4284">
        <v>28622989</v>
      </c>
      <c r="P4284">
        <v>219</v>
      </c>
      <c r="Q4284" t="s">
        <v>8913</v>
      </c>
    </row>
    <row r="4285" spans="1:17" x14ac:dyDescent="0.3">
      <c r="A4285" t="s">
        <v>4729</v>
      </c>
      <c r="B4285" t="str">
        <f>"300485"</f>
        <v>300485</v>
      </c>
      <c r="C4285" t="s">
        <v>8914</v>
      </c>
      <c r="D4285" t="s">
        <v>1379</v>
      </c>
      <c r="F4285">
        <v>91186753</v>
      </c>
      <c r="G4285">
        <v>115211666</v>
      </c>
      <c r="H4285">
        <v>153857111</v>
      </c>
      <c r="I4285">
        <v>243999880</v>
      </c>
      <c r="J4285">
        <v>80062742</v>
      </c>
      <c r="K4285">
        <v>13325602</v>
      </c>
      <c r="L4285">
        <v>14375404</v>
      </c>
      <c r="M4285">
        <v>6349271</v>
      </c>
      <c r="N4285">
        <v>4965500</v>
      </c>
      <c r="O4285">
        <v>2485534</v>
      </c>
      <c r="P4285">
        <v>196</v>
      </c>
      <c r="Q4285" t="s">
        <v>8915</v>
      </c>
    </row>
    <row r="4286" spans="1:17" x14ac:dyDescent="0.3">
      <c r="A4286" t="s">
        <v>4729</v>
      </c>
      <c r="B4286" t="str">
        <f>"300486"</f>
        <v>300486</v>
      </c>
      <c r="C4286" t="s">
        <v>8916</v>
      </c>
      <c r="D4286" t="s">
        <v>3477</v>
      </c>
      <c r="F4286">
        <v>642098076</v>
      </c>
      <c r="G4286">
        <v>621624255</v>
      </c>
      <c r="H4286">
        <v>459383826</v>
      </c>
      <c r="I4286">
        <v>310007648</v>
      </c>
      <c r="J4286">
        <v>247186189</v>
      </c>
      <c r="K4286">
        <v>208425964</v>
      </c>
      <c r="L4286">
        <v>266840261</v>
      </c>
      <c r="M4286">
        <v>228592850</v>
      </c>
      <c r="N4286">
        <v>186899080</v>
      </c>
      <c r="O4286">
        <v>191225324</v>
      </c>
      <c r="P4286">
        <v>74</v>
      </c>
      <c r="Q4286" t="s">
        <v>8917</v>
      </c>
    </row>
    <row r="4287" spans="1:17" x14ac:dyDescent="0.3">
      <c r="A4287" t="s">
        <v>4729</v>
      </c>
      <c r="B4287" t="str">
        <f>"300487"</f>
        <v>300487</v>
      </c>
      <c r="C4287" t="s">
        <v>8918</v>
      </c>
      <c r="D4287" t="s">
        <v>3377</v>
      </c>
      <c r="F4287">
        <v>281959595</v>
      </c>
      <c r="G4287">
        <v>285681258</v>
      </c>
      <c r="H4287">
        <v>232999209</v>
      </c>
      <c r="I4287">
        <v>164988423</v>
      </c>
      <c r="J4287">
        <v>152324163</v>
      </c>
      <c r="K4287">
        <v>126903108</v>
      </c>
      <c r="L4287">
        <v>110660720</v>
      </c>
      <c r="M4287">
        <v>108479549</v>
      </c>
      <c r="N4287">
        <v>103428134</v>
      </c>
      <c r="O4287">
        <v>118279163</v>
      </c>
      <c r="P4287">
        <v>374</v>
      </c>
      <c r="Q4287" t="s">
        <v>8919</v>
      </c>
    </row>
    <row r="4288" spans="1:17" x14ac:dyDescent="0.3">
      <c r="A4288" t="s">
        <v>4729</v>
      </c>
      <c r="B4288" t="str">
        <f>"300488"</f>
        <v>300488</v>
      </c>
      <c r="C4288" t="s">
        <v>8920</v>
      </c>
      <c r="D4288" t="s">
        <v>274</v>
      </c>
      <c r="F4288">
        <v>119143182</v>
      </c>
      <c r="G4288">
        <v>115555392</v>
      </c>
      <c r="H4288">
        <v>121003157</v>
      </c>
      <c r="I4288">
        <v>101962254</v>
      </c>
      <c r="J4288">
        <v>101435335</v>
      </c>
      <c r="K4288">
        <v>59975832</v>
      </c>
      <c r="L4288">
        <v>50922475</v>
      </c>
      <c r="M4288">
        <v>52746960</v>
      </c>
      <c r="N4288">
        <v>53029372</v>
      </c>
      <c r="O4288">
        <v>44365430</v>
      </c>
      <c r="P4288">
        <v>120</v>
      </c>
      <c r="Q4288" t="s">
        <v>8921</v>
      </c>
    </row>
    <row r="4289" spans="1:17" x14ac:dyDescent="0.3">
      <c r="A4289" t="s">
        <v>4729</v>
      </c>
      <c r="B4289" t="str">
        <f>"300489"</f>
        <v>300489</v>
      </c>
      <c r="C4289" t="s">
        <v>8922</v>
      </c>
      <c r="D4289" t="s">
        <v>504</v>
      </c>
      <c r="F4289">
        <v>203784478</v>
      </c>
      <c r="G4289">
        <v>162642236</v>
      </c>
      <c r="H4289">
        <v>28002122</v>
      </c>
      <c r="I4289">
        <v>54703843</v>
      </c>
      <c r="J4289">
        <v>60272653</v>
      </c>
      <c r="K4289">
        <v>50459834</v>
      </c>
      <c r="L4289">
        <v>38743991</v>
      </c>
      <c r="M4289">
        <v>28472605</v>
      </c>
      <c r="N4289">
        <v>13599234</v>
      </c>
      <c r="O4289">
        <v>5272322</v>
      </c>
      <c r="P4289">
        <v>71</v>
      </c>
      <c r="Q4289" t="s">
        <v>8923</v>
      </c>
    </row>
    <row r="4290" spans="1:17" x14ac:dyDescent="0.3">
      <c r="A4290" t="s">
        <v>4729</v>
      </c>
      <c r="B4290" t="str">
        <f>"300490"</f>
        <v>300490</v>
      </c>
      <c r="C4290" t="s">
        <v>8924</v>
      </c>
      <c r="D4290" t="s">
        <v>610</v>
      </c>
      <c r="F4290">
        <v>1414835441</v>
      </c>
      <c r="G4290">
        <v>915402942</v>
      </c>
      <c r="H4290">
        <v>948604405</v>
      </c>
      <c r="I4290">
        <v>876775558</v>
      </c>
      <c r="J4290">
        <v>566755756</v>
      </c>
      <c r="K4290">
        <v>281022498</v>
      </c>
      <c r="L4290">
        <v>205524991</v>
      </c>
      <c r="M4290">
        <v>175616641</v>
      </c>
      <c r="N4290">
        <v>152138225</v>
      </c>
      <c r="O4290">
        <v>135234245</v>
      </c>
      <c r="P4290">
        <v>161</v>
      </c>
      <c r="Q4290" t="s">
        <v>8925</v>
      </c>
    </row>
    <row r="4291" spans="1:17" x14ac:dyDescent="0.3">
      <c r="A4291" t="s">
        <v>4729</v>
      </c>
      <c r="B4291" t="str">
        <f>"300491"</f>
        <v>300491</v>
      </c>
      <c r="C4291" t="s">
        <v>8926</v>
      </c>
      <c r="D4291" t="s">
        <v>880</v>
      </c>
      <c r="F4291">
        <v>343896484</v>
      </c>
      <c r="G4291">
        <v>293923969</v>
      </c>
      <c r="H4291">
        <v>242682953</v>
      </c>
      <c r="I4291">
        <v>113309206</v>
      </c>
      <c r="J4291">
        <v>143952315</v>
      </c>
      <c r="K4291">
        <v>102704893</v>
      </c>
      <c r="L4291">
        <v>68065178</v>
      </c>
      <c r="M4291">
        <v>46662335</v>
      </c>
      <c r="N4291">
        <v>35590651</v>
      </c>
      <c r="O4291">
        <v>18450300</v>
      </c>
      <c r="P4291">
        <v>94</v>
      </c>
      <c r="Q4291" t="s">
        <v>8927</v>
      </c>
    </row>
    <row r="4292" spans="1:17" x14ac:dyDescent="0.3">
      <c r="A4292" t="s">
        <v>4729</v>
      </c>
      <c r="B4292" t="str">
        <f>"300492"</f>
        <v>300492</v>
      </c>
      <c r="C4292" t="s">
        <v>8928</v>
      </c>
      <c r="D4292" t="s">
        <v>1272</v>
      </c>
      <c r="F4292">
        <v>104143518</v>
      </c>
      <c r="G4292">
        <v>105497810</v>
      </c>
      <c r="H4292">
        <v>124854412</v>
      </c>
      <c r="I4292">
        <v>133207568</v>
      </c>
      <c r="J4292">
        <v>166786538</v>
      </c>
      <c r="K4292">
        <v>152321443</v>
      </c>
      <c r="L4292">
        <v>146575200</v>
      </c>
      <c r="M4292">
        <v>141691395</v>
      </c>
      <c r="N4292">
        <v>90283231</v>
      </c>
      <c r="O4292">
        <v>77199959</v>
      </c>
      <c r="P4292">
        <v>94</v>
      </c>
      <c r="Q4292" t="s">
        <v>8929</v>
      </c>
    </row>
    <row r="4293" spans="1:17" x14ac:dyDescent="0.3">
      <c r="A4293" t="s">
        <v>4729</v>
      </c>
      <c r="B4293" t="str">
        <f>"300493"</f>
        <v>300493</v>
      </c>
      <c r="C4293" t="s">
        <v>8930</v>
      </c>
      <c r="D4293" t="s">
        <v>651</v>
      </c>
      <c r="F4293">
        <v>490943500</v>
      </c>
      <c r="G4293">
        <v>377451266</v>
      </c>
      <c r="H4293">
        <v>307324750</v>
      </c>
      <c r="I4293">
        <v>344404810</v>
      </c>
      <c r="J4293">
        <v>335800929</v>
      </c>
      <c r="K4293">
        <v>377787151</v>
      </c>
      <c r="L4293">
        <v>215687486</v>
      </c>
      <c r="M4293">
        <v>150076064</v>
      </c>
      <c r="N4293">
        <v>145026052</v>
      </c>
      <c r="O4293">
        <v>118736666</v>
      </c>
      <c r="P4293">
        <v>187</v>
      </c>
      <c r="Q4293" t="s">
        <v>8931</v>
      </c>
    </row>
    <row r="4294" spans="1:17" x14ac:dyDescent="0.3">
      <c r="A4294" t="s">
        <v>4729</v>
      </c>
      <c r="B4294" t="str">
        <f>"300494"</f>
        <v>300494</v>
      </c>
      <c r="C4294" t="s">
        <v>8932</v>
      </c>
      <c r="D4294" t="s">
        <v>517</v>
      </c>
      <c r="F4294">
        <v>281240521</v>
      </c>
      <c r="G4294">
        <v>217108238</v>
      </c>
      <c r="H4294">
        <v>227939514</v>
      </c>
      <c r="I4294">
        <v>89280369</v>
      </c>
      <c r="J4294">
        <v>81324701</v>
      </c>
      <c r="K4294">
        <v>44596022</v>
      </c>
      <c r="L4294">
        <v>49498888</v>
      </c>
      <c r="M4294">
        <v>54802853</v>
      </c>
      <c r="N4294">
        <v>38362614</v>
      </c>
      <c r="O4294">
        <v>25445202</v>
      </c>
      <c r="P4294">
        <v>134</v>
      </c>
      <c r="Q4294" t="s">
        <v>8933</v>
      </c>
    </row>
    <row r="4295" spans="1:17" x14ac:dyDescent="0.3">
      <c r="A4295" t="s">
        <v>4729</v>
      </c>
      <c r="B4295" t="str">
        <f>"300495"</f>
        <v>300495</v>
      </c>
      <c r="C4295" t="s">
        <v>8934</v>
      </c>
      <c r="D4295" t="s">
        <v>2417</v>
      </c>
      <c r="F4295">
        <v>982818599</v>
      </c>
      <c r="G4295">
        <v>1435688319</v>
      </c>
      <c r="H4295">
        <v>1849747482</v>
      </c>
      <c r="I4295">
        <v>1789092357</v>
      </c>
      <c r="J4295">
        <v>1849211670</v>
      </c>
      <c r="K4295">
        <v>1219985753</v>
      </c>
      <c r="L4295">
        <v>216238110</v>
      </c>
      <c r="M4295">
        <v>222156965</v>
      </c>
      <c r="N4295">
        <v>176965827</v>
      </c>
      <c r="O4295">
        <v>102106222</v>
      </c>
      <c r="P4295">
        <v>103</v>
      </c>
      <c r="Q4295" t="s">
        <v>8935</v>
      </c>
    </row>
    <row r="4296" spans="1:17" x14ac:dyDescent="0.3">
      <c r="A4296" t="s">
        <v>4729</v>
      </c>
      <c r="B4296" t="str">
        <f>"300496"</f>
        <v>300496</v>
      </c>
      <c r="C4296" t="s">
        <v>8936</v>
      </c>
      <c r="D4296" t="s">
        <v>316</v>
      </c>
      <c r="F4296">
        <v>1288124485</v>
      </c>
      <c r="G4296">
        <v>792130107</v>
      </c>
      <c r="H4296">
        <v>657837011</v>
      </c>
      <c r="I4296">
        <v>489376154</v>
      </c>
      <c r="J4296">
        <v>405667009</v>
      </c>
      <c r="K4296">
        <v>335226252</v>
      </c>
      <c r="L4296">
        <v>237984200</v>
      </c>
      <c r="M4296">
        <v>118132529</v>
      </c>
      <c r="N4296">
        <v>64009731</v>
      </c>
      <c r="O4296">
        <v>77809736</v>
      </c>
      <c r="P4296">
        <v>1141</v>
      </c>
      <c r="Q4296" t="s">
        <v>8937</v>
      </c>
    </row>
    <row r="4297" spans="1:17" x14ac:dyDescent="0.3">
      <c r="A4297" t="s">
        <v>4729</v>
      </c>
      <c r="B4297" t="str">
        <f>"300497"</f>
        <v>300497</v>
      </c>
      <c r="C4297" t="s">
        <v>8938</v>
      </c>
      <c r="D4297" t="s">
        <v>496</v>
      </c>
      <c r="F4297">
        <v>233421797</v>
      </c>
      <c r="G4297">
        <v>201727272</v>
      </c>
      <c r="H4297">
        <v>140070213</v>
      </c>
      <c r="I4297">
        <v>150362167</v>
      </c>
      <c r="J4297">
        <v>119730926</v>
      </c>
      <c r="K4297">
        <v>117688711</v>
      </c>
      <c r="L4297">
        <v>113529446</v>
      </c>
      <c r="M4297">
        <v>83719324</v>
      </c>
      <c r="N4297">
        <v>82537276</v>
      </c>
      <c r="O4297">
        <v>76570952</v>
      </c>
      <c r="P4297">
        <v>4722</v>
      </c>
      <c r="Q4297" t="s">
        <v>8939</v>
      </c>
    </row>
    <row r="4298" spans="1:17" x14ac:dyDescent="0.3">
      <c r="A4298" t="s">
        <v>4729</v>
      </c>
      <c r="B4298" t="str">
        <f>"300498"</f>
        <v>300498</v>
      </c>
      <c r="C4298" t="s">
        <v>8940</v>
      </c>
      <c r="D4298" t="s">
        <v>1900</v>
      </c>
      <c r="F4298">
        <v>411717961</v>
      </c>
      <c r="G4298">
        <v>342827723</v>
      </c>
      <c r="H4298">
        <v>306899094</v>
      </c>
      <c r="I4298">
        <v>172629100</v>
      </c>
      <c r="J4298">
        <v>172570169</v>
      </c>
      <c r="K4298">
        <v>143846113</v>
      </c>
      <c r="L4298">
        <v>180764046</v>
      </c>
      <c r="M4298">
        <v>58354244</v>
      </c>
      <c r="N4298">
        <v>63753402</v>
      </c>
      <c r="O4298">
        <v>92571318</v>
      </c>
      <c r="P4298">
        <v>2457</v>
      </c>
      <c r="Q4298" t="s">
        <v>8941</v>
      </c>
    </row>
    <row r="4299" spans="1:17" x14ac:dyDescent="0.3">
      <c r="A4299" t="s">
        <v>4729</v>
      </c>
      <c r="B4299" t="str">
        <f>"300499"</f>
        <v>300499</v>
      </c>
      <c r="C4299" t="s">
        <v>8942</v>
      </c>
      <c r="D4299" t="s">
        <v>741</v>
      </c>
      <c r="F4299">
        <v>912826107</v>
      </c>
      <c r="G4299">
        <v>752480551</v>
      </c>
      <c r="H4299">
        <v>554821192</v>
      </c>
      <c r="I4299">
        <v>295179847</v>
      </c>
      <c r="J4299">
        <v>298010936</v>
      </c>
      <c r="K4299">
        <v>210489095</v>
      </c>
      <c r="L4299">
        <v>192902600</v>
      </c>
      <c r="M4299">
        <v>185041207</v>
      </c>
      <c r="N4299">
        <v>138144834</v>
      </c>
      <c r="O4299">
        <v>143207208</v>
      </c>
      <c r="P4299">
        <v>135</v>
      </c>
      <c r="Q4299" t="s">
        <v>8943</v>
      </c>
    </row>
    <row r="4300" spans="1:17" x14ac:dyDescent="0.3">
      <c r="A4300" t="s">
        <v>4729</v>
      </c>
      <c r="B4300" t="str">
        <f>"300500"</f>
        <v>300500</v>
      </c>
      <c r="C4300" t="s">
        <v>8944</v>
      </c>
      <c r="D4300" t="s">
        <v>1272</v>
      </c>
      <c r="F4300">
        <v>709466410</v>
      </c>
      <c r="G4300">
        <v>661615642</v>
      </c>
      <c r="H4300">
        <v>788033458</v>
      </c>
      <c r="I4300">
        <v>618832478</v>
      </c>
      <c r="J4300">
        <v>167583587</v>
      </c>
      <c r="K4300">
        <v>123783298</v>
      </c>
      <c r="L4300">
        <v>95868124</v>
      </c>
      <c r="M4300">
        <v>61605297</v>
      </c>
      <c r="N4300">
        <v>40413281</v>
      </c>
      <c r="O4300">
        <v>41249753</v>
      </c>
      <c r="P4300">
        <v>100</v>
      </c>
      <c r="Q4300" t="s">
        <v>8945</v>
      </c>
    </row>
    <row r="4301" spans="1:17" x14ac:dyDescent="0.3">
      <c r="A4301" t="s">
        <v>4729</v>
      </c>
      <c r="B4301" t="str">
        <f>"300501"</f>
        <v>300501</v>
      </c>
      <c r="C4301" t="s">
        <v>8946</v>
      </c>
      <c r="D4301" t="s">
        <v>2448</v>
      </c>
      <c r="F4301">
        <v>199904153</v>
      </c>
      <c r="G4301">
        <v>186225844</v>
      </c>
      <c r="H4301">
        <v>164955975</v>
      </c>
      <c r="I4301">
        <v>158706123</v>
      </c>
      <c r="J4301">
        <v>120864476</v>
      </c>
      <c r="K4301">
        <v>112585624</v>
      </c>
      <c r="L4301">
        <v>79580058</v>
      </c>
      <c r="M4301">
        <v>82594089</v>
      </c>
      <c r="N4301">
        <v>81767524</v>
      </c>
      <c r="O4301">
        <v>54157594</v>
      </c>
      <c r="P4301">
        <v>131</v>
      </c>
      <c r="Q4301" t="s">
        <v>8947</v>
      </c>
    </row>
    <row r="4302" spans="1:17" x14ac:dyDescent="0.3">
      <c r="A4302" t="s">
        <v>4729</v>
      </c>
      <c r="B4302" t="str">
        <f>"300502"</f>
        <v>300502</v>
      </c>
      <c r="C4302" t="s">
        <v>8948</v>
      </c>
      <c r="D4302" t="s">
        <v>1019</v>
      </c>
      <c r="F4302">
        <v>577209380</v>
      </c>
      <c r="G4302">
        <v>368873595</v>
      </c>
      <c r="H4302">
        <v>311927765</v>
      </c>
      <c r="I4302">
        <v>189027092</v>
      </c>
      <c r="J4302">
        <v>218017476</v>
      </c>
      <c r="K4302">
        <v>180195567</v>
      </c>
      <c r="L4302">
        <v>122966280</v>
      </c>
      <c r="M4302">
        <v>121527442</v>
      </c>
      <c r="N4302">
        <v>97831297</v>
      </c>
      <c r="P4302">
        <v>636</v>
      </c>
      <c r="Q4302" t="s">
        <v>8949</v>
      </c>
    </row>
    <row r="4303" spans="1:17" x14ac:dyDescent="0.3">
      <c r="A4303" t="s">
        <v>4729</v>
      </c>
      <c r="B4303" t="str">
        <f>"300503"</f>
        <v>300503</v>
      </c>
      <c r="C4303" t="s">
        <v>8950</v>
      </c>
      <c r="D4303" t="s">
        <v>560</v>
      </c>
      <c r="F4303">
        <v>356273338</v>
      </c>
      <c r="G4303">
        <v>291591661</v>
      </c>
      <c r="H4303">
        <v>241877070</v>
      </c>
      <c r="I4303">
        <v>313135642</v>
      </c>
      <c r="J4303">
        <v>267395934</v>
      </c>
      <c r="K4303">
        <v>207692691</v>
      </c>
      <c r="L4303">
        <v>169260598</v>
      </c>
      <c r="M4303">
        <v>127668337</v>
      </c>
      <c r="N4303">
        <v>96450945</v>
      </c>
      <c r="P4303">
        <v>136</v>
      </c>
      <c r="Q4303" t="s">
        <v>8951</v>
      </c>
    </row>
    <row r="4304" spans="1:17" x14ac:dyDescent="0.3">
      <c r="A4304" t="s">
        <v>4729</v>
      </c>
      <c r="B4304" t="str">
        <f>"300504"</f>
        <v>300504</v>
      </c>
      <c r="C4304" t="s">
        <v>8952</v>
      </c>
      <c r="D4304" t="s">
        <v>786</v>
      </c>
      <c r="F4304">
        <v>389434813</v>
      </c>
      <c r="G4304">
        <v>397809387</v>
      </c>
      <c r="H4304">
        <v>478611634</v>
      </c>
      <c r="I4304">
        <v>674082169</v>
      </c>
      <c r="J4304">
        <v>403610655</v>
      </c>
      <c r="K4304">
        <v>311743056</v>
      </c>
      <c r="L4304">
        <v>201992405</v>
      </c>
      <c r="M4304">
        <v>120335620</v>
      </c>
      <c r="P4304">
        <v>176</v>
      </c>
      <c r="Q4304" t="s">
        <v>8953</v>
      </c>
    </row>
    <row r="4305" spans="1:17" x14ac:dyDescent="0.3">
      <c r="A4305" t="s">
        <v>4729</v>
      </c>
      <c r="B4305" t="str">
        <f>"300505"</f>
        <v>300505</v>
      </c>
      <c r="C4305" t="s">
        <v>8954</v>
      </c>
      <c r="D4305" t="s">
        <v>183</v>
      </c>
      <c r="F4305">
        <v>75142198</v>
      </c>
      <c r="G4305">
        <v>38136395</v>
      </c>
      <c r="H4305">
        <v>45821573</v>
      </c>
      <c r="I4305">
        <v>55710441</v>
      </c>
      <c r="J4305">
        <v>64081061</v>
      </c>
      <c r="K4305">
        <v>19685678</v>
      </c>
      <c r="L4305">
        <v>23961325</v>
      </c>
      <c r="M4305">
        <v>21630144</v>
      </c>
      <c r="N4305">
        <v>17905566</v>
      </c>
      <c r="P4305">
        <v>97</v>
      </c>
      <c r="Q4305" t="s">
        <v>8955</v>
      </c>
    </row>
    <row r="4306" spans="1:17" x14ac:dyDescent="0.3">
      <c r="A4306" t="s">
        <v>4729</v>
      </c>
      <c r="B4306" t="str">
        <f>"300506"</f>
        <v>300506</v>
      </c>
      <c r="C4306" t="s">
        <v>8956</v>
      </c>
      <c r="D4306" t="s">
        <v>450</v>
      </c>
      <c r="F4306">
        <v>885184518</v>
      </c>
      <c r="G4306">
        <v>1182418877</v>
      </c>
      <c r="H4306">
        <v>1369708794</v>
      </c>
      <c r="I4306">
        <v>869195049</v>
      </c>
      <c r="J4306">
        <v>372170566</v>
      </c>
      <c r="K4306">
        <v>257765440</v>
      </c>
      <c r="L4306">
        <v>180825646</v>
      </c>
      <c r="M4306">
        <v>136595193</v>
      </c>
      <c r="N4306">
        <v>94007484</v>
      </c>
      <c r="O4306">
        <v>62854043</v>
      </c>
      <c r="P4306">
        <v>294</v>
      </c>
      <c r="Q4306" t="s">
        <v>8957</v>
      </c>
    </row>
    <row r="4307" spans="1:17" x14ac:dyDescent="0.3">
      <c r="A4307" t="s">
        <v>4729</v>
      </c>
      <c r="B4307" t="str">
        <f>"300507"</f>
        <v>300507</v>
      </c>
      <c r="C4307" t="s">
        <v>8958</v>
      </c>
      <c r="D4307" t="s">
        <v>348</v>
      </c>
      <c r="F4307">
        <v>283788008</v>
      </c>
      <c r="G4307">
        <v>250599993</v>
      </c>
      <c r="H4307">
        <v>210077738</v>
      </c>
      <c r="I4307">
        <v>174409579</v>
      </c>
      <c r="J4307">
        <v>129797002</v>
      </c>
      <c r="K4307">
        <v>138215741</v>
      </c>
      <c r="L4307">
        <v>80423345</v>
      </c>
      <c r="M4307">
        <v>72607912</v>
      </c>
      <c r="N4307">
        <v>59418251</v>
      </c>
      <c r="P4307">
        <v>137</v>
      </c>
      <c r="Q4307" t="s">
        <v>8959</v>
      </c>
    </row>
    <row r="4308" spans="1:17" x14ac:dyDescent="0.3">
      <c r="A4308" t="s">
        <v>4729</v>
      </c>
      <c r="B4308" t="str">
        <f>"300508"</f>
        <v>300508</v>
      </c>
      <c r="C4308" t="s">
        <v>8960</v>
      </c>
      <c r="D4308" t="s">
        <v>236</v>
      </c>
      <c r="F4308">
        <v>40645044</v>
      </c>
      <c r="G4308">
        <v>25697975</v>
      </c>
      <c r="H4308">
        <v>19555137</v>
      </c>
      <c r="I4308">
        <v>48125766</v>
      </c>
      <c r="J4308">
        <v>25452345</v>
      </c>
      <c r="K4308">
        <v>18050059</v>
      </c>
      <c r="L4308">
        <v>12575184</v>
      </c>
      <c r="M4308">
        <v>7338009</v>
      </c>
      <c r="N4308">
        <v>5159523</v>
      </c>
      <c r="P4308">
        <v>130</v>
      </c>
      <c r="Q4308" t="s">
        <v>8961</v>
      </c>
    </row>
    <row r="4309" spans="1:17" x14ac:dyDescent="0.3">
      <c r="A4309" t="s">
        <v>4729</v>
      </c>
      <c r="B4309" t="str">
        <f>"300509"</f>
        <v>300509</v>
      </c>
      <c r="C4309" t="s">
        <v>8962</v>
      </c>
      <c r="D4309" t="s">
        <v>3415</v>
      </c>
      <c r="F4309">
        <v>124911176</v>
      </c>
      <c r="G4309">
        <v>133455581</v>
      </c>
      <c r="H4309">
        <v>131392388</v>
      </c>
      <c r="I4309">
        <v>146494466</v>
      </c>
      <c r="J4309">
        <v>154052825</v>
      </c>
      <c r="K4309">
        <v>131867584</v>
      </c>
      <c r="L4309">
        <v>126650375</v>
      </c>
      <c r="M4309">
        <v>104820545</v>
      </c>
      <c r="N4309">
        <v>85513665</v>
      </c>
      <c r="P4309">
        <v>64</v>
      </c>
      <c r="Q4309" t="s">
        <v>8963</v>
      </c>
    </row>
    <row r="4310" spans="1:17" x14ac:dyDescent="0.3">
      <c r="A4310" t="s">
        <v>4729</v>
      </c>
      <c r="B4310" t="str">
        <f>"300510"</f>
        <v>300510</v>
      </c>
      <c r="C4310" t="s">
        <v>8964</v>
      </c>
      <c r="D4310" t="s">
        <v>610</v>
      </c>
      <c r="F4310">
        <v>681275268</v>
      </c>
      <c r="G4310">
        <v>468254317</v>
      </c>
      <c r="H4310">
        <v>691299678</v>
      </c>
      <c r="I4310">
        <v>823996935</v>
      </c>
      <c r="J4310">
        <v>629897641</v>
      </c>
      <c r="K4310">
        <v>217503195</v>
      </c>
      <c r="L4310">
        <v>151445904</v>
      </c>
      <c r="M4310">
        <v>137962534</v>
      </c>
      <c r="N4310">
        <v>91365803</v>
      </c>
      <c r="P4310">
        <v>115</v>
      </c>
      <c r="Q4310" t="s">
        <v>8965</v>
      </c>
    </row>
    <row r="4311" spans="1:17" x14ac:dyDescent="0.3">
      <c r="A4311" t="s">
        <v>4729</v>
      </c>
      <c r="B4311" t="str">
        <f>"300511"</f>
        <v>300511</v>
      </c>
      <c r="C4311" t="s">
        <v>8966</v>
      </c>
      <c r="D4311" t="s">
        <v>7331</v>
      </c>
      <c r="F4311">
        <v>28856502</v>
      </c>
      <c r="G4311">
        <v>23791904</v>
      </c>
      <c r="H4311">
        <v>17497282</v>
      </c>
      <c r="I4311">
        <v>15510003</v>
      </c>
      <c r="J4311">
        <v>17267936</v>
      </c>
      <c r="K4311">
        <v>12417832</v>
      </c>
      <c r="L4311">
        <v>17101653</v>
      </c>
      <c r="M4311">
        <v>24394971</v>
      </c>
      <c r="N4311">
        <v>16509480</v>
      </c>
      <c r="P4311">
        <v>301</v>
      </c>
      <c r="Q4311" t="s">
        <v>8967</v>
      </c>
    </row>
    <row r="4312" spans="1:17" x14ac:dyDescent="0.3">
      <c r="A4312" t="s">
        <v>4729</v>
      </c>
      <c r="B4312" t="str">
        <f>"300512"</f>
        <v>300512</v>
      </c>
      <c r="C4312" t="s">
        <v>8968</v>
      </c>
      <c r="D4312" t="s">
        <v>3415</v>
      </c>
      <c r="F4312">
        <v>395616960</v>
      </c>
      <c r="G4312">
        <v>165102758</v>
      </c>
      <c r="H4312">
        <v>201957209</v>
      </c>
      <c r="I4312">
        <v>153044406</v>
      </c>
      <c r="J4312">
        <v>97021562</v>
      </c>
      <c r="K4312">
        <v>92717437</v>
      </c>
      <c r="L4312">
        <v>83510965</v>
      </c>
      <c r="M4312">
        <v>79644157</v>
      </c>
      <c r="N4312">
        <v>62743835</v>
      </c>
      <c r="P4312">
        <v>161</v>
      </c>
      <c r="Q4312" t="s">
        <v>8969</v>
      </c>
    </row>
    <row r="4313" spans="1:17" x14ac:dyDescent="0.3">
      <c r="A4313" t="s">
        <v>4729</v>
      </c>
      <c r="B4313" t="str">
        <f>"300513"</f>
        <v>300513</v>
      </c>
      <c r="C4313" t="s">
        <v>8970</v>
      </c>
      <c r="D4313" t="s">
        <v>654</v>
      </c>
      <c r="F4313">
        <v>378179280</v>
      </c>
      <c r="G4313">
        <v>412979524</v>
      </c>
      <c r="H4313">
        <v>1091442967</v>
      </c>
      <c r="I4313">
        <v>946752858</v>
      </c>
      <c r="J4313">
        <v>341188418</v>
      </c>
      <c r="K4313">
        <v>356683387</v>
      </c>
      <c r="L4313">
        <v>261480610</v>
      </c>
      <c r="M4313">
        <v>264951610</v>
      </c>
      <c r="N4313">
        <v>241157494</v>
      </c>
      <c r="P4313">
        <v>160</v>
      </c>
      <c r="Q4313" t="s">
        <v>8971</v>
      </c>
    </row>
    <row r="4314" spans="1:17" x14ac:dyDescent="0.3">
      <c r="A4314" t="s">
        <v>4729</v>
      </c>
      <c r="B4314" t="str">
        <f>"300514"</f>
        <v>300514</v>
      </c>
      <c r="C4314" t="s">
        <v>8972</v>
      </c>
      <c r="D4314" t="s">
        <v>2180</v>
      </c>
      <c r="F4314">
        <v>265713322</v>
      </c>
      <c r="G4314">
        <v>246862033</v>
      </c>
      <c r="H4314">
        <v>355918818</v>
      </c>
      <c r="I4314">
        <v>352769912</v>
      </c>
      <c r="J4314">
        <v>261651516</v>
      </c>
      <c r="K4314">
        <v>230575782</v>
      </c>
      <c r="L4314">
        <v>207024576</v>
      </c>
      <c r="M4314">
        <v>171260973</v>
      </c>
      <c r="P4314">
        <v>148</v>
      </c>
      <c r="Q4314" t="s">
        <v>8973</v>
      </c>
    </row>
    <row r="4315" spans="1:17" x14ac:dyDescent="0.3">
      <c r="A4315" t="s">
        <v>4729</v>
      </c>
      <c r="B4315" t="str">
        <f>"300515"</f>
        <v>300515</v>
      </c>
      <c r="C4315" t="s">
        <v>8974</v>
      </c>
      <c r="D4315" t="s">
        <v>2566</v>
      </c>
      <c r="F4315">
        <v>167974333</v>
      </c>
      <c r="G4315">
        <v>120546836</v>
      </c>
      <c r="H4315">
        <v>152252732</v>
      </c>
      <c r="I4315">
        <v>149150281</v>
      </c>
      <c r="J4315">
        <v>141302919</v>
      </c>
      <c r="K4315">
        <v>157398081</v>
      </c>
      <c r="L4315">
        <v>156573073</v>
      </c>
      <c r="M4315">
        <v>142865941</v>
      </c>
      <c r="N4315">
        <v>113146190</v>
      </c>
      <c r="P4315">
        <v>80</v>
      </c>
      <c r="Q4315" t="s">
        <v>8975</v>
      </c>
    </row>
    <row r="4316" spans="1:17" x14ac:dyDescent="0.3">
      <c r="A4316" t="s">
        <v>4729</v>
      </c>
      <c r="B4316" t="str">
        <f>"300516"</f>
        <v>300516</v>
      </c>
      <c r="C4316" t="s">
        <v>8976</v>
      </c>
      <c r="D4316" t="s">
        <v>651</v>
      </c>
      <c r="F4316">
        <v>149211840</v>
      </c>
      <c r="G4316">
        <v>85164934</v>
      </c>
      <c r="H4316">
        <v>123473412</v>
      </c>
      <c r="I4316">
        <v>90545423</v>
      </c>
      <c r="J4316">
        <v>131975529</v>
      </c>
      <c r="K4316">
        <v>104277685</v>
      </c>
      <c r="L4316">
        <v>54660222</v>
      </c>
      <c r="M4316">
        <v>50663894</v>
      </c>
      <c r="N4316">
        <v>41496058</v>
      </c>
      <c r="P4316">
        <v>118</v>
      </c>
      <c r="Q4316" t="s">
        <v>8977</v>
      </c>
    </row>
    <row r="4317" spans="1:17" x14ac:dyDescent="0.3">
      <c r="A4317" t="s">
        <v>4729</v>
      </c>
      <c r="B4317" t="str">
        <f>"300517"</f>
        <v>300517</v>
      </c>
      <c r="C4317" t="s">
        <v>8978</v>
      </c>
      <c r="D4317" t="s">
        <v>978</v>
      </c>
      <c r="F4317">
        <v>702665699</v>
      </c>
      <c r="G4317">
        <v>478670113</v>
      </c>
      <c r="H4317">
        <v>416807800</v>
      </c>
      <c r="I4317">
        <v>337884433</v>
      </c>
      <c r="J4317">
        <v>344894883</v>
      </c>
      <c r="K4317">
        <v>240098602</v>
      </c>
      <c r="L4317">
        <v>355870856</v>
      </c>
      <c r="M4317">
        <v>326798445</v>
      </c>
      <c r="N4317">
        <v>245854932</v>
      </c>
      <c r="P4317">
        <v>76</v>
      </c>
      <c r="Q4317" t="s">
        <v>8979</v>
      </c>
    </row>
    <row r="4318" spans="1:17" x14ac:dyDescent="0.3">
      <c r="A4318" t="s">
        <v>4729</v>
      </c>
      <c r="B4318" t="str">
        <f>"300518"</f>
        <v>300518</v>
      </c>
      <c r="C4318" t="s">
        <v>8980</v>
      </c>
      <c r="D4318" t="s">
        <v>517</v>
      </c>
      <c r="F4318">
        <v>73705239</v>
      </c>
      <c r="G4318">
        <v>47909178</v>
      </c>
      <c r="H4318">
        <v>73055930</v>
      </c>
      <c r="I4318">
        <v>137553420</v>
      </c>
      <c r="J4318">
        <v>109714768</v>
      </c>
      <c r="K4318">
        <v>73094010</v>
      </c>
      <c r="L4318">
        <v>56861084</v>
      </c>
      <c r="M4318">
        <v>40240755</v>
      </c>
      <c r="N4318">
        <v>52408029</v>
      </c>
      <c r="P4318">
        <v>91</v>
      </c>
      <c r="Q4318" t="s">
        <v>8981</v>
      </c>
    </row>
    <row r="4319" spans="1:17" x14ac:dyDescent="0.3">
      <c r="A4319" t="s">
        <v>4729</v>
      </c>
      <c r="B4319" t="str">
        <f>"300519"</f>
        <v>300519</v>
      </c>
      <c r="C4319" t="s">
        <v>8982</v>
      </c>
      <c r="D4319" t="s">
        <v>188</v>
      </c>
      <c r="F4319">
        <v>15922856</v>
      </c>
      <c r="G4319">
        <v>19034823</v>
      </c>
      <c r="H4319">
        <v>19143122</v>
      </c>
      <c r="I4319">
        <v>18041949</v>
      </c>
      <c r="J4319">
        <v>27683169</v>
      </c>
      <c r="K4319">
        <v>34680026</v>
      </c>
      <c r="L4319">
        <v>32008538</v>
      </c>
      <c r="M4319">
        <v>41997296</v>
      </c>
      <c r="N4319">
        <v>32085194</v>
      </c>
      <c r="P4319">
        <v>251</v>
      </c>
      <c r="Q4319" t="s">
        <v>8983</v>
      </c>
    </row>
    <row r="4320" spans="1:17" x14ac:dyDescent="0.3">
      <c r="A4320" t="s">
        <v>4729</v>
      </c>
      <c r="B4320" t="str">
        <f>"300520"</f>
        <v>300520</v>
      </c>
      <c r="C4320" t="s">
        <v>8984</v>
      </c>
      <c r="D4320" t="s">
        <v>945</v>
      </c>
      <c r="F4320">
        <v>641787181</v>
      </c>
      <c r="G4320">
        <v>377482950</v>
      </c>
      <c r="H4320">
        <v>480901244</v>
      </c>
      <c r="I4320">
        <v>426833898</v>
      </c>
      <c r="J4320">
        <v>371380793</v>
      </c>
      <c r="K4320">
        <v>279447763</v>
      </c>
      <c r="L4320">
        <v>173406157</v>
      </c>
      <c r="M4320">
        <v>124595202</v>
      </c>
      <c r="N4320">
        <v>93114349</v>
      </c>
      <c r="P4320">
        <v>255</v>
      </c>
      <c r="Q4320" t="s">
        <v>8985</v>
      </c>
    </row>
    <row r="4321" spans="1:17" x14ac:dyDescent="0.3">
      <c r="A4321" t="s">
        <v>4729</v>
      </c>
      <c r="B4321" t="str">
        <f>"300521"</f>
        <v>300521</v>
      </c>
      <c r="C4321" t="s">
        <v>8986</v>
      </c>
      <c r="D4321" t="s">
        <v>3415</v>
      </c>
      <c r="F4321">
        <v>126616228</v>
      </c>
      <c r="G4321">
        <v>143572338</v>
      </c>
      <c r="H4321">
        <v>142533605</v>
      </c>
      <c r="I4321">
        <v>143917591</v>
      </c>
      <c r="J4321">
        <v>149605304</v>
      </c>
      <c r="K4321">
        <v>142290450</v>
      </c>
      <c r="L4321">
        <v>129592025</v>
      </c>
      <c r="M4321">
        <v>117811736</v>
      </c>
      <c r="N4321">
        <v>115349162</v>
      </c>
      <c r="P4321">
        <v>57</v>
      </c>
      <c r="Q4321" t="s">
        <v>8987</v>
      </c>
    </row>
    <row r="4322" spans="1:17" x14ac:dyDescent="0.3">
      <c r="A4322" t="s">
        <v>4729</v>
      </c>
      <c r="B4322" t="str">
        <f>"300522"</f>
        <v>300522</v>
      </c>
      <c r="C4322" t="s">
        <v>8988</v>
      </c>
      <c r="D4322" t="s">
        <v>2585</v>
      </c>
      <c r="F4322">
        <v>78013674</v>
      </c>
      <c r="G4322">
        <v>67756362</v>
      </c>
      <c r="H4322">
        <v>49824951</v>
      </c>
      <c r="I4322">
        <v>40475786</v>
      </c>
      <c r="J4322">
        <v>24370580</v>
      </c>
      <c r="K4322">
        <v>29970701</v>
      </c>
      <c r="L4322">
        <v>18039493</v>
      </c>
      <c r="M4322">
        <v>21016627</v>
      </c>
      <c r="N4322">
        <v>11272787</v>
      </c>
      <c r="P4322">
        <v>99</v>
      </c>
      <c r="Q4322" t="s">
        <v>8989</v>
      </c>
    </row>
    <row r="4323" spans="1:17" x14ac:dyDescent="0.3">
      <c r="A4323" t="s">
        <v>4729</v>
      </c>
      <c r="B4323" t="str">
        <f>"300523"</f>
        <v>300523</v>
      </c>
      <c r="C4323" t="s">
        <v>8990</v>
      </c>
      <c r="D4323" t="s">
        <v>316</v>
      </c>
      <c r="F4323">
        <v>1572355627</v>
      </c>
      <c r="G4323">
        <v>1288367846</v>
      </c>
      <c r="H4323">
        <v>1169750649</v>
      </c>
      <c r="I4323">
        <v>728111470</v>
      </c>
      <c r="J4323">
        <v>316414689</v>
      </c>
      <c r="K4323">
        <v>239116624</v>
      </c>
      <c r="L4323">
        <v>178834276</v>
      </c>
      <c r="M4323">
        <v>89012478</v>
      </c>
      <c r="N4323">
        <v>57086810</v>
      </c>
      <c r="P4323">
        <v>135</v>
      </c>
      <c r="Q4323" t="s">
        <v>8991</v>
      </c>
    </row>
    <row r="4324" spans="1:17" x14ac:dyDescent="0.3">
      <c r="A4324" t="s">
        <v>4729</v>
      </c>
      <c r="B4324" t="str">
        <f>"300525"</f>
        <v>300525</v>
      </c>
      <c r="C4324" t="s">
        <v>8992</v>
      </c>
      <c r="D4324" t="s">
        <v>945</v>
      </c>
      <c r="F4324">
        <v>569546169</v>
      </c>
      <c r="G4324">
        <v>447357899</v>
      </c>
      <c r="H4324">
        <v>299757940</v>
      </c>
      <c r="I4324">
        <v>207335822</v>
      </c>
      <c r="J4324">
        <v>107955136</v>
      </c>
      <c r="K4324">
        <v>47674162</v>
      </c>
      <c r="L4324">
        <v>32748710</v>
      </c>
      <c r="M4324">
        <v>37248851</v>
      </c>
      <c r="N4324">
        <v>25932630</v>
      </c>
      <c r="P4324">
        <v>241</v>
      </c>
      <c r="Q4324" t="s">
        <v>8993</v>
      </c>
    </row>
    <row r="4325" spans="1:17" x14ac:dyDescent="0.3">
      <c r="A4325" t="s">
        <v>4729</v>
      </c>
      <c r="B4325" t="str">
        <f>"300526"</f>
        <v>300526</v>
      </c>
      <c r="C4325" t="s">
        <v>8994</v>
      </c>
      <c r="D4325" t="s">
        <v>330</v>
      </c>
      <c r="F4325">
        <v>2597501</v>
      </c>
      <c r="G4325">
        <v>28590246</v>
      </c>
      <c r="H4325">
        <v>124652271</v>
      </c>
      <c r="I4325">
        <v>89984799</v>
      </c>
      <c r="J4325">
        <v>102789761</v>
      </c>
      <c r="K4325">
        <v>113708356</v>
      </c>
      <c r="L4325">
        <v>48869413</v>
      </c>
      <c r="M4325">
        <v>60793307</v>
      </c>
      <c r="N4325">
        <v>66782197</v>
      </c>
      <c r="P4325">
        <v>104</v>
      </c>
      <c r="Q4325" t="s">
        <v>8995</v>
      </c>
    </row>
    <row r="4326" spans="1:17" x14ac:dyDescent="0.3">
      <c r="A4326" t="s">
        <v>4729</v>
      </c>
      <c r="B4326" t="str">
        <f>"300527"</f>
        <v>300527</v>
      </c>
      <c r="C4326" t="s">
        <v>8996</v>
      </c>
      <c r="D4326" t="s">
        <v>428</v>
      </c>
      <c r="F4326">
        <v>360464483</v>
      </c>
      <c r="G4326">
        <v>401018087</v>
      </c>
      <c r="H4326">
        <v>541179324</v>
      </c>
      <c r="I4326">
        <v>1064110148</v>
      </c>
      <c r="J4326">
        <v>119699107</v>
      </c>
      <c r="K4326">
        <v>166494820</v>
      </c>
      <c r="L4326">
        <v>156755690</v>
      </c>
      <c r="M4326">
        <v>155745611</v>
      </c>
      <c r="N4326">
        <v>149440653</v>
      </c>
      <c r="P4326">
        <v>144</v>
      </c>
      <c r="Q4326" t="s">
        <v>8997</v>
      </c>
    </row>
    <row r="4327" spans="1:17" x14ac:dyDescent="0.3">
      <c r="A4327" t="s">
        <v>4729</v>
      </c>
      <c r="B4327" t="str">
        <f>"300528"</f>
        <v>300528</v>
      </c>
      <c r="C4327" t="s">
        <v>8998</v>
      </c>
      <c r="D4327" t="s">
        <v>2573</v>
      </c>
      <c r="F4327">
        <v>224231903</v>
      </c>
      <c r="G4327">
        <v>379122348</v>
      </c>
      <c r="H4327">
        <v>406360118</v>
      </c>
      <c r="I4327">
        <v>186772350</v>
      </c>
      <c r="J4327">
        <v>559253528</v>
      </c>
      <c r="K4327">
        <v>331087165</v>
      </c>
      <c r="L4327">
        <v>378903148</v>
      </c>
      <c r="M4327">
        <v>334152902</v>
      </c>
      <c r="N4327">
        <v>433348272</v>
      </c>
      <c r="P4327">
        <v>81</v>
      </c>
      <c r="Q4327" t="s">
        <v>8999</v>
      </c>
    </row>
    <row r="4328" spans="1:17" x14ac:dyDescent="0.3">
      <c r="A4328" t="s">
        <v>4729</v>
      </c>
      <c r="B4328" t="str">
        <f>"300529"</f>
        <v>300529</v>
      </c>
      <c r="C4328" t="s">
        <v>9000</v>
      </c>
      <c r="D4328" t="s">
        <v>1077</v>
      </c>
      <c r="F4328">
        <v>269089958</v>
      </c>
      <c r="G4328">
        <v>167407463</v>
      </c>
      <c r="H4328">
        <v>158296214</v>
      </c>
      <c r="I4328">
        <v>127201269</v>
      </c>
      <c r="J4328">
        <v>106239046</v>
      </c>
      <c r="K4328">
        <v>75432308</v>
      </c>
      <c r="L4328">
        <v>52104294</v>
      </c>
      <c r="M4328">
        <v>36812918</v>
      </c>
      <c r="N4328">
        <v>10912050</v>
      </c>
      <c r="P4328">
        <v>5945</v>
      </c>
      <c r="Q4328" t="s">
        <v>9001</v>
      </c>
    </row>
    <row r="4329" spans="1:17" x14ac:dyDescent="0.3">
      <c r="A4329" t="s">
        <v>4729</v>
      </c>
      <c r="B4329" t="str">
        <f>"300530"</f>
        <v>300530</v>
      </c>
      <c r="C4329" t="s">
        <v>9002</v>
      </c>
      <c r="D4329" t="s">
        <v>386</v>
      </c>
      <c r="F4329">
        <v>46827686</v>
      </c>
      <c r="G4329">
        <v>34441911</v>
      </c>
      <c r="H4329">
        <v>75916260</v>
      </c>
      <c r="I4329">
        <v>63500842</v>
      </c>
      <c r="J4329">
        <v>35249783</v>
      </c>
      <c r="K4329">
        <v>27194570</v>
      </c>
      <c r="L4329">
        <v>19771685</v>
      </c>
      <c r="M4329">
        <v>22433646</v>
      </c>
      <c r="N4329">
        <v>20403010</v>
      </c>
      <c r="P4329">
        <v>64</v>
      </c>
      <c r="Q4329" t="s">
        <v>9003</v>
      </c>
    </row>
    <row r="4330" spans="1:17" x14ac:dyDescent="0.3">
      <c r="A4330" t="s">
        <v>4729</v>
      </c>
      <c r="B4330" t="str">
        <f>"300531"</f>
        <v>300531</v>
      </c>
      <c r="C4330" t="s">
        <v>9004</v>
      </c>
      <c r="D4330" t="s">
        <v>236</v>
      </c>
      <c r="F4330">
        <v>346888933</v>
      </c>
      <c r="G4330">
        <v>280711848</v>
      </c>
      <c r="H4330">
        <v>211416353</v>
      </c>
      <c r="I4330">
        <v>275781157</v>
      </c>
      <c r="J4330">
        <v>165708873</v>
      </c>
      <c r="K4330">
        <v>139064551</v>
      </c>
      <c r="L4330">
        <v>119122505</v>
      </c>
      <c r="M4330">
        <v>109676227</v>
      </c>
      <c r="N4330">
        <v>61515823</v>
      </c>
      <c r="P4330">
        <v>173</v>
      </c>
      <c r="Q4330" t="s">
        <v>9005</v>
      </c>
    </row>
    <row r="4331" spans="1:17" x14ac:dyDescent="0.3">
      <c r="A4331" t="s">
        <v>4729</v>
      </c>
      <c r="B4331" t="str">
        <f>"300532"</f>
        <v>300532</v>
      </c>
      <c r="C4331" t="s">
        <v>9006</v>
      </c>
      <c r="D4331" t="s">
        <v>316</v>
      </c>
      <c r="F4331">
        <v>277520795</v>
      </c>
      <c r="G4331">
        <v>220133851</v>
      </c>
      <c r="H4331">
        <v>480358863</v>
      </c>
      <c r="I4331">
        <v>457363835</v>
      </c>
      <c r="J4331">
        <v>454857239</v>
      </c>
      <c r="K4331">
        <v>388180152</v>
      </c>
      <c r="L4331">
        <v>329290838</v>
      </c>
      <c r="M4331">
        <v>229773439</v>
      </c>
      <c r="N4331">
        <v>141870883</v>
      </c>
      <c r="P4331">
        <v>220</v>
      </c>
      <c r="Q4331" t="s">
        <v>9007</v>
      </c>
    </row>
    <row r="4332" spans="1:17" x14ac:dyDescent="0.3">
      <c r="A4332" t="s">
        <v>4729</v>
      </c>
      <c r="B4332" t="str">
        <f>"300533"</f>
        <v>300533</v>
      </c>
      <c r="C4332" t="s">
        <v>9008</v>
      </c>
      <c r="D4332" t="s">
        <v>517</v>
      </c>
      <c r="F4332">
        <v>69234098</v>
      </c>
      <c r="G4332">
        <v>53337189</v>
      </c>
      <c r="H4332">
        <v>48465250</v>
      </c>
      <c r="I4332">
        <v>17694439</v>
      </c>
      <c r="J4332">
        <v>3938921</v>
      </c>
      <c r="K4332">
        <v>1861005</v>
      </c>
      <c r="L4332">
        <v>2060776</v>
      </c>
      <c r="M4332">
        <v>2149128</v>
      </c>
      <c r="N4332">
        <v>2282257</v>
      </c>
      <c r="P4332">
        <v>131</v>
      </c>
      <c r="Q4332" t="s">
        <v>9009</v>
      </c>
    </row>
    <row r="4333" spans="1:17" x14ac:dyDescent="0.3">
      <c r="A4333" t="s">
        <v>4729</v>
      </c>
      <c r="B4333" t="str">
        <f>"300534"</f>
        <v>300534</v>
      </c>
      <c r="C4333" t="s">
        <v>9010</v>
      </c>
      <c r="D4333" t="s">
        <v>188</v>
      </c>
      <c r="F4333">
        <v>136182947</v>
      </c>
      <c r="G4333">
        <v>159416843</v>
      </c>
      <c r="H4333">
        <v>172107676</v>
      </c>
      <c r="I4333">
        <v>163322223</v>
      </c>
      <c r="J4333">
        <v>157786361</v>
      </c>
      <c r="K4333">
        <v>135893531</v>
      </c>
      <c r="L4333">
        <v>90737074</v>
      </c>
      <c r="M4333">
        <v>46272308</v>
      </c>
      <c r="N4333">
        <v>49338266</v>
      </c>
      <c r="P4333">
        <v>109</v>
      </c>
      <c r="Q4333" t="s">
        <v>9011</v>
      </c>
    </row>
    <row r="4334" spans="1:17" x14ac:dyDescent="0.3">
      <c r="A4334" t="s">
        <v>4729</v>
      </c>
      <c r="B4334" t="str">
        <f>"300535"</f>
        <v>300535</v>
      </c>
      <c r="C4334" t="s">
        <v>9012</v>
      </c>
      <c r="D4334" t="s">
        <v>386</v>
      </c>
      <c r="F4334">
        <v>213370819</v>
      </c>
      <c r="G4334">
        <v>228308493</v>
      </c>
      <c r="H4334">
        <v>202796220</v>
      </c>
      <c r="I4334">
        <v>182832133</v>
      </c>
      <c r="J4334">
        <v>135382469</v>
      </c>
      <c r="K4334">
        <v>126985766</v>
      </c>
      <c r="L4334">
        <v>121321897</v>
      </c>
      <c r="M4334">
        <v>113605776</v>
      </c>
      <c r="N4334">
        <v>92842313</v>
      </c>
      <c r="P4334">
        <v>73</v>
      </c>
      <c r="Q4334" t="s">
        <v>9013</v>
      </c>
    </row>
    <row r="4335" spans="1:17" x14ac:dyDescent="0.3">
      <c r="A4335" t="s">
        <v>4729</v>
      </c>
      <c r="B4335" t="str">
        <f>"300536"</f>
        <v>300536</v>
      </c>
      <c r="C4335" t="s">
        <v>9014</v>
      </c>
      <c r="D4335" t="s">
        <v>2417</v>
      </c>
      <c r="F4335">
        <v>132036718</v>
      </c>
      <c r="G4335">
        <v>105399901</v>
      </c>
      <c r="H4335">
        <v>166134037</v>
      </c>
      <c r="I4335">
        <v>242598732</v>
      </c>
      <c r="J4335">
        <v>238220601</v>
      </c>
      <c r="K4335">
        <v>167592091</v>
      </c>
      <c r="L4335">
        <v>105088353</v>
      </c>
      <c r="M4335">
        <v>114683620</v>
      </c>
      <c r="N4335">
        <v>89989199</v>
      </c>
      <c r="P4335">
        <v>63</v>
      </c>
      <c r="Q4335" t="s">
        <v>9015</v>
      </c>
    </row>
    <row r="4336" spans="1:17" x14ac:dyDescent="0.3">
      <c r="A4336" t="s">
        <v>4729</v>
      </c>
      <c r="B4336" t="str">
        <f>"300537"</f>
        <v>300537</v>
      </c>
      <c r="C4336" t="s">
        <v>9016</v>
      </c>
      <c r="D4336" t="s">
        <v>2408</v>
      </c>
      <c r="F4336">
        <v>287001000</v>
      </c>
      <c r="G4336">
        <v>360715361</v>
      </c>
      <c r="H4336">
        <v>431922854</v>
      </c>
      <c r="I4336">
        <v>384102140</v>
      </c>
      <c r="J4336">
        <v>327627715</v>
      </c>
      <c r="K4336">
        <v>135293889</v>
      </c>
      <c r="L4336">
        <v>120248765</v>
      </c>
      <c r="M4336">
        <v>121682569</v>
      </c>
      <c r="N4336">
        <v>134228301</v>
      </c>
      <c r="P4336">
        <v>225</v>
      </c>
      <c r="Q4336" t="s">
        <v>9017</v>
      </c>
    </row>
    <row r="4337" spans="1:17" x14ac:dyDescent="0.3">
      <c r="A4337" t="s">
        <v>4729</v>
      </c>
      <c r="B4337" t="str">
        <f>"300538"</f>
        <v>300538</v>
      </c>
      <c r="C4337" t="s">
        <v>9018</v>
      </c>
      <c r="D4337" t="s">
        <v>341</v>
      </c>
      <c r="F4337">
        <v>590753533</v>
      </c>
      <c r="G4337">
        <v>447386311</v>
      </c>
      <c r="H4337">
        <v>464370688</v>
      </c>
      <c r="I4337">
        <v>261594312</v>
      </c>
      <c r="J4337">
        <v>194953522</v>
      </c>
      <c r="K4337">
        <v>166450381</v>
      </c>
      <c r="L4337">
        <v>150185308</v>
      </c>
      <c r="M4337">
        <v>165085744</v>
      </c>
      <c r="N4337">
        <v>144271101</v>
      </c>
      <c r="P4337">
        <v>186</v>
      </c>
      <c r="Q4337" t="s">
        <v>9019</v>
      </c>
    </row>
    <row r="4338" spans="1:17" x14ac:dyDescent="0.3">
      <c r="A4338" t="s">
        <v>4729</v>
      </c>
      <c r="B4338" t="str">
        <f>"300539"</f>
        <v>300539</v>
      </c>
      <c r="C4338" t="s">
        <v>9020</v>
      </c>
      <c r="D4338" t="s">
        <v>1192</v>
      </c>
      <c r="F4338">
        <v>238585263</v>
      </c>
      <c r="G4338">
        <v>218231894</v>
      </c>
      <c r="H4338">
        <v>186024609</v>
      </c>
      <c r="I4338">
        <v>185817250</v>
      </c>
      <c r="J4338">
        <v>143999470</v>
      </c>
      <c r="K4338">
        <v>97860459</v>
      </c>
      <c r="L4338">
        <v>82299073</v>
      </c>
      <c r="M4338">
        <v>80770840</v>
      </c>
      <c r="N4338">
        <v>90618356</v>
      </c>
      <c r="P4338">
        <v>84</v>
      </c>
      <c r="Q4338" t="s">
        <v>9021</v>
      </c>
    </row>
    <row r="4339" spans="1:17" x14ac:dyDescent="0.3">
      <c r="A4339" t="s">
        <v>4729</v>
      </c>
      <c r="B4339" t="str">
        <f>"300540"</f>
        <v>300540</v>
      </c>
      <c r="C4339" t="s">
        <v>9022</v>
      </c>
      <c r="D4339" t="s">
        <v>741</v>
      </c>
      <c r="F4339">
        <v>141651698</v>
      </c>
      <c r="G4339">
        <v>201751284</v>
      </c>
      <c r="H4339">
        <v>342204970</v>
      </c>
      <c r="I4339">
        <v>433245694</v>
      </c>
      <c r="J4339">
        <v>385035411</v>
      </c>
      <c r="K4339">
        <v>380350932</v>
      </c>
      <c r="L4339">
        <v>380641232</v>
      </c>
      <c r="M4339">
        <v>274540617</v>
      </c>
      <c r="N4339">
        <v>167522609</v>
      </c>
      <c r="P4339">
        <v>65</v>
      </c>
      <c r="Q4339" t="s">
        <v>9023</v>
      </c>
    </row>
    <row r="4340" spans="1:17" x14ac:dyDescent="0.3">
      <c r="A4340" t="s">
        <v>4729</v>
      </c>
      <c r="B4340" t="str">
        <f>"300541"</f>
        <v>300541</v>
      </c>
      <c r="C4340" t="s">
        <v>9024</v>
      </c>
      <c r="D4340" t="s">
        <v>316</v>
      </c>
      <c r="F4340">
        <v>514886399</v>
      </c>
      <c r="G4340">
        <v>610769936</v>
      </c>
      <c r="H4340">
        <v>576585150</v>
      </c>
      <c r="I4340">
        <v>466295723</v>
      </c>
      <c r="J4340">
        <v>522726050</v>
      </c>
      <c r="K4340">
        <v>443317554</v>
      </c>
      <c r="L4340">
        <v>316925904</v>
      </c>
      <c r="M4340">
        <v>258106985</v>
      </c>
      <c r="N4340">
        <v>181770908</v>
      </c>
      <c r="P4340">
        <v>177</v>
      </c>
      <c r="Q4340" t="s">
        <v>9025</v>
      </c>
    </row>
    <row r="4341" spans="1:17" x14ac:dyDescent="0.3">
      <c r="A4341" t="s">
        <v>4729</v>
      </c>
      <c r="B4341" t="str">
        <f>"300542"</f>
        <v>300542</v>
      </c>
      <c r="C4341" t="s">
        <v>9026</v>
      </c>
      <c r="D4341" t="s">
        <v>945</v>
      </c>
      <c r="F4341">
        <v>316355476</v>
      </c>
      <c r="G4341">
        <v>299137415</v>
      </c>
      <c r="H4341">
        <v>361048012</v>
      </c>
      <c r="I4341">
        <v>330364991</v>
      </c>
      <c r="J4341">
        <v>322544206</v>
      </c>
      <c r="K4341">
        <v>234775114</v>
      </c>
      <c r="L4341">
        <v>190598492</v>
      </c>
      <c r="M4341">
        <v>168334604</v>
      </c>
      <c r="N4341">
        <v>119343663</v>
      </c>
      <c r="P4341">
        <v>143</v>
      </c>
      <c r="Q4341" t="s">
        <v>9027</v>
      </c>
    </row>
    <row r="4342" spans="1:17" x14ac:dyDescent="0.3">
      <c r="A4342" t="s">
        <v>4729</v>
      </c>
      <c r="B4342" t="str">
        <f>"300543"</f>
        <v>300543</v>
      </c>
      <c r="C4342" t="s">
        <v>9028</v>
      </c>
      <c r="D4342" t="s">
        <v>313</v>
      </c>
      <c r="F4342">
        <v>504222778</v>
      </c>
      <c r="G4342">
        <v>250159487</v>
      </c>
      <c r="H4342">
        <v>192925840</v>
      </c>
      <c r="I4342">
        <v>208687307</v>
      </c>
      <c r="J4342">
        <v>179746886</v>
      </c>
      <c r="K4342">
        <v>156038592</v>
      </c>
      <c r="L4342">
        <v>135136716</v>
      </c>
      <c r="M4342">
        <v>93492920</v>
      </c>
      <c r="N4342">
        <v>81425870</v>
      </c>
      <c r="P4342">
        <v>152</v>
      </c>
      <c r="Q4342" t="s">
        <v>9029</v>
      </c>
    </row>
    <row r="4343" spans="1:17" x14ac:dyDescent="0.3">
      <c r="A4343" t="s">
        <v>4729</v>
      </c>
      <c r="B4343" t="str">
        <f>"300545"</f>
        <v>300545</v>
      </c>
      <c r="C4343" t="s">
        <v>9030</v>
      </c>
      <c r="D4343" t="s">
        <v>1117</v>
      </c>
      <c r="F4343">
        <v>454350463</v>
      </c>
      <c r="G4343">
        <v>384736203</v>
      </c>
      <c r="H4343">
        <v>295622546</v>
      </c>
      <c r="I4343">
        <v>253099238</v>
      </c>
      <c r="J4343">
        <v>135183145</v>
      </c>
      <c r="K4343">
        <v>136506838</v>
      </c>
      <c r="L4343">
        <v>108647966</v>
      </c>
      <c r="M4343">
        <v>48526765</v>
      </c>
      <c r="N4343">
        <v>76892074</v>
      </c>
      <c r="P4343">
        <v>182</v>
      </c>
      <c r="Q4343" t="s">
        <v>9031</v>
      </c>
    </row>
    <row r="4344" spans="1:17" x14ac:dyDescent="0.3">
      <c r="A4344" t="s">
        <v>4729</v>
      </c>
      <c r="B4344" t="str">
        <f>"300546"</f>
        <v>300546</v>
      </c>
      <c r="C4344" t="s">
        <v>9032</v>
      </c>
      <c r="D4344" t="s">
        <v>236</v>
      </c>
      <c r="F4344">
        <v>243166974</v>
      </c>
      <c r="G4344">
        <v>231532209</v>
      </c>
      <c r="H4344">
        <v>241606793</v>
      </c>
      <c r="I4344">
        <v>215659752</v>
      </c>
      <c r="J4344">
        <v>159589548</v>
      </c>
      <c r="K4344">
        <v>102061024</v>
      </c>
      <c r="L4344">
        <v>78205877</v>
      </c>
      <c r="M4344">
        <v>61708962</v>
      </c>
      <c r="N4344">
        <v>81227093</v>
      </c>
      <c r="P4344">
        <v>196</v>
      </c>
      <c r="Q4344" t="s">
        <v>9033</v>
      </c>
    </row>
    <row r="4345" spans="1:17" x14ac:dyDescent="0.3">
      <c r="A4345" t="s">
        <v>4729</v>
      </c>
      <c r="B4345" t="str">
        <f>"300547"</f>
        <v>300547</v>
      </c>
      <c r="C4345" t="s">
        <v>9034</v>
      </c>
      <c r="D4345" t="s">
        <v>348</v>
      </c>
      <c r="F4345">
        <v>202975553</v>
      </c>
      <c r="G4345">
        <v>213816704</v>
      </c>
      <c r="H4345">
        <v>217658460</v>
      </c>
      <c r="I4345">
        <v>165819873</v>
      </c>
      <c r="J4345">
        <v>171474424</v>
      </c>
      <c r="K4345">
        <v>134238063</v>
      </c>
      <c r="L4345">
        <v>122479291</v>
      </c>
      <c r="M4345">
        <v>120340923</v>
      </c>
      <c r="N4345">
        <v>98390080</v>
      </c>
      <c r="P4345">
        <v>181</v>
      </c>
      <c r="Q4345" t="s">
        <v>9035</v>
      </c>
    </row>
    <row r="4346" spans="1:17" x14ac:dyDescent="0.3">
      <c r="A4346" t="s">
        <v>4729</v>
      </c>
      <c r="B4346" t="str">
        <f>"300548"</f>
        <v>300548</v>
      </c>
      <c r="C4346" t="s">
        <v>9036</v>
      </c>
      <c r="D4346" t="s">
        <v>1019</v>
      </c>
      <c r="F4346">
        <v>239290663</v>
      </c>
      <c r="G4346">
        <v>207587076</v>
      </c>
      <c r="H4346">
        <v>102539135</v>
      </c>
      <c r="I4346">
        <v>80504164</v>
      </c>
      <c r="J4346">
        <v>92108418</v>
      </c>
      <c r="K4346">
        <v>101268986</v>
      </c>
      <c r="L4346">
        <v>90551021</v>
      </c>
      <c r="M4346">
        <v>57714678</v>
      </c>
      <c r="N4346">
        <v>62187359</v>
      </c>
      <c r="P4346">
        <v>289</v>
      </c>
      <c r="Q4346" t="s">
        <v>9037</v>
      </c>
    </row>
    <row r="4347" spans="1:17" x14ac:dyDescent="0.3">
      <c r="A4347" t="s">
        <v>4729</v>
      </c>
      <c r="B4347" t="str">
        <f>"300549"</f>
        <v>300549</v>
      </c>
      <c r="C4347" t="s">
        <v>9038</v>
      </c>
      <c r="D4347" t="s">
        <v>741</v>
      </c>
      <c r="F4347">
        <v>161632760</v>
      </c>
      <c r="G4347">
        <v>151053658</v>
      </c>
      <c r="H4347">
        <v>144446602</v>
      </c>
      <c r="I4347">
        <v>160807410</v>
      </c>
      <c r="J4347">
        <v>181738267</v>
      </c>
      <c r="K4347">
        <v>155415207</v>
      </c>
      <c r="L4347">
        <v>124321944</v>
      </c>
      <c r="M4347">
        <v>123530135</v>
      </c>
      <c r="N4347">
        <v>90937762</v>
      </c>
      <c r="P4347">
        <v>92</v>
      </c>
      <c r="Q4347" t="s">
        <v>9039</v>
      </c>
    </row>
    <row r="4348" spans="1:17" x14ac:dyDescent="0.3">
      <c r="A4348" t="s">
        <v>4729</v>
      </c>
      <c r="B4348" t="str">
        <f>"300550"</f>
        <v>300550</v>
      </c>
      <c r="C4348" t="s">
        <v>9040</v>
      </c>
      <c r="D4348" t="s">
        <v>945</v>
      </c>
      <c r="F4348">
        <v>249509575</v>
      </c>
      <c r="G4348">
        <v>220023308</v>
      </c>
      <c r="H4348">
        <v>307633563</v>
      </c>
      <c r="I4348">
        <v>311603506</v>
      </c>
      <c r="J4348">
        <v>195808655</v>
      </c>
      <c r="K4348">
        <v>145841686</v>
      </c>
      <c r="L4348">
        <v>121153230</v>
      </c>
      <c r="M4348">
        <v>103955639</v>
      </c>
      <c r="N4348">
        <v>59273804</v>
      </c>
      <c r="P4348">
        <v>123</v>
      </c>
      <c r="Q4348" t="s">
        <v>9041</v>
      </c>
    </row>
    <row r="4349" spans="1:17" x14ac:dyDescent="0.3">
      <c r="A4349" t="s">
        <v>4729</v>
      </c>
      <c r="B4349" t="str">
        <f>"300551"</f>
        <v>300551</v>
      </c>
      <c r="C4349" t="s">
        <v>9042</v>
      </c>
      <c r="D4349" t="s">
        <v>236</v>
      </c>
      <c r="F4349">
        <v>112466433</v>
      </c>
      <c r="G4349">
        <v>129930522</v>
      </c>
      <c r="H4349">
        <v>201685417</v>
      </c>
      <c r="I4349">
        <v>169803454</v>
      </c>
      <c r="J4349">
        <v>154942127</v>
      </c>
      <c r="K4349">
        <v>140073941</v>
      </c>
      <c r="L4349">
        <v>111468466</v>
      </c>
      <c r="M4349">
        <v>67011014</v>
      </c>
      <c r="N4349">
        <v>61274508</v>
      </c>
      <c r="P4349">
        <v>89</v>
      </c>
      <c r="Q4349" t="s">
        <v>9043</v>
      </c>
    </row>
    <row r="4350" spans="1:17" x14ac:dyDescent="0.3">
      <c r="A4350" t="s">
        <v>4729</v>
      </c>
      <c r="B4350" t="str">
        <f>"300552"</f>
        <v>300552</v>
      </c>
      <c r="C4350" t="s">
        <v>9044</v>
      </c>
      <c r="D4350" t="s">
        <v>236</v>
      </c>
      <c r="F4350">
        <v>971234331</v>
      </c>
      <c r="G4350">
        <v>1223391462</v>
      </c>
      <c r="H4350">
        <v>1346184636</v>
      </c>
      <c r="I4350">
        <v>543485672</v>
      </c>
      <c r="J4350">
        <v>470241881</v>
      </c>
      <c r="K4350">
        <v>360373838</v>
      </c>
      <c r="L4350">
        <v>283210306</v>
      </c>
      <c r="M4350">
        <v>249432484</v>
      </c>
      <c r="N4350">
        <v>239469207</v>
      </c>
      <c r="P4350">
        <v>327</v>
      </c>
      <c r="Q4350" t="s">
        <v>9045</v>
      </c>
    </row>
    <row r="4351" spans="1:17" x14ac:dyDescent="0.3">
      <c r="A4351" t="s">
        <v>4729</v>
      </c>
      <c r="B4351" t="str">
        <f>"300553"</f>
        <v>300553</v>
      </c>
      <c r="C4351" t="s">
        <v>9046</v>
      </c>
      <c r="D4351" t="s">
        <v>2566</v>
      </c>
      <c r="F4351">
        <v>44917303</v>
      </c>
      <c r="G4351">
        <v>66193862</v>
      </c>
      <c r="H4351">
        <v>58906301</v>
      </c>
      <c r="I4351">
        <v>51908744</v>
      </c>
      <c r="J4351">
        <v>45758545</v>
      </c>
      <c r="K4351">
        <v>40802035</v>
      </c>
      <c r="L4351">
        <v>36485536</v>
      </c>
      <c r="M4351">
        <v>26017405</v>
      </c>
      <c r="N4351">
        <v>23755478</v>
      </c>
      <c r="P4351">
        <v>72</v>
      </c>
      <c r="Q4351" t="s">
        <v>9047</v>
      </c>
    </row>
    <row r="4352" spans="1:17" x14ac:dyDescent="0.3">
      <c r="A4352" t="s">
        <v>4729</v>
      </c>
      <c r="B4352" t="str">
        <f>"300554"</f>
        <v>300554</v>
      </c>
      <c r="C4352" t="s">
        <v>9048</v>
      </c>
      <c r="D4352" t="s">
        <v>404</v>
      </c>
      <c r="F4352">
        <v>89331664</v>
      </c>
      <c r="G4352">
        <v>100827438</v>
      </c>
      <c r="H4352">
        <v>78611244</v>
      </c>
      <c r="I4352">
        <v>97509970</v>
      </c>
      <c r="J4352">
        <v>94164492</v>
      </c>
      <c r="K4352">
        <v>65794510</v>
      </c>
      <c r="L4352">
        <v>48876417</v>
      </c>
      <c r="M4352">
        <v>53043487</v>
      </c>
      <c r="P4352">
        <v>123</v>
      </c>
      <c r="Q4352" t="s">
        <v>9049</v>
      </c>
    </row>
    <row r="4353" spans="1:17" x14ac:dyDescent="0.3">
      <c r="A4353" t="s">
        <v>4729</v>
      </c>
      <c r="B4353" t="str">
        <f>"300555"</f>
        <v>300555</v>
      </c>
      <c r="C4353" t="s">
        <v>9050</v>
      </c>
      <c r="D4353" t="s">
        <v>786</v>
      </c>
      <c r="F4353">
        <v>238368114</v>
      </c>
      <c r="G4353">
        <v>259564241</v>
      </c>
      <c r="H4353">
        <v>308383563</v>
      </c>
      <c r="I4353">
        <v>390206341</v>
      </c>
      <c r="J4353">
        <v>374214914</v>
      </c>
      <c r="K4353">
        <v>325283684</v>
      </c>
      <c r="L4353">
        <v>232821462</v>
      </c>
      <c r="M4353">
        <v>176379478</v>
      </c>
      <c r="N4353">
        <v>134521425</v>
      </c>
      <c r="P4353">
        <v>72</v>
      </c>
      <c r="Q4353" t="s">
        <v>9051</v>
      </c>
    </row>
    <row r="4354" spans="1:17" x14ac:dyDescent="0.3">
      <c r="A4354" t="s">
        <v>4729</v>
      </c>
      <c r="B4354" t="str">
        <f>"300556"</f>
        <v>300556</v>
      </c>
      <c r="C4354" t="s">
        <v>9052</v>
      </c>
      <c r="D4354" t="s">
        <v>945</v>
      </c>
      <c r="F4354">
        <v>501010506</v>
      </c>
      <c r="G4354">
        <v>359517594</v>
      </c>
      <c r="H4354">
        <v>503909221</v>
      </c>
      <c r="I4354">
        <v>323480795</v>
      </c>
      <c r="J4354">
        <v>233597424</v>
      </c>
      <c r="K4354">
        <v>213017145</v>
      </c>
      <c r="L4354">
        <v>145474923</v>
      </c>
      <c r="M4354">
        <v>111453043</v>
      </c>
      <c r="N4354">
        <v>85848398</v>
      </c>
      <c r="P4354">
        <v>112</v>
      </c>
      <c r="Q4354" t="s">
        <v>9053</v>
      </c>
    </row>
    <row r="4355" spans="1:17" x14ac:dyDescent="0.3">
      <c r="A4355" t="s">
        <v>4729</v>
      </c>
      <c r="B4355" t="str">
        <f>"300557"</f>
        <v>300557</v>
      </c>
      <c r="C4355" t="s">
        <v>9054</v>
      </c>
      <c r="D4355" t="s">
        <v>2566</v>
      </c>
      <c r="F4355">
        <v>288392649</v>
      </c>
      <c r="G4355">
        <v>245554696</v>
      </c>
      <c r="H4355">
        <v>273333630</v>
      </c>
      <c r="I4355">
        <v>221267077</v>
      </c>
      <c r="J4355">
        <v>207234736</v>
      </c>
      <c r="K4355">
        <v>139864455</v>
      </c>
      <c r="L4355">
        <v>125022683</v>
      </c>
      <c r="M4355">
        <v>115665363</v>
      </c>
      <c r="N4355">
        <v>89233615</v>
      </c>
      <c r="P4355">
        <v>61</v>
      </c>
      <c r="Q4355" t="s">
        <v>9055</v>
      </c>
    </row>
    <row r="4356" spans="1:17" x14ac:dyDescent="0.3">
      <c r="A4356" t="s">
        <v>4729</v>
      </c>
      <c r="B4356" t="str">
        <f>"300558"</f>
        <v>300558</v>
      </c>
      <c r="C4356" t="s">
        <v>9056</v>
      </c>
      <c r="D4356" t="s">
        <v>143</v>
      </c>
      <c r="F4356">
        <v>168932246</v>
      </c>
      <c r="G4356">
        <v>52613130</v>
      </c>
      <c r="H4356">
        <v>56028646</v>
      </c>
      <c r="I4356">
        <v>63813999</v>
      </c>
      <c r="J4356">
        <v>91973343</v>
      </c>
      <c r="K4356">
        <v>38120122</v>
      </c>
      <c r="L4356">
        <v>27440835</v>
      </c>
      <c r="M4356">
        <v>15979782</v>
      </c>
      <c r="N4356">
        <v>7876314</v>
      </c>
      <c r="P4356">
        <v>756</v>
      </c>
      <c r="Q4356" t="s">
        <v>9057</v>
      </c>
    </row>
    <row r="4357" spans="1:17" x14ac:dyDescent="0.3">
      <c r="A4357" t="s">
        <v>4729</v>
      </c>
      <c r="B4357" t="str">
        <f>"300559"</f>
        <v>300559</v>
      </c>
      <c r="C4357" t="s">
        <v>9058</v>
      </c>
      <c r="D4357" t="s">
        <v>945</v>
      </c>
      <c r="F4357">
        <v>152560728</v>
      </c>
      <c r="G4357">
        <v>216123847</v>
      </c>
      <c r="H4357">
        <v>181909395</v>
      </c>
      <c r="I4357">
        <v>140370728</v>
      </c>
      <c r="J4357">
        <v>77769002</v>
      </c>
      <c r="K4357">
        <v>78602011</v>
      </c>
      <c r="L4357">
        <v>76757186</v>
      </c>
      <c r="M4357">
        <v>70054234</v>
      </c>
      <c r="N4357">
        <v>55199167</v>
      </c>
      <c r="P4357">
        <v>369</v>
      </c>
      <c r="Q4357" t="s">
        <v>9059</v>
      </c>
    </row>
    <row r="4358" spans="1:17" x14ac:dyDescent="0.3">
      <c r="A4358" t="s">
        <v>4729</v>
      </c>
      <c r="B4358" t="str">
        <f>"300560"</f>
        <v>300560</v>
      </c>
      <c r="C4358" t="s">
        <v>9060</v>
      </c>
      <c r="D4358" t="s">
        <v>654</v>
      </c>
      <c r="F4358">
        <v>1120193439</v>
      </c>
      <c r="G4358">
        <v>823444363</v>
      </c>
      <c r="H4358">
        <v>612946113</v>
      </c>
      <c r="I4358">
        <v>493933604</v>
      </c>
      <c r="J4358">
        <v>365054184</v>
      </c>
      <c r="K4358">
        <v>287487758</v>
      </c>
      <c r="L4358">
        <v>257744913</v>
      </c>
      <c r="M4358">
        <v>255649633</v>
      </c>
      <c r="N4358">
        <v>207766433</v>
      </c>
      <c r="P4358">
        <v>192</v>
      </c>
      <c r="Q4358" t="s">
        <v>9061</v>
      </c>
    </row>
    <row r="4359" spans="1:17" x14ac:dyDescent="0.3">
      <c r="A4359" t="s">
        <v>4729</v>
      </c>
      <c r="B4359" t="str">
        <f>"300561"</f>
        <v>300561</v>
      </c>
      <c r="C4359" t="s">
        <v>9062</v>
      </c>
      <c r="D4359" t="s">
        <v>945</v>
      </c>
      <c r="F4359">
        <v>76000619</v>
      </c>
      <c r="G4359">
        <v>87144787</v>
      </c>
      <c r="H4359">
        <v>122217513</v>
      </c>
      <c r="I4359">
        <v>145869358</v>
      </c>
      <c r="J4359">
        <v>105711642</v>
      </c>
      <c r="K4359">
        <v>44808958</v>
      </c>
      <c r="L4359">
        <v>30928810</v>
      </c>
      <c r="M4359">
        <v>28366784</v>
      </c>
      <c r="N4359">
        <v>37520517</v>
      </c>
      <c r="P4359">
        <v>114</v>
      </c>
      <c r="Q4359" t="s">
        <v>9063</v>
      </c>
    </row>
    <row r="4360" spans="1:17" x14ac:dyDescent="0.3">
      <c r="A4360" t="s">
        <v>4729</v>
      </c>
      <c r="B4360" t="str">
        <f>"300562"</f>
        <v>300562</v>
      </c>
      <c r="C4360" t="s">
        <v>9064</v>
      </c>
      <c r="D4360" t="s">
        <v>122</v>
      </c>
      <c r="F4360">
        <v>402020099</v>
      </c>
      <c r="G4360">
        <v>284393959</v>
      </c>
      <c r="H4360">
        <v>199448423</v>
      </c>
      <c r="I4360">
        <v>171708408</v>
      </c>
      <c r="J4360">
        <v>133467263</v>
      </c>
      <c r="K4360">
        <v>89176337</v>
      </c>
      <c r="L4360">
        <v>72686255</v>
      </c>
      <c r="M4360">
        <v>49727864</v>
      </c>
      <c r="N4360">
        <v>48136286</v>
      </c>
      <c r="P4360">
        <v>155</v>
      </c>
      <c r="Q4360" t="s">
        <v>9065</v>
      </c>
    </row>
    <row r="4361" spans="1:17" x14ac:dyDescent="0.3">
      <c r="A4361" t="s">
        <v>4729</v>
      </c>
      <c r="B4361" t="str">
        <f>"300563"</f>
        <v>300563</v>
      </c>
      <c r="C4361" t="s">
        <v>9066</v>
      </c>
      <c r="D4361" t="s">
        <v>250</v>
      </c>
      <c r="F4361">
        <v>200520203</v>
      </c>
      <c r="G4361">
        <v>176781211</v>
      </c>
      <c r="H4361">
        <v>165522337</v>
      </c>
      <c r="I4361">
        <v>146108881</v>
      </c>
      <c r="J4361">
        <v>136168806</v>
      </c>
      <c r="K4361">
        <v>119383413</v>
      </c>
      <c r="L4361">
        <v>94221968</v>
      </c>
      <c r="M4361">
        <v>80159108</v>
      </c>
      <c r="N4361">
        <v>73616071</v>
      </c>
      <c r="P4361">
        <v>144</v>
      </c>
      <c r="Q4361" t="s">
        <v>9067</v>
      </c>
    </row>
    <row r="4362" spans="1:17" x14ac:dyDescent="0.3">
      <c r="A4362" t="s">
        <v>4729</v>
      </c>
      <c r="B4362" t="str">
        <f>"300564"</f>
        <v>300564</v>
      </c>
      <c r="C4362" t="s">
        <v>9068</v>
      </c>
      <c r="D4362" t="s">
        <v>1272</v>
      </c>
      <c r="F4362">
        <v>149169844</v>
      </c>
      <c r="G4362">
        <v>81872770</v>
      </c>
      <c r="H4362">
        <v>250731713</v>
      </c>
      <c r="I4362">
        <v>198938456</v>
      </c>
      <c r="J4362">
        <v>174054177</v>
      </c>
      <c r="K4362">
        <v>189432124</v>
      </c>
      <c r="P4362">
        <v>211</v>
      </c>
      <c r="Q4362" t="s">
        <v>9069</v>
      </c>
    </row>
    <row r="4363" spans="1:17" x14ac:dyDescent="0.3">
      <c r="A4363" t="s">
        <v>4729</v>
      </c>
      <c r="B4363" t="str">
        <f>"300565"</f>
        <v>300565</v>
      </c>
      <c r="C4363" t="s">
        <v>9070</v>
      </c>
      <c r="D4363" t="s">
        <v>1019</v>
      </c>
      <c r="F4363">
        <v>314273730</v>
      </c>
      <c r="G4363">
        <v>449937000</v>
      </c>
      <c r="H4363">
        <v>211594705</v>
      </c>
      <c r="I4363">
        <v>291170682</v>
      </c>
      <c r="J4363">
        <v>292824273</v>
      </c>
      <c r="K4363">
        <v>329423267</v>
      </c>
      <c r="L4363">
        <v>249924350</v>
      </c>
      <c r="M4363">
        <v>216767213</v>
      </c>
      <c r="N4363">
        <v>171916740</v>
      </c>
      <c r="P4363">
        <v>113</v>
      </c>
      <c r="Q4363" t="s">
        <v>9071</v>
      </c>
    </row>
    <row r="4364" spans="1:17" x14ac:dyDescent="0.3">
      <c r="A4364" t="s">
        <v>4729</v>
      </c>
      <c r="B4364" t="str">
        <f>"300566"</f>
        <v>300566</v>
      </c>
      <c r="C4364" t="s">
        <v>9072</v>
      </c>
      <c r="D4364" t="s">
        <v>164</v>
      </c>
      <c r="F4364">
        <v>702569177</v>
      </c>
      <c r="G4364">
        <v>570689084</v>
      </c>
      <c r="H4364">
        <v>525044756</v>
      </c>
      <c r="I4364">
        <v>469151298</v>
      </c>
      <c r="J4364">
        <v>377970627</v>
      </c>
      <c r="K4364">
        <v>305291117</v>
      </c>
      <c r="L4364">
        <v>235391044</v>
      </c>
      <c r="M4364">
        <v>186150080</v>
      </c>
      <c r="N4364">
        <v>131701016</v>
      </c>
      <c r="P4364">
        <v>197</v>
      </c>
      <c r="Q4364" t="s">
        <v>9073</v>
      </c>
    </row>
    <row r="4365" spans="1:17" x14ac:dyDescent="0.3">
      <c r="A4365" t="s">
        <v>4729</v>
      </c>
      <c r="B4365" t="str">
        <f>"300567"</f>
        <v>300567</v>
      </c>
      <c r="C4365" t="s">
        <v>9074</v>
      </c>
      <c r="D4365" t="s">
        <v>2566</v>
      </c>
      <c r="F4365">
        <v>917248799</v>
      </c>
      <c r="G4365">
        <v>738500894</v>
      </c>
      <c r="H4365">
        <v>860344056</v>
      </c>
      <c r="I4365">
        <v>646401730</v>
      </c>
      <c r="J4365">
        <v>390102887</v>
      </c>
      <c r="K4365">
        <v>284986906</v>
      </c>
      <c r="L4365">
        <v>167769632</v>
      </c>
      <c r="M4365">
        <v>124385947</v>
      </c>
      <c r="N4365">
        <v>39028586</v>
      </c>
      <c r="P4365">
        <v>1242</v>
      </c>
      <c r="Q4365" t="s">
        <v>9075</v>
      </c>
    </row>
    <row r="4366" spans="1:17" x14ac:dyDescent="0.3">
      <c r="A4366" t="s">
        <v>4729</v>
      </c>
      <c r="B4366" t="str">
        <f>"300568"</f>
        <v>300568</v>
      </c>
      <c r="C4366" t="s">
        <v>9076</v>
      </c>
      <c r="D4366" t="s">
        <v>1790</v>
      </c>
      <c r="F4366">
        <v>885966618</v>
      </c>
      <c r="G4366">
        <v>555482082</v>
      </c>
      <c r="H4366">
        <v>372697720</v>
      </c>
      <c r="I4366">
        <v>335897055</v>
      </c>
      <c r="J4366">
        <v>202970660</v>
      </c>
      <c r="K4366">
        <v>168456376</v>
      </c>
      <c r="L4366">
        <v>143707496</v>
      </c>
      <c r="M4366">
        <v>106613821</v>
      </c>
      <c r="N4366">
        <v>73301368</v>
      </c>
      <c r="P4366">
        <v>474</v>
      </c>
      <c r="Q4366" t="s">
        <v>9077</v>
      </c>
    </row>
    <row r="4367" spans="1:17" x14ac:dyDescent="0.3">
      <c r="A4367" t="s">
        <v>4729</v>
      </c>
      <c r="B4367" t="str">
        <f>"300569"</f>
        <v>300569</v>
      </c>
      <c r="C4367" t="s">
        <v>9078</v>
      </c>
      <c r="D4367" t="s">
        <v>950</v>
      </c>
      <c r="F4367">
        <v>2344399030</v>
      </c>
      <c r="G4367">
        <v>1710890198</v>
      </c>
      <c r="H4367">
        <v>1161389907</v>
      </c>
      <c r="I4367">
        <v>589349554</v>
      </c>
      <c r="J4367">
        <v>439717456</v>
      </c>
      <c r="K4367">
        <v>425499496</v>
      </c>
      <c r="L4367">
        <v>365020799</v>
      </c>
      <c r="M4367">
        <v>265001640</v>
      </c>
      <c r="N4367">
        <v>231921504</v>
      </c>
      <c r="P4367">
        <v>201</v>
      </c>
      <c r="Q4367" t="s">
        <v>9079</v>
      </c>
    </row>
    <row r="4368" spans="1:17" x14ac:dyDescent="0.3">
      <c r="A4368" t="s">
        <v>4729</v>
      </c>
      <c r="B4368" t="str">
        <f>"300570"</f>
        <v>300570</v>
      </c>
      <c r="C4368" t="s">
        <v>9080</v>
      </c>
      <c r="D4368" t="s">
        <v>1019</v>
      </c>
      <c r="F4368">
        <v>197448826</v>
      </c>
      <c r="G4368">
        <v>157836364</v>
      </c>
      <c r="H4368">
        <v>76548158</v>
      </c>
      <c r="I4368">
        <v>218597597</v>
      </c>
      <c r="J4368">
        <v>66425747</v>
      </c>
      <c r="K4368">
        <v>73642333</v>
      </c>
      <c r="L4368">
        <v>96947818</v>
      </c>
      <c r="M4368">
        <v>69201083</v>
      </c>
      <c r="N4368">
        <v>59869604</v>
      </c>
      <c r="P4368">
        <v>229</v>
      </c>
      <c r="Q4368" t="s">
        <v>9081</v>
      </c>
    </row>
    <row r="4369" spans="1:17" x14ac:dyDescent="0.3">
      <c r="A4369" t="s">
        <v>4729</v>
      </c>
      <c r="B4369" t="str">
        <f>"300571"</f>
        <v>300571</v>
      </c>
      <c r="C4369" t="s">
        <v>9082</v>
      </c>
      <c r="D4369" t="s">
        <v>5670</v>
      </c>
      <c r="F4369">
        <v>2299417628</v>
      </c>
      <c r="G4369">
        <v>1439360990</v>
      </c>
      <c r="H4369">
        <v>886098692</v>
      </c>
      <c r="I4369">
        <v>188572976</v>
      </c>
      <c r="J4369">
        <v>116516116</v>
      </c>
      <c r="K4369">
        <v>96459824</v>
      </c>
      <c r="L4369">
        <v>68724995</v>
      </c>
      <c r="M4369">
        <v>36625190</v>
      </c>
      <c r="N4369">
        <v>27249178</v>
      </c>
      <c r="P4369">
        <v>2111</v>
      </c>
      <c r="Q4369" t="s">
        <v>9083</v>
      </c>
    </row>
    <row r="4370" spans="1:17" x14ac:dyDescent="0.3">
      <c r="A4370" t="s">
        <v>4729</v>
      </c>
      <c r="B4370" t="str">
        <f>"300572"</f>
        <v>300572</v>
      </c>
      <c r="C4370" t="s">
        <v>9084</v>
      </c>
      <c r="D4370" t="s">
        <v>2510</v>
      </c>
      <c r="F4370">
        <v>189261509</v>
      </c>
      <c r="G4370">
        <v>241701912</v>
      </c>
      <c r="H4370">
        <v>203403154</v>
      </c>
      <c r="I4370">
        <v>87274179</v>
      </c>
      <c r="J4370">
        <v>70733863</v>
      </c>
      <c r="K4370">
        <v>84268347</v>
      </c>
      <c r="L4370">
        <v>72622858</v>
      </c>
      <c r="M4370">
        <v>72165734</v>
      </c>
      <c r="N4370">
        <v>64330287</v>
      </c>
      <c r="P4370">
        <v>466</v>
      </c>
      <c r="Q4370" t="s">
        <v>9085</v>
      </c>
    </row>
    <row r="4371" spans="1:17" x14ac:dyDescent="0.3">
      <c r="A4371" t="s">
        <v>4729</v>
      </c>
      <c r="B4371" t="str">
        <f>"300573"</f>
        <v>300573</v>
      </c>
      <c r="C4371" t="s">
        <v>9086</v>
      </c>
      <c r="D4371" t="s">
        <v>143</v>
      </c>
      <c r="F4371">
        <v>108148644</v>
      </c>
      <c r="G4371">
        <v>112212215</v>
      </c>
      <c r="H4371">
        <v>93004566</v>
      </c>
      <c r="I4371">
        <v>73115951</v>
      </c>
      <c r="J4371">
        <v>67319596</v>
      </c>
      <c r="K4371">
        <v>62312502</v>
      </c>
      <c r="L4371">
        <v>52656167</v>
      </c>
      <c r="M4371">
        <v>50869829</v>
      </c>
      <c r="N4371">
        <v>42623404</v>
      </c>
      <c r="P4371">
        <v>315</v>
      </c>
      <c r="Q4371" t="s">
        <v>9087</v>
      </c>
    </row>
    <row r="4372" spans="1:17" x14ac:dyDescent="0.3">
      <c r="A4372" t="s">
        <v>4729</v>
      </c>
      <c r="B4372" t="str">
        <f>"300575"</f>
        <v>300575</v>
      </c>
      <c r="C4372" t="s">
        <v>9088</v>
      </c>
      <c r="D4372" t="s">
        <v>853</v>
      </c>
      <c r="F4372">
        <v>438445573</v>
      </c>
      <c r="G4372">
        <v>249659133</v>
      </c>
      <c r="H4372">
        <v>143305536</v>
      </c>
      <c r="I4372">
        <v>179022411</v>
      </c>
      <c r="J4372">
        <v>200761804</v>
      </c>
      <c r="K4372">
        <v>218282218</v>
      </c>
      <c r="L4372">
        <v>164943139</v>
      </c>
      <c r="M4372">
        <v>178248417</v>
      </c>
      <c r="N4372">
        <v>160646179</v>
      </c>
      <c r="P4372">
        <v>187</v>
      </c>
      <c r="Q4372" t="s">
        <v>9089</v>
      </c>
    </row>
    <row r="4373" spans="1:17" x14ac:dyDescent="0.3">
      <c r="A4373" t="s">
        <v>4729</v>
      </c>
      <c r="B4373" t="str">
        <f>"300576"</f>
        <v>300576</v>
      </c>
      <c r="C4373" t="s">
        <v>9090</v>
      </c>
      <c r="D4373" t="s">
        <v>2408</v>
      </c>
      <c r="F4373">
        <v>333412803</v>
      </c>
      <c r="G4373">
        <v>286645985</v>
      </c>
      <c r="H4373">
        <v>196318670</v>
      </c>
      <c r="I4373">
        <v>179225132</v>
      </c>
      <c r="J4373">
        <v>160631088</v>
      </c>
      <c r="K4373">
        <v>146181370</v>
      </c>
      <c r="L4373">
        <v>137938867</v>
      </c>
      <c r="M4373">
        <v>146430054</v>
      </c>
      <c r="N4373">
        <v>138477032</v>
      </c>
      <c r="P4373">
        <v>189</v>
      </c>
      <c r="Q4373" t="s">
        <v>9091</v>
      </c>
    </row>
    <row r="4374" spans="1:17" x14ac:dyDescent="0.3">
      <c r="A4374" t="s">
        <v>4729</v>
      </c>
      <c r="B4374" t="str">
        <f>"300577"</f>
        <v>300577</v>
      </c>
      <c r="C4374" t="s">
        <v>9092</v>
      </c>
      <c r="D4374" t="s">
        <v>330</v>
      </c>
      <c r="F4374">
        <v>477446428</v>
      </c>
      <c r="G4374">
        <v>383472550</v>
      </c>
      <c r="H4374">
        <v>406651764</v>
      </c>
      <c r="I4374">
        <v>249923386</v>
      </c>
      <c r="J4374">
        <v>198224696</v>
      </c>
      <c r="K4374">
        <v>155958661</v>
      </c>
      <c r="L4374">
        <v>112740738</v>
      </c>
      <c r="M4374">
        <v>97226577</v>
      </c>
      <c r="N4374">
        <v>89237025</v>
      </c>
      <c r="P4374">
        <v>486</v>
      </c>
      <c r="Q4374" t="s">
        <v>9093</v>
      </c>
    </row>
    <row r="4375" spans="1:17" x14ac:dyDescent="0.3">
      <c r="A4375" t="s">
        <v>4729</v>
      </c>
      <c r="B4375" t="str">
        <f>"300578"</f>
        <v>300578</v>
      </c>
      <c r="C4375" t="s">
        <v>9094</v>
      </c>
      <c r="D4375" t="s">
        <v>5670</v>
      </c>
      <c r="F4375">
        <v>181308000</v>
      </c>
      <c r="G4375">
        <v>210847381</v>
      </c>
      <c r="H4375">
        <v>223463971</v>
      </c>
      <c r="I4375">
        <v>54750987</v>
      </c>
      <c r="J4375">
        <v>81041699</v>
      </c>
      <c r="K4375">
        <v>68321513</v>
      </c>
      <c r="L4375">
        <v>60914340</v>
      </c>
      <c r="M4375">
        <v>57142024</v>
      </c>
      <c r="N4375">
        <v>39486602</v>
      </c>
      <c r="P4375">
        <v>305</v>
      </c>
      <c r="Q4375" t="s">
        <v>9095</v>
      </c>
    </row>
    <row r="4376" spans="1:17" x14ac:dyDescent="0.3">
      <c r="A4376" t="s">
        <v>4729</v>
      </c>
      <c r="B4376" t="str">
        <f>"300579"</f>
        <v>300579</v>
      </c>
      <c r="C4376" t="s">
        <v>9096</v>
      </c>
      <c r="D4376" t="s">
        <v>945</v>
      </c>
      <c r="F4376">
        <v>360205003</v>
      </c>
      <c r="G4376">
        <v>292559766</v>
      </c>
      <c r="H4376">
        <v>269710307</v>
      </c>
      <c r="I4376">
        <v>178589035</v>
      </c>
      <c r="J4376">
        <v>141573415</v>
      </c>
      <c r="K4376">
        <v>132601660</v>
      </c>
      <c r="L4376">
        <v>106491366</v>
      </c>
      <c r="M4376">
        <v>82015660</v>
      </c>
      <c r="N4376">
        <v>77949047</v>
      </c>
      <c r="P4376">
        <v>335</v>
      </c>
      <c r="Q4376" t="s">
        <v>9097</v>
      </c>
    </row>
    <row r="4377" spans="1:17" x14ac:dyDescent="0.3">
      <c r="A4377" t="s">
        <v>4729</v>
      </c>
      <c r="B4377" t="str">
        <f>"300580"</f>
        <v>300580</v>
      </c>
      <c r="C4377" t="s">
        <v>9098</v>
      </c>
      <c r="D4377" t="s">
        <v>348</v>
      </c>
      <c r="F4377">
        <v>370379722</v>
      </c>
      <c r="G4377">
        <v>386689720</v>
      </c>
      <c r="H4377">
        <v>360366898</v>
      </c>
      <c r="I4377">
        <v>317045034</v>
      </c>
      <c r="J4377">
        <v>247330250</v>
      </c>
      <c r="K4377">
        <v>210960515</v>
      </c>
      <c r="L4377">
        <v>164980410</v>
      </c>
      <c r="M4377">
        <v>143192056</v>
      </c>
      <c r="N4377">
        <v>118524848</v>
      </c>
      <c r="P4377">
        <v>148</v>
      </c>
      <c r="Q4377" t="s">
        <v>9099</v>
      </c>
    </row>
    <row r="4378" spans="1:17" x14ac:dyDescent="0.3">
      <c r="A4378" t="s">
        <v>4729</v>
      </c>
      <c r="B4378" t="str">
        <f>"300581"</f>
        <v>300581</v>
      </c>
      <c r="C4378" t="s">
        <v>9100</v>
      </c>
      <c r="D4378" t="s">
        <v>98</v>
      </c>
      <c r="F4378">
        <v>312975104</v>
      </c>
      <c r="G4378">
        <v>363316265</v>
      </c>
      <c r="H4378">
        <v>258921280</v>
      </c>
      <c r="I4378">
        <v>177576095</v>
      </c>
      <c r="J4378">
        <v>165790995</v>
      </c>
      <c r="K4378">
        <v>119884405</v>
      </c>
      <c r="L4378">
        <v>87450671</v>
      </c>
      <c r="M4378">
        <v>54102281</v>
      </c>
      <c r="N4378">
        <v>51357524</v>
      </c>
      <c r="P4378">
        <v>151</v>
      </c>
      <c r="Q4378" t="s">
        <v>9101</v>
      </c>
    </row>
    <row r="4379" spans="1:17" x14ac:dyDescent="0.3">
      <c r="A4379" t="s">
        <v>4729</v>
      </c>
      <c r="B4379" t="str">
        <f>"300582"</f>
        <v>300582</v>
      </c>
      <c r="C4379" t="s">
        <v>9102</v>
      </c>
      <c r="D4379" t="s">
        <v>803</v>
      </c>
      <c r="F4379">
        <v>281096670</v>
      </c>
      <c r="G4379">
        <v>303403405</v>
      </c>
      <c r="H4379">
        <v>247995039</v>
      </c>
      <c r="I4379">
        <v>184964032</v>
      </c>
      <c r="J4379">
        <v>176949295</v>
      </c>
      <c r="K4379">
        <v>165218379</v>
      </c>
      <c r="L4379">
        <v>94308535</v>
      </c>
      <c r="M4379">
        <v>80871784</v>
      </c>
      <c r="N4379">
        <v>63631402</v>
      </c>
      <c r="P4379">
        <v>152</v>
      </c>
      <c r="Q4379" t="s">
        <v>9103</v>
      </c>
    </row>
    <row r="4380" spans="1:17" x14ac:dyDescent="0.3">
      <c r="A4380" t="s">
        <v>4729</v>
      </c>
      <c r="B4380" t="str">
        <f>"300583"</f>
        <v>300583</v>
      </c>
      <c r="C4380" t="s">
        <v>9104</v>
      </c>
      <c r="D4380" t="s">
        <v>496</v>
      </c>
      <c r="F4380">
        <v>194528795</v>
      </c>
      <c r="G4380">
        <v>100833276</v>
      </c>
      <c r="H4380">
        <v>185838353</v>
      </c>
      <c r="I4380">
        <v>171943472</v>
      </c>
      <c r="J4380">
        <v>149794360</v>
      </c>
      <c r="K4380">
        <v>108390446</v>
      </c>
      <c r="L4380">
        <v>94720311</v>
      </c>
      <c r="M4380">
        <v>62031718</v>
      </c>
      <c r="N4380">
        <v>36528901</v>
      </c>
      <c r="P4380">
        <v>76</v>
      </c>
      <c r="Q4380" t="s">
        <v>9105</v>
      </c>
    </row>
    <row r="4381" spans="1:17" x14ac:dyDescent="0.3">
      <c r="A4381" t="s">
        <v>4729</v>
      </c>
      <c r="B4381" t="str">
        <f>"300584"</f>
        <v>300584</v>
      </c>
      <c r="C4381" t="s">
        <v>9106</v>
      </c>
      <c r="D4381" t="s">
        <v>143</v>
      </c>
      <c r="F4381">
        <v>110947527</v>
      </c>
      <c r="G4381">
        <v>86419629</v>
      </c>
      <c r="H4381">
        <v>92151490</v>
      </c>
      <c r="I4381">
        <v>80237780</v>
      </c>
      <c r="J4381">
        <v>69382553</v>
      </c>
      <c r="K4381">
        <v>21472565</v>
      </c>
      <c r="L4381">
        <v>16124115</v>
      </c>
      <c r="M4381">
        <v>17724990</v>
      </c>
      <c r="N4381">
        <v>11854575</v>
      </c>
      <c r="P4381">
        <v>195</v>
      </c>
      <c r="Q4381" t="s">
        <v>9107</v>
      </c>
    </row>
    <row r="4382" spans="1:17" x14ac:dyDescent="0.3">
      <c r="A4382" t="s">
        <v>4729</v>
      </c>
      <c r="B4382" t="str">
        <f>"300585"</f>
        <v>300585</v>
      </c>
      <c r="C4382" t="s">
        <v>9108</v>
      </c>
      <c r="D4382" t="s">
        <v>348</v>
      </c>
      <c r="F4382">
        <v>108557780</v>
      </c>
      <c r="G4382">
        <v>96636360</v>
      </c>
      <c r="H4382">
        <v>116037910</v>
      </c>
      <c r="I4382">
        <v>115771321</v>
      </c>
      <c r="J4382">
        <v>126469572</v>
      </c>
      <c r="K4382">
        <v>112490454</v>
      </c>
      <c r="L4382">
        <v>80121282</v>
      </c>
      <c r="M4382">
        <v>69540282</v>
      </c>
      <c r="N4382">
        <v>71053756</v>
      </c>
      <c r="P4382">
        <v>92</v>
      </c>
      <c r="Q4382" t="s">
        <v>9109</v>
      </c>
    </row>
    <row r="4383" spans="1:17" x14ac:dyDescent="0.3">
      <c r="A4383" t="s">
        <v>4729</v>
      </c>
      <c r="B4383" t="str">
        <f>"300586"</f>
        <v>300586</v>
      </c>
      <c r="C4383" t="s">
        <v>9110</v>
      </c>
      <c r="D4383" t="s">
        <v>341</v>
      </c>
      <c r="F4383">
        <v>186846067</v>
      </c>
      <c r="G4383">
        <v>176045906</v>
      </c>
      <c r="H4383">
        <v>146682459</v>
      </c>
      <c r="I4383">
        <v>104611830</v>
      </c>
      <c r="J4383">
        <v>82948995</v>
      </c>
      <c r="K4383">
        <v>57408516</v>
      </c>
      <c r="L4383">
        <v>47667010</v>
      </c>
      <c r="M4383">
        <v>44026731</v>
      </c>
      <c r="N4383">
        <v>44966902</v>
      </c>
      <c r="P4383">
        <v>132</v>
      </c>
      <c r="Q4383" t="s">
        <v>9111</v>
      </c>
    </row>
    <row r="4384" spans="1:17" x14ac:dyDescent="0.3">
      <c r="A4384" t="s">
        <v>4729</v>
      </c>
      <c r="B4384" t="str">
        <f>"300587"</f>
        <v>300587</v>
      </c>
      <c r="C4384" t="s">
        <v>9112</v>
      </c>
      <c r="D4384" t="s">
        <v>2469</v>
      </c>
      <c r="F4384">
        <v>1161289039</v>
      </c>
      <c r="G4384">
        <v>926638579</v>
      </c>
      <c r="H4384">
        <v>851214508</v>
      </c>
      <c r="I4384">
        <v>525115183</v>
      </c>
      <c r="J4384">
        <v>367806125</v>
      </c>
      <c r="K4384">
        <v>282721829</v>
      </c>
      <c r="L4384">
        <v>247690420</v>
      </c>
      <c r="M4384">
        <v>206048014</v>
      </c>
      <c r="N4384">
        <v>234659891</v>
      </c>
      <c r="P4384">
        <v>153</v>
      </c>
      <c r="Q4384" t="s">
        <v>9113</v>
      </c>
    </row>
    <row r="4385" spans="1:17" x14ac:dyDescent="0.3">
      <c r="A4385" t="s">
        <v>4729</v>
      </c>
      <c r="B4385" t="str">
        <f>"300588"</f>
        <v>300588</v>
      </c>
      <c r="C4385" t="s">
        <v>9114</v>
      </c>
      <c r="D4385" t="s">
        <v>2980</v>
      </c>
      <c r="F4385">
        <v>322180973</v>
      </c>
      <c r="G4385">
        <v>553682333</v>
      </c>
      <c r="H4385">
        <v>461676996</v>
      </c>
      <c r="I4385">
        <v>535304260</v>
      </c>
      <c r="J4385">
        <v>407994387</v>
      </c>
      <c r="K4385">
        <v>222794026</v>
      </c>
      <c r="L4385">
        <v>150737711</v>
      </c>
      <c r="M4385">
        <v>112418437</v>
      </c>
      <c r="N4385">
        <v>67166006</v>
      </c>
      <c r="P4385">
        <v>144</v>
      </c>
      <c r="Q4385" t="s">
        <v>9115</v>
      </c>
    </row>
    <row r="4386" spans="1:17" x14ac:dyDescent="0.3">
      <c r="A4386" t="s">
        <v>4729</v>
      </c>
      <c r="B4386" t="str">
        <f>"300589"</f>
        <v>300589</v>
      </c>
      <c r="C4386" t="s">
        <v>9116</v>
      </c>
      <c r="D4386" t="s">
        <v>167</v>
      </c>
      <c r="F4386">
        <v>187956562</v>
      </c>
      <c r="G4386">
        <v>153931874</v>
      </c>
      <c r="H4386">
        <v>63679192</v>
      </c>
      <c r="I4386">
        <v>62383478</v>
      </c>
      <c r="J4386">
        <v>139756083</v>
      </c>
      <c r="K4386">
        <v>47014091</v>
      </c>
      <c r="L4386">
        <v>55811987</v>
      </c>
      <c r="M4386">
        <v>21383631</v>
      </c>
      <c r="N4386">
        <v>12664024</v>
      </c>
      <c r="P4386">
        <v>87</v>
      </c>
      <c r="Q4386" t="s">
        <v>9117</v>
      </c>
    </row>
    <row r="4387" spans="1:17" x14ac:dyDescent="0.3">
      <c r="A4387" t="s">
        <v>4729</v>
      </c>
      <c r="B4387" t="str">
        <f>"300590"</f>
        <v>300590</v>
      </c>
      <c r="C4387" t="s">
        <v>9118</v>
      </c>
      <c r="D4387" t="s">
        <v>786</v>
      </c>
      <c r="F4387">
        <v>112389976</v>
      </c>
      <c r="G4387">
        <v>88105880</v>
      </c>
      <c r="H4387">
        <v>130807456</v>
      </c>
      <c r="I4387">
        <v>85322447</v>
      </c>
      <c r="J4387">
        <v>52641738</v>
      </c>
      <c r="K4387">
        <v>54344434</v>
      </c>
      <c r="L4387">
        <v>26752555</v>
      </c>
      <c r="M4387">
        <v>18318396</v>
      </c>
      <c r="N4387">
        <v>8921648</v>
      </c>
      <c r="P4387">
        <v>410</v>
      </c>
      <c r="Q4387" t="s">
        <v>9119</v>
      </c>
    </row>
    <row r="4388" spans="1:17" x14ac:dyDescent="0.3">
      <c r="A4388" t="s">
        <v>4729</v>
      </c>
      <c r="B4388" t="str">
        <f>"300591"</f>
        <v>300591</v>
      </c>
      <c r="C4388" t="s">
        <v>9120</v>
      </c>
      <c r="D4388" t="s">
        <v>330</v>
      </c>
      <c r="F4388">
        <v>247212260</v>
      </c>
      <c r="G4388">
        <v>405237071</v>
      </c>
      <c r="H4388">
        <v>454868743</v>
      </c>
      <c r="I4388">
        <v>453123823</v>
      </c>
      <c r="J4388">
        <v>329168981</v>
      </c>
      <c r="K4388">
        <v>132466281</v>
      </c>
      <c r="L4388">
        <v>142197379</v>
      </c>
      <c r="M4388">
        <v>130182649</v>
      </c>
      <c r="N4388">
        <v>37681944</v>
      </c>
      <c r="P4388">
        <v>88</v>
      </c>
      <c r="Q4388" t="s">
        <v>9121</v>
      </c>
    </row>
    <row r="4389" spans="1:17" x14ac:dyDescent="0.3">
      <c r="A4389" t="s">
        <v>4729</v>
      </c>
      <c r="B4389" t="str">
        <f>"300592"</f>
        <v>300592</v>
      </c>
      <c r="C4389" t="s">
        <v>9122</v>
      </c>
      <c r="D4389" t="s">
        <v>450</v>
      </c>
      <c r="F4389">
        <v>266640513</v>
      </c>
      <c r="G4389">
        <v>211834368</v>
      </c>
      <c r="H4389">
        <v>342034583</v>
      </c>
      <c r="I4389">
        <v>290185385</v>
      </c>
      <c r="J4389">
        <v>360140219</v>
      </c>
      <c r="K4389">
        <v>203721160</v>
      </c>
      <c r="L4389">
        <v>190694621</v>
      </c>
      <c r="M4389">
        <v>127019716</v>
      </c>
      <c r="N4389">
        <v>84962519</v>
      </c>
      <c r="P4389">
        <v>65</v>
      </c>
      <c r="Q4389" t="s">
        <v>9123</v>
      </c>
    </row>
    <row r="4390" spans="1:17" x14ac:dyDescent="0.3">
      <c r="A4390" t="s">
        <v>4729</v>
      </c>
      <c r="B4390" t="str">
        <f>"300593"</f>
        <v>300593</v>
      </c>
      <c r="C4390" t="s">
        <v>9124</v>
      </c>
      <c r="D4390" t="s">
        <v>880</v>
      </c>
      <c r="F4390">
        <v>400300125</v>
      </c>
      <c r="G4390">
        <v>280895175</v>
      </c>
      <c r="H4390">
        <v>240435971</v>
      </c>
      <c r="I4390">
        <v>208584601</v>
      </c>
      <c r="J4390">
        <v>126881169</v>
      </c>
      <c r="K4390">
        <v>100548654</v>
      </c>
      <c r="L4390">
        <v>88932908</v>
      </c>
      <c r="M4390">
        <v>92244928</v>
      </c>
      <c r="N4390">
        <v>104817608</v>
      </c>
      <c r="P4390">
        <v>254</v>
      </c>
      <c r="Q4390" t="s">
        <v>9125</v>
      </c>
    </row>
    <row r="4391" spans="1:17" x14ac:dyDescent="0.3">
      <c r="A4391" t="s">
        <v>4729</v>
      </c>
      <c r="B4391" t="str">
        <f>"300594"</f>
        <v>300594</v>
      </c>
      <c r="C4391" t="s">
        <v>9126</v>
      </c>
      <c r="D4391" t="s">
        <v>1012</v>
      </c>
      <c r="F4391">
        <v>649549162</v>
      </c>
      <c r="G4391">
        <v>507535211</v>
      </c>
      <c r="H4391">
        <v>458332018</v>
      </c>
      <c r="I4391">
        <v>297611145</v>
      </c>
      <c r="J4391">
        <v>0</v>
      </c>
      <c r="K4391">
        <v>0</v>
      </c>
      <c r="P4391">
        <v>72</v>
      </c>
      <c r="Q4391" t="s">
        <v>9127</v>
      </c>
    </row>
    <row r="4392" spans="1:17" x14ac:dyDescent="0.3">
      <c r="A4392" t="s">
        <v>4729</v>
      </c>
      <c r="B4392" t="str">
        <f>"300595"</f>
        <v>300595</v>
      </c>
      <c r="C4392" t="s">
        <v>9128</v>
      </c>
      <c r="D4392" t="s">
        <v>1077</v>
      </c>
      <c r="F4392">
        <v>155759640</v>
      </c>
      <c r="G4392">
        <v>142964899</v>
      </c>
      <c r="H4392">
        <v>98732149</v>
      </c>
      <c r="I4392">
        <v>76134305</v>
      </c>
      <c r="J4392">
        <v>36995078</v>
      </c>
      <c r="K4392">
        <v>23303479</v>
      </c>
      <c r="L4392">
        <v>17644187</v>
      </c>
      <c r="M4392">
        <v>12012894</v>
      </c>
      <c r="N4392">
        <v>12638072</v>
      </c>
      <c r="P4392">
        <v>4330</v>
      </c>
      <c r="Q4392" t="s">
        <v>9129</v>
      </c>
    </row>
    <row r="4393" spans="1:17" x14ac:dyDescent="0.3">
      <c r="A4393" t="s">
        <v>4729</v>
      </c>
      <c r="B4393" t="str">
        <f>"300596"</f>
        <v>300596</v>
      </c>
      <c r="C4393" t="s">
        <v>9130</v>
      </c>
      <c r="D4393" t="s">
        <v>1192</v>
      </c>
      <c r="F4393">
        <v>576163875</v>
      </c>
      <c r="G4393">
        <v>473689598</v>
      </c>
      <c r="H4393">
        <v>358723685</v>
      </c>
      <c r="I4393">
        <v>269507535</v>
      </c>
      <c r="J4393">
        <v>197395978</v>
      </c>
      <c r="K4393">
        <v>173319197</v>
      </c>
      <c r="L4393">
        <v>108509357</v>
      </c>
      <c r="M4393">
        <v>101248475</v>
      </c>
      <c r="N4393">
        <v>75786667</v>
      </c>
      <c r="P4393">
        <v>391</v>
      </c>
      <c r="Q4393" t="s">
        <v>9131</v>
      </c>
    </row>
    <row r="4394" spans="1:17" x14ac:dyDescent="0.3">
      <c r="A4394" t="s">
        <v>4729</v>
      </c>
      <c r="B4394" t="str">
        <f>"300597"</f>
        <v>300597</v>
      </c>
      <c r="C4394" t="s">
        <v>9132</v>
      </c>
      <c r="D4394" t="s">
        <v>654</v>
      </c>
      <c r="F4394">
        <v>374805132</v>
      </c>
      <c r="G4394">
        <v>422464449</v>
      </c>
      <c r="H4394">
        <v>405987136</v>
      </c>
      <c r="I4394">
        <v>384848839</v>
      </c>
      <c r="J4394">
        <v>369532733</v>
      </c>
      <c r="K4394">
        <v>313383721</v>
      </c>
      <c r="L4394">
        <v>315456560</v>
      </c>
      <c r="M4394">
        <v>293380162</v>
      </c>
      <c r="N4394">
        <v>225605016</v>
      </c>
      <c r="P4394">
        <v>110</v>
      </c>
      <c r="Q4394" t="s">
        <v>9133</v>
      </c>
    </row>
    <row r="4395" spans="1:17" x14ac:dyDescent="0.3">
      <c r="A4395" t="s">
        <v>4729</v>
      </c>
      <c r="B4395" t="str">
        <f>"300598"</f>
        <v>300598</v>
      </c>
      <c r="C4395" t="s">
        <v>9134</v>
      </c>
      <c r="D4395" t="s">
        <v>945</v>
      </c>
      <c r="F4395">
        <v>527447268</v>
      </c>
      <c r="G4395">
        <v>393765992</v>
      </c>
      <c r="H4395">
        <v>330106042</v>
      </c>
      <c r="I4395">
        <v>285395337</v>
      </c>
      <c r="J4395">
        <v>194175871</v>
      </c>
      <c r="K4395">
        <v>163744352</v>
      </c>
      <c r="L4395">
        <v>156592861</v>
      </c>
      <c r="M4395">
        <v>142750240</v>
      </c>
      <c r="N4395">
        <v>87664131</v>
      </c>
      <c r="P4395">
        <v>319</v>
      </c>
      <c r="Q4395" t="s">
        <v>9135</v>
      </c>
    </row>
    <row r="4396" spans="1:17" x14ac:dyDescent="0.3">
      <c r="A4396" t="s">
        <v>4729</v>
      </c>
      <c r="B4396" t="str">
        <f>"300599"</f>
        <v>300599</v>
      </c>
      <c r="C4396" t="s">
        <v>9136</v>
      </c>
      <c r="D4396" t="s">
        <v>3347</v>
      </c>
      <c r="F4396">
        <v>260829056</v>
      </c>
      <c r="G4396">
        <v>163366738</v>
      </c>
      <c r="H4396">
        <v>184067005</v>
      </c>
      <c r="I4396">
        <v>157955008</v>
      </c>
      <c r="J4396">
        <v>126002316</v>
      </c>
      <c r="K4396">
        <v>127225060</v>
      </c>
      <c r="L4396">
        <v>79856617</v>
      </c>
      <c r="M4396">
        <v>85501131</v>
      </c>
      <c r="N4396">
        <v>133197270</v>
      </c>
      <c r="P4396">
        <v>102</v>
      </c>
      <c r="Q4396" t="s">
        <v>9137</v>
      </c>
    </row>
    <row r="4397" spans="1:17" x14ac:dyDescent="0.3">
      <c r="A4397" t="s">
        <v>4729</v>
      </c>
      <c r="B4397" t="str">
        <f>"300600"</f>
        <v>300600</v>
      </c>
      <c r="C4397" t="s">
        <v>9138</v>
      </c>
      <c r="D4397" t="s">
        <v>167</v>
      </c>
      <c r="F4397">
        <v>397698189</v>
      </c>
      <c r="G4397">
        <v>413976144</v>
      </c>
      <c r="H4397">
        <v>417878154</v>
      </c>
      <c r="I4397">
        <v>275935944</v>
      </c>
      <c r="J4397">
        <v>165676634</v>
      </c>
      <c r="K4397">
        <v>92230227</v>
      </c>
      <c r="L4397">
        <v>60580218</v>
      </c>
      <c r="M4397">
        <v>66099934</v>
      </c>
      <c r="N4397">
        <v>50381481</v>
      </c>
      <c r="P4397">
        <v>101</v>
      </c>
      <c r="Q4397" t="s">
        <v>9139</v>
      </c>
    </row>
    <row r="4398" spans="1:17" x14ac:dyDescent="0.3">
      <c r="A4398" t="s">
        <v>4729</v>
      </c>
      <c r="B4398" t="str">
        <f>"300601"</f>
        <v>300601</v>
      </c>
      <c r="C4398" t="s">
        <v>9140</v>
      </c>
      <c r="D4398" t="s">
        <v>1499</v>
      </c>
      <c r="F4398">
        <v>1460470538</v>
      </c>
      <c r="G4398">
        <v>1613172032</v>
      </c>
      <c r="H4398">
        <v>1050021876</v>
      </c>
      <c r="I4398">
        <v>855466082</v>
      </c>
      <c r="J4398">
        <v>532372920</v>
      </c>
      <c r="K4398">
        <v>279611802</v>
      </c>
      <c r="L4398">
        <v>153602897</v>
      </c>
      <c r="M4398">
        <v>141453297</v>
      </c>
      <c r="N4398">
        <v>117014586</v>
      </c>
      <c r="P4398">
        <v>1384</v>
      </c>
      <c r="Q4398" t="s">
        <v>9141</v>
      </c>
    </row>
    <row r="4399" spans="1:17" x14ac:dyDescent="0.3">
      <c r="A4399" t="s">
        <v>4729</v>
      </c>
      <c r="B4399" t="str">
        <f>"300602"</f>
        <v>300602</v>
      </c>
      <c r="C4399" t="s">
        <v>9142</v>
      </c>
      <c r="D4399" t="s">
        <v>313</v>
      </c>
      <c r="F4399">
        <v>1211448880</v>
      </c>
      <c r="G4399">
        <v>851265832</v>
      </c>
      <c r="H4399">
        <v>1165951665</v>
      </c>
      <c r="I4399">
        <v>542131357</v>
      </c>
      <c r="J4399">
        <v>402492910</v>
      </c>
      <c r="K4399">
        <v>340884961</v>
      </c>
      <c r="L4399">
        <v>247954710</v>
      </c>
      <c r="M4399">
        <v>218451436</v>
      </c>
      <c r="N4399">
        <v>132895447</v>
      </c>
      <c r="P4399">
        <v>597</v>
      </c>
      <c r="Q4399" t="s">
        <v>9143</v>
      </c>
    </row>
    <row r="4400" spans="1:17" x14ac:dyDescent="0.3">
      <c r="A4400" t="s">
        <v>4729</v>
      </c>
      <c r="B4400" t="str">
        <f>"300603"</f>
        <v>300603</v>
      </c>
      <c r="C4400" t="s">
        <v>9144</v>
      </c>
      <c r="D4400" t="s">
        <v>5670</v>
      </c>
      <c r="F4400">
        <v>911409467</v>
      </c>
      <c r="G4400">
        <v>926289521</v>
      </c>
      <c r="H4400">
        <v>1047112937</v>
      </c>
      <c r="I4400">
        <v>681757685</v>
      </c>
      <c r="J4400">
        <v>523005317</v>
      </c>
      <c r="K4400">
        <v>247885040</v>
      </c>
      <c r="L4400">
        <v>217977345</v>
      </c>
      <c r="M4400">
        <v>170338467</v>
      </c>
      <c r="N4400">
        <v>176266778</v>
      </c>
      <c r="P4400">
        <v>196</v>
      </c>
      <c r="Q4400" t="s">
        <v>9145</v>
      </c>
    </row>
    <row r="4401" spans="1:17" x14ac:dyDescent="0.3">
      <c r="A4401" t="s">
        <v>4729</v>
      </c>
      <c r="B4401" t="str">
        <f>"300604"</f>
        <v>300604</v>
      </c>
      <c r="C4401" t="s">
        <v>9146</v>
      </c>
      <c r="D4401" t="s">
        <v>3187</v>
      </c>
      <c r="F4401">
        <v>626555465</v>
      </c>
      <c r="G4401">
        <v>398867272</v>
      </c>
      <c r="H4401">
        <v>273381583</v>
      </c>
      <c r="I4401">
        <v>116109179</v>
      </c>
      <c r="J4401">
        <v>125117662</v>
      </c>
      <c r="K4401">
        <v>102126476</v>
      </c>
      <c r="L4401">
        <v>70686860</v>
      </c>
      <c r="M4401">
        <v>42145951</v>
      </c>
      <c r="P4401">
        <v>370</v>
      </c>
      <c r="Q4401" t="s">
        <v>9147</v>
      </c>
    </row>
    <row r="4402" spans="1:17" x14ac:dyDescent="0.3">
      <c r="A4402" t="s">
        <v>4729</v>
      </c>
      <c r="B4402" t="str">
        <f>"300605"</f>
        <v>300605</v>
      </c>
      <c r="C4402" t="s">
        <v>9148</v>
      </c>
      <c r="D4402" t="s">
        <v>945</v>
      </c>
      <c r="F4402">
        <v>271692929</v>
      </c>
      <c r="G4402">
        <v>246835794</v>
      </c>
      <c r="H4402">
        <v>153987789</v>
      </c>
      <c r="I4402">
        <v>113011367</v>
      </c>
      <c r="J4402">
        <v>109469336</v>
      </c>
      <c r="K4402">
        <v>78542200</v>
      </c>
      <c r="L4402">
        <v>77880509</v>
      </c>
      <c r="M4402">
        <v>60438049</v>
      </c>
      <c r="N4402">
        <v>31877905</v>
      </c>
      <c r="P4402">
        <v>93</v>
      </c>
      <c r="Q4402" t="s">
        <v>9149</v>
      </c>
    </row>
    <row r="4403" spans="1:17" x14ac:dyDescent="0.3">
      <c r="A4403" t="s">
        <v>4729</v>
      </c>
      <c r="B4403" t="str">
        <f>"300606"</f>
        <v>300606</v>
      </c>
      <c r="C4403" t="s">
        <v>9150</v>
      </c>
      <c r="D4403" t="s">
        <v>404</v>
      </c>
      <c r="F4403">
        <v>271778289</v>
      </c>
      <c r="G4403">
        <v>112868531</v>
      </c>
      <c r="H4403">
        <v>167819180</v>
      </c>
      <c r="I4403">
        <v>102718997</v>
      </c>
      <c r="J4403">
        <v>50415257</v>
      </c>
      <c r="K4403">
        <v>48944338</v>
      </c>
      <c r="L4403">
        <v>42832135</v>
      </c>
      <c r="M4403">
        <v>43815905</v>
      </c>
      <c r="N4403">
        <v>33370876</v>
      </c>
      <c r="P4403">
        <v>92</v>
      </c>
      <c r="Q4403" t="s">
        <v>9151</v>
      </c>
    </row>
    <row r="4404" spans="1:17" x14ac:dyDescent="0.3">
      <c r="A4404" t="s">
        <v>4729</v>
      </c>
      <c r="B4404" t="str">
        <f>"300607"</f>
        <v>300607</v>
      </c>
      <c r="C4404" t="s">
        <v>9152</v>
      </c>
      <c r="D4404" t="s">
        <v>2938</v>
      </c>
      <c r="F4404">
        <v>1054710976</v>
      </c>
      <c r="G4404">
        <v>693245411</v>
      </c>
      <c r="H4404">
        <v>788681866</v>
      </c>
      <c r="I4404">
        <v>459121587</v>
      </c>
      <c r="J4404">
        <v>254561845</v>
      </c>
      <c r="K4404">
        <v>145775855</v>
      </c>
      <c r="L4404">
        <v>135546731</v>
      </c>
      <c r="M4404">
        <v>107697633</v>
      </c>
      <c r="N4404">
        <v>60633737</v>
      </c>
      <c r="P4404">
        <v>1388</v>
      </c>
      <c r="Q4404" t="s">
        <v>9153</v>
      </c>
    </row>
    <row r="4405" spans="1:17" x14ac:dyDescent="0.3">
      <c r="A4405" t="s">
        <v>4729</v>
      </c>
      <c r="B4405" t="str">
        <f>"300608"</f>
        <v>300608</v>
      </c>
      <c r="C4405" t="s">
        <v>9154</v>
      </c>
      <c r="D4405" t="s">
        <v>945</v>
      </c>
      <c r="F4405">
        <v>330114402</v>
      </c>
      <c r="G4405">
        <v>349162174</v>
      </c>
      <c r="H4405">
        <v>440562289</v>
      </c>
      <c r="I4405">
        <v>419936217</v>
      </c>
      <c r="J4405">
        <v>395913923</v>
      </c>
      <c r="K4405">
        <v>302431925</v>
      </c>
      <c r="L4405">
        <v>282464357</v>
      </c>
      <c r="M4405">
        <v>224299864</v>
      </c>
      <c r="N4405">
        <v>183315579</v>
      </c>
      <c r="P4405">
        <v>217</v>
      </c>
      <c r="Q4405" t="s">
        <v>9155</v>
      </c>
    </row>
    <row r="4406" spans="1:17" x14ac:dyDescent="0.3">
      <c r="A4406" t="s">
        <v>4729</v>
      </c>
      <c r="B4406" t="str">
        <f>"300609"</f>
        <v>300609</v>
      </c>
      <c r="C4406" t="s">
        <v>9156</v>
      </c>
      <c r="D4406" t="s">
        <v>316</v>
      </c>
      <c r="F4406">
        <v>203684432</v>
      </c>
      <c r="G4406">
        <v>172815092</v>
      </c>
      <c r="H4406">
        <v>208844468</v>
      </c>
      <c r="I4406">
        <v>174112022</v>
      </c>
      <c r="J4406">
        <v>117877007</v>
      </c>
      <c r="K4406">
        <v>96258339</v>
      </c>
      <c r="L4406">
        <v>74618688</v>
      </c>
      <c r="M4406">
        <v>72548771</v>
      </c>
      <c r="N4406">
        <v>46407238</v>
      </c>
      <c r="P4406">
        <v>155</v>
      </c>
      <c r="Q4406" t="s">
        <v>9157</v>
      </c>
    </row>
    <row r="4407" spans="1:17" x14ac:dyDescent="0.3">
      <c r="A4407" t="s">
        <v>4729</v>
      </c>
      <c r="B4407" t="str">
        <f>"300610"</f>
        <v>300610</v>
      </c>
      <c r="C4407" t="s">
        <v>9158</v>
      </c>
      <c r="D4407" t="s">
        <v>1192</v>
      </c>
      <c r="F4407">
        <v>36945886</v>
      </c>
      <c r="G4407">
        <v>48277984</v>
      </c>
      <c r="H4407">
        <v>47618655</v>
      </c>
      <c r="I4407">
        <v>53522911</v>
      </c>
      <c r="J4407">
        <v>57457636</v>
      </c>
      <c r="K4407">
        <v>63546528</v>
      </c>
      <c r="L4407">
        <v>53692396</v>
      </c>
      <c r="M4407">
        <v>52651032</v>
      </c>
      <c r="N4407">
        <v>45050335</v>
      </c>
      <c r="P4407">
        <v>129</v>
      </c>
      <c r="Q4407" t="s">
        <v>9159</v>
      </c>
    </row>
    <row r="4408" spans="1:17" x14ac:dyDescent="0.3">
      <c r="A4408" t="s">
        <v>4729</v>
      </c>
      <c r="B4408" t="str">
        <f>"300611"</f>
        <v>300611</v>
      </c>
      <c r="C4408" t="s">
        <v>9160</v>
      </c>
      <c r="D4408" t="s">
        <v>348</v>
      </c>
      <c r="F4408">
        <v>312490455</v>
      </c>
      <c r="G4408">
        <v>281520514</v>
      </c>
      <c r="H4408">
        <v>243839948</v>
      </c>
      <c r="I4408">
        <v>207486452</v>
      </c>
      <c r="J4408">
        <v>165060197</v>
      </c>
      <c r="K4408">
        <v>138777922</v>
      </c>
      <c r="L4408">
        <v>110966081</v>
      </c>
      <c r="M4408">
        <v>102028395</v>
      </c>
      <c r="N4408">
        <v>74215718</v>
      </c>
      <c r="P4408">
        <v>97</v>
      </c>
      <c r="Q4408" t="s">
        <v>9161</v>
      </c>
    </row>
    <row r="4409" spans="1:17" x14ac:dyDescent="0.3">
      <c r="A4409" t="s">
        <v>4729</v>
      </c>
      <c r="B4409" t="str">
        <f>"300612"</f>
        <v>300612</v>
      </c>
      <c r="C4409" t="s">
        <v>9162</v>
      </c>
      <c r="D4409" t="s">
        <v>207</v>
      </c>
      <c r="F4409">
        <v>298949319</v>
      </c>
      <c r="G4409">
        <v>282185123</v>
      </c>
      <c r="H4409">
        <v>193378697</v>
      </c>
      <c r="I4409">
        <v>140540231</v>
      </c>
      <c r="J4409">
        <v>253694733</v>
      </c>
      <c r="K4409">
        <v>154228192</v>
      </c>
      <c r="L4409">
        <v>105799320</v>
      </c>
      <c r="M4409">
        <v>40759071</v>
      </c>
      <c r="N4409">
        <v>80648532</v>
      </c>
      <c r="P4409">
        <v>84</v>
      </c>
      <c r="Q4409" t="s">
        <v>9163</v>
      </c>
    </row>
    <row r="4410" spans="1:17" x14ac:dyDescent="0.3">
      <c r="A4410" t="s">
        <v>4729</v>
      </c>
      <c r="B4410" t="str">
        <f>"300613"</f>
        <v>300613</v>
      </c>
      <c r="C4410" t="s">
        <v>9164</v>
      </c>
      <c r="D4410" t="s">
        <v>461</v>
      </c>
      <c r="F4410">
        <v>415043438</v>
      </c>
      <c r="G4410">
        <v>134536639</v>
      </c>
      <c r="H4410">
        <v>161535269</v>
      </c>
      <c r="I4410">
        <v>123996816</v>
      </c>
      <c r="J4410">
        <v>115376456</v>
      </c>
      <c r="K4410">
        <v>44403738</v>
      </c>
      <c r="L4410">
        <v>35103946</v>
      </c>
      <c r="M4410">
        <v>8058224</v>
      </c>
      <c r="P4410">
        <v>355</v>
      </c>
      <c r="Q4410" t="s">
        <v>9165</v>
      </c>
    </row>
    <row r="4411" spans="1:17" x14ac:dyDescent="0.3">
      <c r="A4411" t="s">
        <v>4729</v>
      </c>
      <c r="B4411" t="str">
        <f>"300614"</f>
        <v>300614</v>
      </c>
      <c r="C4411" t="s">
        <v>9166</v>
      </c>
      <c r="D4411" t="s">
        <v>499</v>
      </c>
      <c r="F4411">
        <v>432094878</v>
      </c>
      <c r="G4411">
        <v>214353120</v>
      </c>
      <c r="H4411">
        <v>263368238</v>
      </c>
      <c r="I4411">
        <v>89605222</v>
      </c>
      <c r="J4411">
        <v>82534091</v>
      </c>
      <c r="K4411">
        <v>52028639</v>
      </c>
      <c r="P4411">
        <v>41</v>
      </c>
      <c r="Q4411" t="s">
        <v>9167</v>
      </c>
    </row>
    <row r="4412" spans="1:17" x14ac:dyDescent="0.3">
      <c r="A4412" t="s">
        <v>4729</v>
      </c>
      <c r="B4412" t="str">
        <f>"300615"</f>
        <v>300615</v>
      </c>
      <c r="C4412" t="s">
        <v>9168</v>
      </c>
      <c r="D4412" t="s">
        <v>786</v>
      </c>
      <c r="F4412">
        <v>113766002</v>
      </c>
      <c r="G4412">
        <v>95844742</v>
      </c>
      <c r="H4412">
        <v>106252178</v>
      </c>
      <c r="I4412">
        <v>96013734</v>
      </c>
      <c r="J4412">
        <v>97172999</v>
      </c>
      <c r="K4412">
        <v>91316898</v>
      </c>
      <c r="L4412">
        <v>62544961</v>
      </c>
      <c r="M4412">
        <v>70530074</v>
      </c>
      <c r="N4412">
        <v>60591415</v>
      </c>
      <c r="P4412">
        <v>156</v>
      </c>
      <c r="Q4412" t="s">
        <v>9169</v>
      </c>
    </row>
    <row r="4413" spans="1:17" x14ac:dyDescent="0.3">
      <c r="A4413" t="s">
        <v>4729</v>
      </c>
      <c r="B4413" t="str">
        <f>"300616"</f>
        <v>300616</v>
      </c>
      <c r="C4413" t="s">
        <v>9170</v>
      </c>
      <c r="D4413" t="s">
        <v>2664</v>
      </c>
      <c r="F4413">
        <v>166434386</v>
      </c>
      <c r="G4413">
        <v>99053510</v>
      </c>
      <c r="H4413">
        <v>55521251</v>
      </c>
      <c r="I4413">
        <v>23049721</v>
      </c>
      <c r="J4413">
        <v>3218394</v>
      </c>
      <c r="K4413">
        <v>2504781</v>
      </c>
      <c r="L4413">
        <v>2706899</v>
      </c>
      <c r="M4413">
        <v>3903152</v>
      </c>
      <c r="P4413">
        <v>694</v>
      </c>
      <c r="Q4413" t="s">
        <v>9171</v>
      </c>
    </row>
    <row r="4414" spans="1:17" x14ac:dyDescent="0.3">
      <c r="A4414" t="s">
        <v>4729</v>
      </c>
      <c r="B4414" t="str">
        <f>"300617"</f>
        <v>300617</v>
      </c>
      <c r="C4414" t="s">
        <v>9172</v>
      </c>
      <c r="D4414" t="s">
        <v>1164</v>
      </c>
      <c r="F4414">
        <v>480034566</v>
      </c>
      <c r="G4414">
        <v>280940832</v>
      </c>
      <c r="H4414">
        <v>205021447</v>
      </c>
      <c r="I4414">
        <v>250727198</v>
      </c>
      <c r="J4414">
        <v>258309937</v>
      </c>
      <c r="K4414">
        <v>159478033</v>
      </c>
      <c r="L4414">
        <v>155725374</v>
      </c>
      <c r="M4414">
        <v>193820652</v>
      </c>
      <c r="P4414">
        <v>148</v>
      </c>
      <c r="Q4414" t="s">
        <v>9173</v>
      </c>
    </row>
    <row r="4415" spans="1:17" x14ac:dyDescent="0.3">
      <c r="A4415" t="s">
        <v>4729</v>
      </c>
      <c r="B4415" t="str">
        <f>"300618"</f>
        <v>300618</v>
      </c>
      <c r="C4415" t="s">
        <v>9174</v>
      </c>
      <c r="D4415" t="s">
        <v>1440</v>
      </c>
      <c r="F4415">
        <v>534297930</v>
      </c>
      <c r="G4415">
        <v>208516883</v>
      </c>
      <c r="H4415">
        <v>303896756</v>
      </c>
      <c r="I4415">
        <v>329584408</v>
      </c>
      <c r="J4415">
        <v>141324397</v>
      </c>
      <c r="K4415">
        <v>76743934</v>
      </c>
      <c r="L4415">
        <v>64959597</v>
      </c>
      <c r="M4415">
        <v>87077886</v>
      </c>
      <c r="P4415">
        <v>574</v>
      </c>
      <c r="Q4415" t="s">
        <v>9175</v>
      </c>
    </row>
    <row r="4416" spans="1:17" x14ac:dyDescent="0.3">
      <c r="A4416" t="s">
        <v>4729</v>
      </c>
      <c r="B4416" t="str">
        <f>"300619"</f>
        <v>300619</v>
      </c>
      <c r="C4416" t="s">
        <v>9176</v>
      </c>
      <c r="D4416" t="s">
        <v>3776</v>
      </c>
      <c r="F4416">
        <v>370165740</v>
      </c>
      <c r="G4416">
        <v>283304874</v>
      </c>
      <c r="H4416">
        <v>332437941</v>
      </c>
      <c r="I4416">
        <v>256762448</v>
      </c>
      <c r="J4416">
        <v>196816513</v>
      </c>
      <c r="K4416">
        <v>96938774</v>
      </c>
      <c r="L4416">
        <v>68195758</v>
      </c>
      <c r="M4416">
        <v>43643696</v>
      </c>
      <c r="P4416">
        <v>94</v>
      </c>
      <c r="Q4416" t="s">
        <v>9177</v>
      </c>
    </row>
    <row r="4417" spans="1:17" x14ac:dyDescent="0.3">
      <c r="A4417" t="s">
        <v>4729</v>
      </c>
      <c r="B4417" t="str">
        <f>"300620"</f>
        <v>300620</v>
      </c>
      <c r="C4417" t="s">
        <v>9178</v>
      </c>
      <c r="D4417" t="s">
        <v>1019</v>
      </c>
      <c r="F4417">
        <v>197741644</v>
      </c>
      <c r="G4417">
        <v>137495645</v>
      </c>
      <c r="H4417">
        <v>106115795</v>
      </c>
      <c r="I4417">
        <v>87251585</v>
      </c>
      <c r="J4417">
        <v>44317011</v>
      </c>
      <c r="K4417">
        <v>43325952</v>
      </c>
      <c r="L4417">
        <v>24913981</v>
      </c>
      <c r="M4417">
        <v>20499840</v>
      </c>
      <c r="P4417">
        <v>245</v>
      </c>
      <c r="Q4417" t="s">
        <v>9179</v>
      </c>
    </row>
    <row r="4418" spans="1:17" x14ac:dyDescent="0.3">
      <c r="A4418" t="s">
        <v>4729</v>
      </c>
      <c r="B4418" t="str">
        <f>"300621"</f>
        <v>300621</v>
      </c>
      <c r="C4418" t="s">
        <v>9180</v>
      </c>
      <c r="D4418" t="s">
        <v>450</v>
      </c>
      <c r="F4418">
        <v>1087364963</v>
      </c>
      <c r="G4418">
        <v>642631684</v>
      </c>
      <c r="H4418">
        <v>1720529373</v>
      </c>
      <c r="I4418">
        <v>1365314144</v>
      </c>
      <c r="J4418">
        <v>1161440652</v>
      </c>
      <c r="K4418">
        <v>1070658346</v>
      </c>
      <c r="L4418">
        <v>1296943698</v>
      </c>
      <c r="M4418">
        <v>1343093510</v>
      </c>
      <c r="P4418">
        <v>56</v>
      </c>
      <c r="Q4418" t="s">
        <v>9181</v>
      </c>
    </row>
    <row r="4419" spans="1:17" x14ac:dyDescent="0.3">
      <c r="A4419" t="s">
        <v>4729</v>
      </c>
      <c r="B4419" t="str">
        <f>"300622"</f>
        <v>300622</v>
      </c>
      <c r="C4419" t="s">
        <v>9182</v>
      </c>
      <c r="D4419" t="s">
        <v>295</v>
      </c>
      <c r="F4419">
        <v>46269532</v>
      </c>
      <c r="G4419">
        <v>36921579</v>
      </c>
      <c r="H4419">
        <v>28167046</v>
      </c>
      <c r="I4419">
        <v>25258071</v>
      </c>
      <c r="J4419">
        <v>19119168</v>
      </c>
      <c r="K4419">
        <v>14866456</v>
      </c>
      <c r="L4419">
        <v>15926624</v>
      </c>
      <c r="M4419">
        <v>10087417</v>
      </c>
      <c r="P4419">
        <v>123</v>
      </c>
      <c r="Q4419" t="s">
        <v>9183</v>
      </c>
    </row>
    <row r="4420" spans="1:17" x14ac:dyDescent="0.3">
      <c r="A4420" t="s">
        <v>4729</v>
      </c>
      <c r="B4420" t="str">
        <f>"300623"</f>
        <v>300623</v>
      </c>
      <c r="C4420" t="s">
        <v>9184</v>
      </c>
      <c r="D4420" t="s">
        <v>795</v>
      </c>
      <c r="F4420">
        <v>323264524</v>
      </c>
      <c r="G4420">
        <v>265833561</v>
      </c>
      <c r="H4420">
        <v>197695662</v>
      </c>
      <c r="I4420">
        <v>131717242</v>
      </c>
      <c r="J4420">
        <v>111030154</v>
      </c>
      <c r="K4420">
        <v>89877995</v>
      </c>
      <c r="L4420">
        <v>63640599</v>
      </c>
      <c r="M4420">
        <v>55167559</v>
      </c>
      <c r="N4420">
        <v>52640523</v>
      </c>
      <c r="P4420">
        <v>664</v>
      </c>
      <c r="Q4420" t="s">
        <v>9185</v>
      </c>
    </row>
    <row r="4421" spans="1:17" x14ac:dyDescent="0.3">
      <c r="A4421" t="s">
        <v>4729</v>
      </c>
      <c r="B4421" t="str">
        <f>"300624"</f>
        <v>300624</v>
      </c>
      <c r="C4421" t="s">
        <v>9186</v>
      </c>
      <c r="D4421" t="s">
        <v>1189</v>
      </c>
      <c r="F4421">
        <v>34921058</v>
      </c>
      <c r="G4421">
        <v>23712678</v>
      </c>
      <c r="H4421">
        <v>16482884</v>
      </c>
      <c r="I4421">
        <v>18556999</v>
      </c>
      <c r="J4421">
        <v>12816577</v>
      </c>
      <c r="K4421">
        <v>14373599</v>
      </c>
      <c r="L4421">
        <v>7347894</v>
      </c>
      <c r="M4421">
        <v>10205121</v>
      </c>
      <c r="P4421">
        <v>332</v>
      </c>
      <c r="Q4421" t="s">
        <v>9187</v>
      </c>
    </row>
    <row r="4422" spans="1:17" x14ac:dyDescent="0.3">
      <c r="A4422" t="s">
        <v>4729</v>
      </c>
      <c r="B4422" t="str">
        <f>"300625"</f>
        <v>300625</v>
      </c>
      <c r="C4422" t="s">
        <v>9188</v>
      </c>
      <c r="D4422" t="s">
        <v>598</v>
      </c>
      <c r="F4422">
        <v>482327546</v>
      </c>
      <c r="G4422">
        <v>511590357</v>
      </c>
      <c r="H4422">
        <v>506120793</v>
      </c>
      <c r="I4422">
        <v>368986616</v>
      </c>
      <c r="J4422">
        <v>300264890</v>
      </c>
      <c r="K4422">
        <v>215086281</v>
      </c>
      <c r="L4422">
        <v>184077957</v>
      </c>
      <c r="M4422">
        <v>208441113</v>
      </c>
      <c r="P4422">
        <v>137</v>
      </c>
      <c r="Q4422" t="s">
        <v>9189</v>
      </c>
    </row>
    <row r="4423" spans="1:17" x14ac:dyDescent="0.3">
      <c r="A4423" t="s">
        <v>4729</v>
      </c>
      <c r="B4423" t="str">
        <f>"300626"</f>
        <v>300626</v>
      </c>
      <c r="C4423" t="s">
        <v>9190</v>
      </c>
      <c r="D4423" t="s">
        <v>1171</v>
      </c>
      <c r="F4423">
        <v>204124813</v>
      </c>
      <c r="G4423">
        <v>203392443</v>
      </c>
      <c r="H4423">
        <v>189666184</v>
      </c>
      <c r="I4423">
        <v>216080095</v>
      </c>
      <c r="J4423">
        <v>203611794</v>
      </c>
      <c r="K4423">
        <v>199608117</v>
      </c>
      <c r="L4423">
        <v>154903212</v>
      </c>
      <c r="M4423">
        <v>177792310</v>
      </c>
      <c r="P4423">
        <v>55</v>
      </c>
      <c r="Q4423" t="s">
        <v>9191</v>
      </c>
    </row>
    <row r="4424" spans="1:17" x14ac:dyDescent="0.3">
      <c r="A4424" t="s">
        <v>4729</v>
      </c>
      <c r="B4424" t="str">
        <f>"300627"</f>
        <v>300627</v>
      </c>
      <c r="C4424" t="s">
        <v>9192</v>
      </c>
      <c r="D4424" t="s">
        <v>786</v>
      </c>
      <c r="F4424">
        <v>480561688</v>
      </c>
      <c r="G4424">
        <v>501960306</v>
      </c>
      <c r="H4424">
        <v>462062176</v>
      </c>
      <c r="I4424">
        <v>373713140</v>
      </c>
      <c r="J4424">
        <v>210224031</v>
      </c>
      <c r="K4424">
        <v>172595869</v>
      </c>
      <c r="L4424">
        <v>121027202</v>
      </c>
      <c r="M4424">
        <v>86340114</v>
      </c>
      <c r="P4424">
        <v>295</v>
      </c>
      <c r="Q4424" t="s">
        <v>9193</v>
      </c>
    </row>
    <row r="4425" spans="1:17" x14ac:dyDescent="0.3">
      <c r="A4425" t="s">
        <v>4729</v>
      </c>
      <c r="B4425" t="str">
        <f>"300628"</f>
        <v>300628</v>
      </c>
      <c r="C4425" t="s">
        <v>9194</v>
      </c>
      <c r="D4425" t="s">
        <v>786</v>
      </c>
      <c r="F4425">
        <v>683596674</v>
      </c>
      <c r="G4425">
        <v>512804208</v>
      </c>
      <c r="H4425">
        <v>398735941</v>
      </c>
      <c r="I4425">
        <v>309378868</v>
      </c>
      <c r="J4425">
        <v>176529197</v>
      </c>
      <c r="K4425">
        <v>136480383</v>
      </c>
      <c r="L4425">
        <v>96864488</v>
      </c>
      <c r="M4425">
        <v>72159074</v>
      </c>
      <c r="P4425">
        <v>2264</v>
      </c>
      <c r="Q4425" t="s">
        <v>9195</v>
      </c>
    </row>
    <row r="4426" spans="1:17" x14ac:dyDescent="0.3">
      <c r="A4426" t="s">
        <v>4729</v>
      </c>
      <c r="B4426" t="str">
        <f>"300629"</f>
        <v>300629</v>
      </c>
      <c r="C4426" t="s">
        <v>9196</v>
      </c>
      <c r="D4426" t="s">
        <v>404</v>
      </c>
      <c r="F4426">
        <v>44445187</v>
      </c>
      <c r="G4426">
        <v>24707204</v>
      </c>
      <c r="H4426">
        <v>180001558</v>
      </c>
      <c r="I4426">
        <v>166520728</v>
      </c>
      <c r="J4426">
        <v>148492438</v>
      </c>
      <c r="K4426">
        <v>144290862</v>
      </c>
      <c r="L4426">
        <v>132568024</v>
      </c>
      <c r="M4426">
        <v>119209646</v>
      </c>
      <c r="N4426">
        <v>111985725</v>
      </c>
      <c r="P4426">
        <v>65</v>
      </c>
      <c r="Q4426" t="s">
        <v>9197</v>
      </c>
    </row>
    <row r="4427" spans="1:17" x14ac:dyDescent="0.3">
      <c r="A4427" t="s">
        <v>4729</v>
      </c>
      <c r="B4427" t="str">
        <f>"300630"</f>
        <v>300630</v>
      </c>
      <c r="C4427" t="s">
        <v>9198</v>
      </c>
      <c r="D4427" t="s">
        <v>143</v>
      </c>
      <c r="F4427">
        <v>875755641</v>
      </c>
      <c r="G4427">
        <v>598323478</v>
      </c>
      <c r="H4427">
        <v>330987543</v>
      </c>
      <c r="I4427">
        <v>136998596</v>
      </c>
      <c r="J4427">
        <v>47217285</v>
      </c>
      <c r="K4427">
        <v>26427210</v>
      </c>
      <c r="L4427">
        <v>23322429</v>
      </c>
      <c r="M4427">
        <v>24039408</v>
      </c>
      <c r="P4427">
        <v>1261</v>
      </c>
      <c r="Q4427" t="s">
        <v>9199</v>
      </c>
    </row>
    <row r="4428" spans="1:17" x14ac:dyDescent="0.3">
      <c r="A4428" t="s">
        <v>4729</v>
      </c>
      <c r="B4428" t="str">
        <f>"300631"</f>
        <v>300631</v>
      </c>
      <c r="C4428" t="s">
        <v>9200</v>
      </c>
      <c r="D4428" t="s">
        <v>1070</v>
      </c>
      <c r="F4428">
        <v>294294747</v>
      </c>
      <c r="G4428">
        <v>247091224</v>
      </c>
      <c r="H4428">
        <v>303718012</v>
      </c>
      <c r="I4428">
        <v>214161718</v>
      </c>
      <c r="J4428">
        <v>211871129</v>
      </c>
      <c r="K4428">
        <v>162442846</v>
      </c>
      <c r="L4428">
        <v>141491516</v>
      </c>
      <c r="M4428">
        <v>124971710</v>
      </c>
      <c r="N4428">
        <v>84377553</v>
      </c>
      <c r="P4428">
        <v>135</v>
      </c>
      <c r="Q4428" t="s">
        <v>9201</v>
      </c>
    </row>
    <row r="4429" spans="1:17" x14ac:dyDescent="0.3">
      <c r="A4429" t="s">
        <v>4729</v>
      </c>
      <c r="B4429" t="str">
        <f>"300632"</f>
        <v>300632</v>
      </c>
      <c r="C4429" t="s">
        <v>9202</v>
      </c>
      <c r="D4429" t="s">
        <v>803</v>
      </c>
      <c r="F4429">
        <v>249418514</v>
      </c>
      <c r="G4429">
        <v>245951975</v>
      </c>
      <c r="H4429">
        <v>275159609</v>
      </c>
      <c r="I4429">
        <v>297814610</v>
      </c>
      <c r="J4429">
        <v>149034669</v>
      </c>
      <c r="K4429">
        <v>122842488</v>
      </c>
      <c r="L4429">
        <v>75367810</v>
      </c>
      <c r="M4429">
        <v>70669206</v>
      </c>
      <c r="P4429">
        <v>201</v>
      </c>
      <c r="Q4429" t="s">
        <v>9203</v>
      </c>
    </row>
    <row r="4430" spans="1:17" x14ac:dyDescent="0.3">
      <c r="A4430" t="s">
        <v>4729</v>
      </c>
      <c r="B4430" t="str">
        <f>"300633"</f>
        <v>300633</v>
      </c>
      <c r="C4430" t="s">
        <v>9204</v>
      </c>
      <c r="D4430" t="s">
        <v>122</v>
      </c>
      <c r="F4430">
        <v>208394313</v>
      </c>
      <c r="G4430">
        <v>246186133</v>
      </c>
      <c r="H4430">
        <v>348021519</v>
      </c>
      <c r="I4430">
        <v>384495822</v>
      </c>
      <c r="J4430">
        <v>293832785</v>
      </c>
      <c r="K4430">
        <v>265585820</v>
      </c>
      <c r="L4430">
        <v>258777052</v>
      </c>
      <c r="M4430">
        <v>204785993</v>
      </c>
      <c r="N4430">
        <v>170235590</v>
      </c>
      <c r="P4430">
        <v>515</v>
      </c>
      <c r="Q4430" t="s">
        <v>9205</v>
      </c>
    </row>
    <row r="4431" spans="1:17" x14ac:dyDescent="0.3">
      <c r="A4431" t="s">
        <v>4729</v>
      </c>
      <c r="B4431" t="str">
        <f>"300634"</f>
        <v>300634</v>
      </c>
      <c r="C4431" t="s">
        <v>9206</v>
      </c>
      <c r="D4431" t="s">
        <v>316</v>
      </c>
      <c r="F4431">
        <v>151918857</v>
      </c>
      <c r="G4431">
        <v>136174259</v>
      </c>
      <c r="H4431">
        <v>280847227</v>
      </c>
      <c r="I4431">
        <v>354595492</v>
      </c>
      <c r="J4431">
        <v>227004976</v>
      </c>
      <c r="K4431">
        <v>164136791</v>
      </c>
      <c r="L4431">
        <v>227450304</v>
      </c>
      <c r="P4431">
        <v>159</v>
      </c>
      <c r="Q4431" t="s">
        <v>9207</v>
      </c>
    </row>
    <row r="4432" spans="1:17" x14ac:dyDescent="0.3">
      <c r="A4432" t="s">
        <v>4729</v>
      </c>
      <c r="B4432" t="str">
        <f>"300635"</f>
        <v>300635</v>
      </c>
      <c r="C4432" t="s">
        <v>9208</v>
      </c>
      <c r="D4432" t="s">
        <v>1272</v>
      </c>
      <c r="F4432">
        <v>122155568</v>
      </c>
      <c r="G4432">
        <v>87815777</v>
      </c>
      <c r="H4432">
        <v>674309929</v>
      </c>
      <c r="I4432">
        <v>554079197</v>
      </c>
      <c r="J4432">
        <v>419478602</v>
      </c>
      <c r="K4432">
        <v>347341319</v>
      </c>
      <c r="L4432">
        <v>333311859</v>
      </c>
      <c r="M4432">
        <v>305154395</v>
      </c>
      <c r="P4432">
        <v>113</v>
      </c>
      <c r="Q4432" t="s">
        <v>9209</v>
      </c>
    </row>
    <row r="4433" spans="1:17" x14ac:dyDescent="0.3">
      <c r="A4433" t="s">
        <v>4729</v>
      </c>
      <c r="B4433" t="str">
        <f>"300636"</f>
        <v>300636</v>
      </c>
      <c r="C4433" t="s">
        <v>9210</v>
      </c>
      <c r="D4433" t="s">
        <v>496</v>
      </c>
      <c r="F4433">
        <v>59646126</v>
      </c>
      <c r="G4433">
        <v>19564461</v>
      </c>
      <c r="H4433">
        <v>69267325</v>
      </c>
      <c r="I4433">
        <v>28274413</v>
      </c>
      <c r="J4433">
        <v>37600033</v>
      </c>
      <c r="K4433">
        <v>15584474</v>
      </c>
      <c r="L4433">
        <v>18779667</v>
      </c>
      <c r="M4433">
        <v>18663394</v>
      </c>
      <c r="P4433">
        <v>136</v>
      </c>
      <c r="Q4433" t="s">
        <v>9211</v>
      </c>
    </row>
    <row r="4434" spans="1:17" x14ac:dyDescent="0.3">
      <c r="A4434" t="s">
        <v>4729</v>
      </c>
      <c r="B4434" t="str">
        <f>"300637"</f>
        <v>300637</v>
      </c>
      <c r="C4434" t="s">
        <v>9212</v>
      </c>
      <c r="D4434" t="s">
        <v>2408</v>
      </c>
      <c r="F4434">
        <v>79984538</v>
      </c>
      <c r="G4434">
        <v>60188391</v>
      </c>
      <c r="H4434">
        <v>43252825</v>
      </c>
      <c r="I4434">
        <v>24849619</v>
      </c>
      <c r="J4434">
        <v>43939891</v>
      </c>
      <c r="K4434">
        <v>34881586</v>
      </c>
      <c r="L4434">
        <v>44002007</v>
      </c>
      <c r="M4434">
        <v>39926826</v>
      </c>
      <c r="P4434">
        <v>117</v>
      </c>
      <c r="Q4434" t="s">
        <v>9213</v>
      </c>
    </row>
    <row r="4435" spans="1:17" x14ac:dyDescent="0.3">
      <c r="A4435" t="s">
        <v>4729</v>
      </c>
      <c r="B4435" t="str">
        <f>"300638"</f>
        <v>300638</v>
      </c>
      <c r="C4435" t="s">
        <v>9214</v>
      </c>
      <c r="D4435" t="s">
        <v>786</v>
      </c>
      <c r="F4435">
        <v>1121924825</v>
      </c>
      <c r="G4435">
        <v>651192056</v>
      </c>
      <c r="H4435">
        <v>547532151</v>
      </c>
      <c r="I4435">
        <v>338457359</v>
      </c>
      <c r="J4435">
        <v>195010996</v>
      </c>
      <c r="K4435">
        <v>55143415</v>
      </c>
      <c r="L4435">
        <v>35161257</v>
      </c>
      <c r="M4435">
        <v>35394758</v>
      </c>
      <c r="P4435">
        <v>757</v>
      </c>
      <c r="Q4435" t="s">
        <v>9215</v>
      </c>
    </row>
    <row r="4436" spans="1:17" x14ac:dyDescent="0.3">
      <c r="A4436" t="s">
        <v>4729</v>
      </c>
      <c r="B4436" t="str">
        <f>"300639"</f>
        <v>300639</v>
      </c>
      <c r="C4436" t="s">
        <v>9216</v>
      </c>
      <c r="D4436" t="s">
        <v>1305</v>
      </c>
      <c r="F4436">
        <v>1109415302</v>
      </c>
      <c r="G4436">
        <v>573238361</v>
      </c>
      <c r="H4436">
        <v>332897377</v>
      </c>
      <c r="I4436">
        <v>262106365</v>
      </c>
      <c r="J4436">
        <v>199625521</v>
      </c>
      <c r="K4436">
        <v>147407953</v>
      </c>
      <c r="L4436">
        <v>120027070</v>
      </c>
      <c r="M4436">
        <v>90306811</v>
      </c>
      <c r="P4436">
        <v>535</v>
      </c>
      <c r="Q4436" t="s">
        <v>9217</v>
      </c>
    </row>
    <row r="4437" spans="1:17" x14ac:dyDescent="0.3">
      <c r="A4437" t="s">
        <v>4729</v>
      </c>
      <c r="B4437" t="str">
        <f>"300640"</f>
        <v>300640</v>
      </c>
      <c r="C4437" t="s">
        <v>9218</v>
      </c>
      <c r="D4437" t="s">
        <v>2445</v>
      </c>
      <c r="F4437">
        <v>165259615</v>
      </c>
      <c r="G4437">
        <v>106361854</v>
      </c>
      <c r="H4437">
        <v>83605585</v>
      </c>
      <c r="I4437">
        <v>105651512</v>
      </c>
      <c r="J4437">
        <v>76979340</v>
      </c>
      <c r="K4437">
        <v>50554665</v>
      </c>
      <c r="L4437">
        <v>53391310</v>
      </c>
      <c r="M4437">
        <v>44701431</v>
      </c>
      <c r="P4437">
        <v>79</v>
      </c>
      <c r="Q4437" t="s">
        <v>9219</v>
      </c>
    </row>
    <row r="4438" spans="1:17" x14ac:dyDescent="0.3">
      <c r="A4438" t="s">
        <v>4729</v>
      </c>
      <c r="B4438" t="str">
        <f>"300641"</f>
        <v>300641</v>
      </c>
      <c r="C4438" t="s">
        <v>9220</v>
      </c>
      <c r="D4438" t="s">
        <v>386</v>
      </c>
      <c r="F4438">
        <v>143815506</v>
      </c>
      <c r="G4438">
        <v>161754415</v>
      </c>
      <c r="H4438">
        <v>132472940</v>
      </c>
      <c r="I4438">
        <v>115520642</v>
      </c>
      <c r="J4438">
        <v>104006228</v>
      </c>
      <c r="K4438">
        <v>119804919</v>
      </c>
      <c r="L4438">
        <v>105672700</v>
      </c>
      <c r="M4438">
        <v>86708817</v>
      </c>
      <c r="P4438">
        <v>79</v>
      </c>
      <c r="Q4438" t="s">
        <v>9221</v>
      </c>
    </row>
    <row r="4439" spans="1:17" x14ac:dyDescent="0.3">
      <c r="A4439" t="s">
        <v>4729</v>
      </c>
      <c r="B4439" t="str">
        <f>"300642"</f>
        <v>300642</v>
      </c>
      <c r="C4439" t="s">
        <v>9222</v>
      </c>
      <c r="D4439" t="s">
        <v>1305</v>
      </c>
      <c r="F4439">
        <v>188096710</v>
      </c>
      <c r="G4439">
        <v>142895887</v>
      </c>
      <c r="H4439">
        <v>97608981</v>
      </c>
      <c r="I4439">
        <v>83858417</v>
      </c>
      <c r="J4439">
        <v>61816958</v>
      </c>
      <c r="K4439">
        <v>31528750</v>
      </c>
      <c r="L4439">
        <v>27098618</v>
      </c>
      <c r="M4439">
        <v>16800027</v>
      </c>
      <c r="P4439">
        <v>417</v>
      </c>
      <c r="Q4439" t="s">
        <v>9223</v>
      </c>
    </row>
    <row r="4440" spans="1:17" x14ac:dyDescent="0.3">
      <c r="A4440" t="s">
        <v>4729</v>
      </c>
      <c r="B4440" t="str">
        <f>"300643"</f>
        <v>300643</v>
      </c>
      <c r="C4440" t="s">
        <v>9224</v>
      </c>
      <c r="D4440" t="s">
        <v>985</v>
      </c>
      <c r="F4440">
        <v>221153735</v>
      </c>
      <c r="G4440">
        <v>164488227</v>
      </c>
      <c r="H4440">
        <v>166691730</v>
      </c>
      <c r="I4440">
        <v>66845148</v>
      </c>
      <c r="J4440">
        <v>54503776</v>
      </c>
      <c r="K4440">
        <v>62520483</v>
      </c>
      <c r="L4440">
        <v>53708273</v>
      </c>
      <c r="M4440">
        <v>48036469</v>
      </c>
      <c r="P4440">
        <v>96</v>
      </c>
      <c r="Q4440" t="s">
        <v>9225</v>
      </c>
    </row>
    <row r="4441" spans="1:17" x14ac:dyDescent="0.3">
      <c r="A4441" t="s">
        <v>4729</v>
      </c>
      <c r="B4441" t="str">
        <f>"300644"</f>
        <v>300644</v>
      </c>
      <c r="C4441" t="s">
        <v>9226</v>
      </c>
      <c r="D4441" t="s">
        <v>341</v>
      </c>
      <c r="F4441">
        <v>432146709</v>
      </c>
      <c r="G4441">
        <v>324282049</v>
      </c>
      <c r="H4441">
        <v>248562094</v>
      </c>
      <c r="I4441">
        <v>247225880</v>
      </c>
      <c r="J4441">
        <v>261116126</v>
      </c>
      <c r="K4441">
        <v>256390958</v>
      </c>
      <c r="L4441">
        <v>211593629</v>
      </c>
      <c r="P4441">
        <v>133</v>
      </c>
      <c r="Q4441" t="s">
        <v>9227</v>
      </c>
    </row>
    <row r="4442" spans="1:17" x14ac:dyDescent="0.3">
      <c r="A4442" t="s">
        <v>4729</v>
      </c>
      <c r="B4442" t="str">
        <f>"300645"</f>
        <v>300645</v>
      </c>
      <c r="C4442" t="s">
        <v>9228</v>
      </c>
      <c r="D4442" t="s">
        <v>236</v>
      </c>
      <c r="F4442">
        <v>493657088</v>
      </c>
      <c r="G4442">
        <v>407704327</v>
      </c>
      <c r="H4442">
        <v>425875217</v>
      </c>
      <c r="I4442">
        <v>314762607</v>
      </c>
      <c r="J4442">
        <v>273934565</v>
      </c>
      <c r="K4442">
        <v>210314610</v>
      </c>
      <c r="L4442">
        <v>191720192</v>
      </c>
      <c r="M4442">
        <v>161683231</v>
      </c>
      <c r="P4442">
        <v>111</v>
      </c>
      <c r="Q4442" t="s">
        <v>9229</v>
      </c>
    </row>
    <row r="4443" spans="1:17" x14ac:dyDescent="0.3">
      <c r="A4443" t="s">
        <v>4729</v>
      </c>
      <c r="B4443" t="str">
        <f>"300646"</f>
        <v>300646</v>
      </c>
      <c r="C4443" t="s">
        <v>9230</v>
      </c>
      <c r="D4443" t="s">
        <v>386</v>
      </c>
      <c r="P4443">
        <v>14</v>
      </c>
      <c r="Q4443" t="s">
        <v>9231</v>
      </c>
    </row>
    <row r="4444" spans="1:17" x14ac:dyDescent="0.3">
      <c r="A4444" t="s">
        <v>4729</v>
      </c>
      <c r="B4444" t="str">
        <f>"300647"</f>
        <v>300647</v>
      </c>
      <c r="C4444" t="s">
        <v>9232</v>
      </c>
      <c r="D4444" t="s">
        <v>313</v>
      </c>
      <c r="F4444">
        <v>344512036</v>
      </c>
      <c r="G4444">
        <v>335016405</v>
      </c>
      <c r="H4444">
        <v>251049817</v>
      </c>
      <c r="I4444">
        <v>145358247</v>
      </c>
      <c r="J4444">
        <v>122871107</v>
      </c>
      <c r="K4444">
        <v>28030979</v>
      </c>
      <c r="L4444">
        <v>20209004</v>
      </c>
      <c r="M4444">
        <v>13028800</v>
      </c>
      <c r="P4444">
        <v>116</v>
      </c>
      <c r="Q4444" t="s">
        <v>9233</v>
      </c>
    </row>
    <row r="4445" spans="1:17" x14ac:dyDescent="0.3">
      <c r="A4445" t="s">
        <v>4729</v>
      </c>
      <c r="B4445" t="str">
        <f>"300648"</f>
        <v>300648</v>
      </c>
      <c r="C4445" t="s">
        <v>9234</v>
      </c>
      <c r="D4445" t="s">
        <v>3776</v>
      </c>
      <c r="F4445">
        <v>303937111</v>
      </c>
      <c r="G4445">
        <v>282567016</v>
      </c>
      <c r="H4445">
        <v>210130986</v>
      </c>
      <c r="I4445">
        <v>160023783</v>
      </c>
      <c r="J4445">
        <v>143103425</v>
      </c>
      <c r="K4445">
        <v>95857828</v>
      </c>
      <c r="L4445">
        <v>52812783</v>
      </c>
      <c r="M4445">
        <v>41962981</v>
      </c>
      <c r="P4445">
        <v>266</v>
      </c>
      <c r="Q4445" t="s">
        <v>9235</v>
      </c>
    </row>
    <row r="4446" spans="1:17" x14ac:dyDescent="0.3">
      <c r="A4446" t="s">
        <v>4729</v>
      </c>
      <c r="B4446" t="str">
        <f>"300649"</f>
        <v>300649</v>
      </c>
      <c r="C4446" t="s">
        <v>9236</v>
      </c>
      <c r="D4446" t="s">
        <v>2417</v>
      </c>
      <c r="F4446">
        <v>223041345</v>
      </c>
      <c r="G4446">
        <v>257660120</v>
      </c>
      <c r="H4446">
        <v>331995814</v>
      </c>
      <c r="I4446">
        <v>162922140</v>
      </c>
      <c r="J4446">
        <v>96890180</v>
      </c>
      <c r="K4446">
        <v>73634667</v>
      </c>
      <c r="L4446">
        <v>63768273</v>
      </c>
      <c r="M4446">
        <v>54924645</v>
      </c>
      <c r="P4446">
        <v>91</v>
      </c>
      <c r="Q4446" t="s">
        <v>9237</v>
      </c>
    </row>
    <row r="4447" spans="1:17" x14ac:dyDescent="0.3">
      <c r="A4447" t="s">
        <v>4729</v>
      </c>
      <c r="B4447" t="str">
        <f>"300650"</f>
        <v>300650</v>
      </c>
      <c r="C4447" t="s">
        <v>9238</v>
      </c>
      <c r="D4447" t="s">
        <v>803</v>
      </c>
      <c r="F4447">
        <v>422072911</v>
      </c>
      <c r="G4447">
        <v>376234478</v>
      </c>
      <c r="H4447">
        <v>151301590</v>
      </c>
      <c r="I4447">
        <v>147673048</v>
      </c>
      <c r="J4447">
        <v>109573815</v>
      </c>
      <c r="K4447">
        <v>84942197</v>
      </c>
      <c r="L4447">
        <v>75543187</v>
      </c>
      <c r="M4447">
        <v>68184771</v>
      </c>
      <c r="P4447">
        <v>125</v>
      </c>
      <c r="Q4447" t="s">
        <v>9239</v>
      </c>
    </row>
    <row r="4448" spans="1:17" x14ac:dyDescent="0.3">
      <c r="A4448" t="s">
        <v>4729</v>
      </c>
      <c r="B4448" t="str">
        <f>"300651"</f>
        <v>300651</v>
      </c>
      <c r="C4448" t="s">
        <v>9240</v>
      </c>
      <c r="D4448" t="s">
        <v>327</v>
      </c>
      <c r="F4448">
        <v>157270594</v>
      </c>
      <c r="G4448">
        <v>163787246</v>
      </c>
      <c r="H4448">
        <v>194578269</v>
      </c>
      <c r="I4448">
        <v>174711731</v>
      </c>
      <c r="J4448">
        <v>137116955</v>
      </c>
      <c r="K4448">
        <v>120669066</v>
      </c>
      <c r="L4448">
        <v>117161817</v>
      </c>
      <c r="M4448">
        <v>131556911</v>
      </c>
      <c r="P4448">
        <v>99</v>
      </c>
      <c r="Q4448" t="s">
        <v>9241</v>
      </c>
    </row>
    <row r="4449" spans="1:17" x14ac:dyDescent="0.3">
      <c r="A4449" t="s">
        <v>4729</v>
      </c>
      <c r="B4449" t="str">
        <f>"300652"</f>
        <v>300652</v>
      </c>
      <c r="C4449" t="s">
        <v>9242</v>
      </c>
      <c r="D4449" t="s">
        <v>422</v>
      </c>
      <c r="F4449">
        <v>130742327</v>
      </c>
      <c r="G4449">
        <v>91698497</v>
      </c>
      <c r="H4449">
        <v>100528147</v>
      </c>
      <c r="I4449">
        <v>106440414</v>
      </c>
      <c r="J4449">
        <v>137042312</v>
      </c>
      <c r="K4449">
        <v>104215185</v>
      </c>
      <c r="L4449">
        <v>92309150</v>
      </c>
      <c r="M4449">
        <v>90797857</v>
      </c>
      <c r="P4449">
        <v>92</v>
      </c>
      <c r="Q4449" t="s">
        <v>9243</v>
      </c>
    </row>
    <row r="4450" spans="1:17" x14ac:dyDescent="0.3">
      <c r="A4450" t="s">
        <v>4729</v>
      </c>
      <c r="B4450" t="str">
        <f>"300653"</f>
        <v>300653</v>
      </c>
      <c r="C4450" t="s">
        <v>9244</v>
      </c>
      <c r="D4450" t="s">
        <v>1077</v>
      </c>
      <c r="F4450">
        <v>45078600</v>
      </c>
      <c r="G4450">
        <v>53156266</v>
      </c>
      <c r="H4450">
        <v>50654003</v>
      </c>
      <c r="I4450">
        <v>43491449</v>
      </c>
      <c r="J4450">
        <v>43585389</v>
      </c>
      <c r="K4450">
        <v>34694103</v>
      </c>
      <c r="L4450">
        <v>27966429</v>
      </c>
      <c r="M4450">
        <v>23293741</v>
      </c>
      <c r="P4450">
        <v>898</v>
      </c>
      <c r="Q4450" t="s">
        <v>9245</v>
      </c>
    </row>
    <row r="4451" spans="1:17" x14ac:dyDescent="0.3">
      <c r="A4451" t="s">
        <v>4729</v>
      </c>
      <c r="B4451" t="str">
        <f>"300654"</f>
        <v>300654</v>
      </c>
      <c r="C4451" t="s">
        <v>9246</v>
      </c>
      <c r="D4451" t="s">
        <v>1536</v>
      </c>
      <c r="F4451">
        <v>181774367</v>
      </c>
      <c r="G4451">
        <v>174485665</v>
      </c>
      <c r="H4451">
        <v>156531070</v>
      </c>
      <c r="I4451">
        <v>153815834</v>
      </c>
      <c r="J4451">
        <v>182883950</v>
      </c>
      <c r="K4451">
        <v>176191704</v>
      </c>
      <c r="L4451">
        <v>163885472</v>
      </c>
      <c r="M4451">
        <v>130395625</v>
      </c>
      <c r="P4451">
        <v>73</v>
      </c>
      <c r="Q4451" t="s">
        <v>9247</v>
      </c>
    </row>
    <row r="4452" spans="1:17" x14ac:dyDescent="0.3">
      <c r="A4452" t="s">
        <v>4729</v>
      </c>
      <c r="B4452" t="str">
        <f>"300655"</f>
        <v>300655</v>
      </c>
      <c r="C4452" t="s">
        <v>9248</v>
      </c>
      <c r="D4452" t="s">
        <v>2408</v>
      </c>
      <c r="F4452">
        <v>305661905</v>
      </c>
      <c r="G4452">
        <v>307418912</v>
      </c>
      <c r="H4452">
        <v>236949346</v>
      </c>
      <c r="I4452">
        <v>251834754</v>
      </c>
      <c r="J4452">
        <v>224885599</v>
      </c>
      <c r="K4452">
        <v>183077688</v>
      </c>
      <c r="L4452">
        <v>153733988</v>
      </c>
      <c r="M4452">
        <v>145646150</v>
      </c>
      <c r="P4452">
        <v>3076</v>
      </c>
      <c r="Q4452" t="s">
        <v>9249</v>
      </c>
    </row>
    <row r="4453" spans="1:17" x14ac:dyDescent="0.3">
      <c r="A4453" t="s">
        <v>4729</v>
      </c>
      <c r="B4453" t="str">
        <f>"300656"</f>
        <v>300656</v>
      </c>
      <c r="C4453" t="s">
        <v>9250</v>
      </c>
      <c r="D4453" t="s">
        <v>651</v>
      </c>
      <c r="F4453">
        <v>229645813</v>
      </c>
      <c r="G4453">
        <v>213694919</v>
      </c>
      <c r="H4453">
        <v>150238711</v>
      </c>
      <c r="I4453">
        <v>109570087</v>
      </c>
      <c r="J4453">
        <v>37680217</v>
      </c>
      <c r="K4453">
        <v>18936410</v>
      </c>
      <c r="L4453">
        <v>22076607</v>
      </c>
      <c r="M4453">
        <v>15858642</v>
      </c>
      <c r="P4453">
        <v>80</v>
      </c>
      <c r="Q4453" t="s">
        <v>9251</v>
      </c>
    </row>
    <row r="4454" spans="1:17" x14ac:dyDescent="0.3">
      <c r="A4454" t="s">
        <v>4729</v>
      </c>
      <c r="B4454" t="str">
        <f>"300657"</f>
        <v>300657</v>
      </c>
      <c r="C4454" t="s">
        <v>9252</v>
      </c>
      <c r="D4454" t="s">
        <v>425</v>
      </c>
      <c r="F4454">
        <v>1090933600</v>
      </c>
      <c r="G4454">
        <v>1025798145</v>
      </c>
      <c r="H4454">
        <v>899445949</v>
      </c>
      <c r="I4454">
        <v>567336020</v>
      </c>
      <c r="J4454">
        <v>402653023</v>
      </c>
      <c r="K4454">
        <v>450354268</v>
      </c>
      <c r="L4454">
        <v>373399515</v>
      </c>
      <c r="M4454">
        <v>214543869</v>
      </c>
      <c r="P4454">
        <v>257</v>
      </c>
      <c r="Q4454" t="s">
        <v>9253</v>
      </c>
    </row>
    <row r="4455" spans="1:17" x14ac:dyDescent="0.3">
      <c r="A4455" t="s">
        <v>4729</v>
      </c>
      <c r="B4455" t="str">
        <f>"300658"</f>
        <v>300658</v>
      </c>
      <c r="C4455" t="s">
        <v>9254</v>
      </c>
      <c r="D4455" t="s">
        <v>2751</v>
      </c>
      <c r="F4455">
        <v>299786681</v>
      </c>
      <c r="G4455">
        <v>250904631</v>
      </c>
      <c r="H4455">
        <v>218701736</v>
      </c>
      <c r="I4455">
        <v>198616076</v>
      </c>
      <c r="J4455">
        <v>170993493</v>
      </c>
      <c r="K4455">
        <v>170799920</v>
      </c>
      <c r="L4455">
        <v>134896332</v>
      </c>
      <c r="M4455">
        <v>96659531</v>
      </c>
      <c r="P4455">
        <v>232</v>
      </c>
      <c r="Q4455" t="s">
        <v>9255</v>
      </c>
    </row>
    <row r="4456" spans="1:17" x14ac:dyDescent="0.3">
      <c r="A4456" t="s">
        <v>4729</v>
      </c>
      <c r="B4456" t="str">
        <f>"300659"</f>
        <v>300659</v>
      </c>
      <c r="C4456" t="s">
        <v>9256</v>
      </c>
      <c r="D4456" t="s">
        <v>236</v>
      </c>
      <c r="F4456">
        <v>543061223</v>
      </c>
      <c r="G4456">
        <v>428334032</v>
      </c>
      <c r="H4456">
        <v>227442726</v>
      </c>
      <c r="I4456">
        <v>135721804</v>
      </c>
      <c r="J4456">
        <v>109979032</v>
      </c>
      <c r="K4456">
        <v>53347581</v>
      </c>
      <c r="L4456">
        <v>35963911</v>
      </c>
      <c r="M4456">
        <v>26512947</v>
      </c>
      <c r="P4456">
        <v>272</v>
      </c>
      <c r="Q4456" t="s">
        <v>9257</v>
      </c>
    </row>
    <row r="4457" spans="1:17" x14ac:dyDescent="0.3">
      <c r="A4457" t="s">
        <v>4729</v>
      </c>
      <c r="B4457" t="str">
        <f>"300660"</f>
        <v>300660</v>
      </c>
      <c r="C4457" t="s">
        <v>9258</v>
      </c>
      <c r="D4457" t="s">
        <v>1171</v>
      </c>
      <c r="F4457">
        <v>910280572</v>
      </c>
      <c r="G4457">
        <v>802588246</v>
      </c>
      <c r="H4457">
        <v>575899473</v>
      </c>
      <c r="I4457">
        <v>600367493</v>
      </c>
      <c r="J4457">
        <v>461096350</v>
      </c>
      <c r="K4457">
        <v>447291681</v>
      </c>
      <c r="L4457">
        <v>396215321</v>
      </c>
      <c r="M4457">
        <v>358259235</v>
      </c>
      <c r="P4457">
        <v>108</v>
      </c>
      <c r="Q4457" t="s">
        <v>9259</v>
      </c>
    </row>
    <row r="4458" spans="1:17" x14ac:dyDescent="0.3">
      <c r="A4458" t="s">
        <v>4729</v>
      </c>
      <c r="B4458" t="str">
        <f>"300661"</f>
        <v>300661</v>
      </c>
      <c r="C4458" t="s">
        <v>9260</v>
      </c>
      <c r="D4458" t="s">
        <v>401</v>
      </c>
      <c r="F4458">
        <v>92912104</v>
      </c>
      <c r="G4458">
        <v>61278442</v>
      </c>
      <c r="H4458">
        <v>83775877</v>
      </c>
      <c r="I4458">
        <v>30824455</v>
      </c>
      <c r="J4458">
        <v>37924799</v>
      </c>
      <c r="K4458">
        <v>37185520</v>
      </c>
      <c r="L4458">
        <v>26328964</v>
      </c>
      <c r="M4458">
        <v>16486053</v>
      </c>
      <c r="P4458">
        <v>1054</v>
      </c>
      <c r="Q4458" t="s">
        <v>9261</v>
      </c>
    </row>
    <row r="4459" spans="1:17" x14ac:dyDescent="0.3">
      <c r="A4459" t="s">
        <v>4729</v>
      </c>
      <c r="B4459" t="str">
        <f>"300662"</f>
        <v>300662</v>
      </c>
      <c r="C4459" t="s">
        <v>9262</v>
      </c>
      <c r="D4459" t="s">
        <v>9263</v>
      </c>
      <c r="F4459">
        <v>1548352699</v>
      </c>
      <c r="G4459">
        <v>873428403</v>
      </c>
      <c r="H4459">
        <v>773985184</v>
      </c>
      <c r="I4459">
        <v>553193483</v>
      </c>
      <c r="J4459">
        <v>261050764</v>
      </c>
      <c r="K4459">
        <v>210524705</v>
      </c>
      <c r="L4459">
        <v>150113476</v>
      </c>
      <c r="M4459">
        <v>108102406</v>
      </c>
      <c r="P4459">
        <v>688</v>
      </c>
      <c r="Q4459" t="s">
        <v>9264</v>
      </c>
    </row>
    <row r="4460" spans="1:17" x14ac:dyDescent="0.3">
      <c r="A4460" t="s">
        <v>4729</v>
      </c>
      <c r="B4460" t="str">
        <f>"300663"</f>
        <v>300663</v>
      </c>
      <c r="C4460" t="s">
        <v>9265</v>
      </c>
      <c r="D4460" t="s">
        <v>945</v>
      </c>
      <c r="F4460">
        <v>819167705</v>
      </c>
      <c r="G4460">
        <v>689917368</v>
      </c>
      <c r="H4460">
        <v>643121762</v>
      </c>
      <c r="I4460">
        <v>545859103</v>
      </c>
      <c r="J4460">
        <v>487769199</v>
      </c>
      <c r="K4460">
        <v>423183353</v>
      </c>
      <c r="L4460">
        <v>364455063</v>
      </c>
      <c r="M4460">
        <v>224057367</v>
      </c>
      <c r="P4460">
        <v>261</v>
      </c>
      <c r="Q4460" t="s">
        <v>9266</v>
      </c>
    </row>
    <row r="4461" spans="1:17" x14ac:dyDescent="0.3">
      <c r="A4461" t="s">
        <v>4729</v>
      </c>
      <c r="B4461" t="str">
        <f>"300664"</f>
        <v>300664</v>
      </c>
      <c r="C4461" t="s">
        <v>9267</v>
      </c>
      <c r="D4461" t="s">
        <v>33</v>
      </c>
      <c r="F4461">
        <v>894735069</v>
      </c>
      <c r="G4461">
        <v>705649155</v>
      </c>
      <c r="H4461">
        <v>837817800</v>
      </c>
      <c r="I4461">
        <v>719050487</v>
      </c>
      <c r="J4461">
        <v>236833372</v>
      </c>
      <c r="K4461">
        <v>167941678</v>
      </c>
      <c r="L4461">
        <v>258323948</v>
      </c>
      <c r="M4461">
        <v>219251671</v>
      </c>
      <c r="P4461">
        <v>118</v>
      </c>
      <c r="Q4461" t="s">
        <v>9268</v>
      </c>
    </row>
    <row r="4462" spans="1:17" x14ac:dyDescent="0.3">
      <c r="A4462" t="s">
        <v>4729</v>
      </c>
      <c r="B4462" t="str">
        <f>"300665"</f>
        <v>300665</v>
      </c>
      <c r="C4462" t="s">
        <v>9269</v>
      </c>
      <c r="D4462" t="s">
        <v>2585</v>
      </c>
      <c r="F4462">
        <v>411422641</v>
      </c>
      <c r="G4462">
        <v>340029910</v>
      </c>
      <c r="H4462">
        <v>317258273</v>
      </c>
      <c r="I4462">
        <v>262595406</v>
      </c>
      <c r="J4462">
        <v>229927210</v>
      </c>
      <c r="K4462">
        <v>197766443</v>
      </c>
      <c r="L4462">
        <v>156042233</v>
      </c>
      <c r="M4462">
        <v>134587848</v>
      </c>
      <c r="P4462">
        <v>109</v>
      </c>
      <c r="Q4462" t="s">
        <v>9270</v>
      </c>
    </row>
    <row r="4463" spans="1:17" x14ac:dyDescent="0.3">
      <c r="A4463" t="s">
        <v>4729</v>
      </c>
      <c r="B4463" t="str">
        <f>"300666"</f>
        <v>300666</v>
      </c>
      <c r="C4463" t="s">
        <v>9271</v>
      </c>
      <c r="D4463" t="s">
        <v>475</v>
      </c>
      <c r="F4463">
        <v>360948759</v>
      </c>
      <c r="G4463">
        <v>260585236</v>
      </c>
      <c r="H4463">
        <v>209004204</v>
      </c>
      <c r="I4463">
        <v>130764912</v>
      </c>
      <c r="J4463">
        <v>118164834</v>
      </c>
      <c r="K4463">
        <v>89248421</v>
      </c>
      <c r="L4463">
        <v>64001716</v>
      </c>
      <c r="M4463">
        <v>52274187</v>
      </c>
      <c r="P4463">
        <v>519</v>
      </c>
      <c r="Q4463" t="s">
        <v>9272</v>
      </c>
    </row>
    <row r="4464" spans="1:17" x14ac:dyDescent="0.3">
      <c r="A4464" t="s">
        <v>4729</v>
      </c>
      <c r="B4464" t="str">
        <f>"300667"</f>
        <v>300667</v>
      </c>
      <c r="C4464" t="s">
        <v>9273</v>
      </c>
      <c r="D4464" t="s">
        <v>2566</v>
      </c>
      <c r="F4464">
        <v>206384515</v>
      </c>
      <c r="G4464">
        <v>234781363</v>
      </c>
      <c r="H4464">
        <v>231331800</v>
      </c>
      <c r="I4464">
        <v>149019661</v>
      </c>
      <c r="J4464">
        <v>106092494</v>
      </c>
      <c r="K4464">
        <v>74150646</v>
      </c>
      <c r="L4464">
        <v>70969684</v>
      </c>
      <c r="M4464">
        <v>59810082</v>
      </c>
      <c r="P4464">
        <v>144</v>
      </c>
      <c r="Q4464" t="s">
        <v>9274</v>
      </c>
    </row>
    <row r="4465" spans="1:17" x14ac:dyDescent="0.3">
      <c r="A4465" t="s">
        <v>4729</v>
      </c>
      <c r="B4465" t="str">
        <f>"300668"</f>
        <v>300668</v>
      </c>
      <c r="C4465" t="s">
        <v>9275</v>
      </c>
      <c r="D4465" t="s">
        <v>1272</v>
      </c>
      <c r="F4465">
        <v>227760049</v>
      </c>
      <c r="G4465">
        <v>189018001</v>
      </c>
      <c r="H4465">
        <v>248118071</v>
      </c>
      <c r="I4465">
        <v>193252095</v>
      </c>
      <c r="J4465">
        <v>123994739</v>
      </c>
      <c r="K4465">
        <v>78049528</v>
      </c>
      <c r="L4465">
        <v>48580872</v>
      </c>
      <c r="M4465">
        <v>45336592</v>
      </c>
      <c r="P4465">
        <v>207</v>
      </c>
      <c r="Q4465" t="s">
        <v>9276</v>
      </c>
    </row>
    <row r="4466" spans="1:17" x14ac:dyDescent="0.3">
      <c r="A4466" t="s">
        <v>4729</v>
      </c>
      <c r="B4466" t="str">
        <f>"300669"</f>
        <v>300669</v>
      </c>
      <c r="C4466" t="s">
        <v>9277</v>
      </c>
      <c r="D4466" t="s">
        <v>1691</v>
      </c>
      <c r="F4466">
        <v>141804808</v>
      </c>
      <c r="G4466">
        <v>115403184</v>
      </c>
      <c r="H4466">
        <v>102444661</v>
      </c>
      <c r="I4466">
        <v>88285215</v>
      </c>
      <c r="J4466">
        <v>74968240</v>
      </c>
      <c r="K4466">
        <v>74295276</v>
      </c>
      <c r="L4466">
        <v>63894798</v>
      </c>
      <c r="M4466">
        <v>60458044</v>
      </c>
      <c r="P4466">
        <v>102</v>
      </c>
      <c r="Q4466" t="s">
        <v>9278</v>
      </c>
    </row>
    <row r="4467" spans="1:17" x14ac:dyDescent="0.3">
      <c r="A4467" t="s">
        <v>4729</v>
      </c>
      <c r="B4467" t="str">
        <f>"300670"</f>
        <v>300670</v>
      </c>
      <c r="C4467" t="s">
        <v>9279</v>
      </c>
      <c r="D4467" t="s">
        <v>657</v>
      </c>
      <c r="F4467">
        <v>334678566</v>
      </c>
      <c r="G4467">
        <v>329807297</v>
      </c>
      <c r="H4467">
        <v>421318588</v>
      </c>
      <c r="I4467">
        <v>284148256</v>
      </c>
      <c r="J4467">
        <v>194100791</v>
      </c>
      <c r="K4467">
        <v>136367526</v>
      </c>
      <c r="L4467">
        <v>92341946</v>
      </c>
      <c r="M4467">
        <v>48085826</v>
      </c>
      <c r="P4467">
        <v>67</v>
      </c>
      <c r="Q4467" t="s">
        <v>9280</v>
      </c>
    </row>
    <row r="4468" spans="1:17" x14ac:dyDescent="0.3">
      <c r="A4468" t="s">
        <v>4729</v>
      </c>
      <c r="B4468" t="str">
        <f>"300671"</f>
        <v>300671</v>
      </c>
      <c r="C4468" t="s">
        <v>9281</v>
      </c>
      <c r="D4468" t="s">
        <v>401</v>
      </c>
      <c r="F4468">
        <v>272716963</v>
      </c>
      <c r="G4468">
        <v>447961977</v>
      </c>
      <c r="H4468">
        <v>310402939</v>
      </c>
      <c r="I4468">
        <v>225759163</v>
      </c>
      <c r="J4468">
        <v>189140847</v>
      </c>
      <c r="K4468">
        <v>132844828</v>
      </c>
      <c r="L4468">
        <v>96166505</v>
      </c>
      <c r="M4468">
        <v>86639520</v>
      </c>
      <c r="P4468">
        <v>301</v>
      </c>
      <c r="Q4468" t="s">
        <v>9282</v>
      </c>
    </row>
    <row r="4469" spans="1:17" x14ac:dyDescent="0.3">
      <c r="A4469" t="s">
        <v>4729</v>
      </c>
      <c r="B4469" t="str">
        <f>"300672"</f>
        <v>300672</v>
      </c>
      <c r="C4469" t="s">
        <v>9283</v>
      </c>
      <c r="D4469" t="s">
        <v>461</v>
      </c>
      <c r="F4469">
        <v>121415356</v>
      </c>
      <c r="G4469">
        <v>157017768</v>
      </c>
      <c r="H4469">
        <v>250473885</v>
      </c>
      <c r="I4469">
        <v>216159567</v>
      </c>
      <c r="J4469">
        <v>151541928</v>
      </c>
      <c r="K4469">
        <v>127537140</v>
      </c>
      <c r="L4469">
        <v>80715632</v>
      </c>
      <c r="M4469">
        <v>34187052</v>
      </c>
      <c r="P4469">
        <v>305</v>
      </c>
      <c r="Q4469" t="s">
        <v>9284</v>
      </c>
    </row>
    <row r="4470" spans="1:17" x14ac:dyDescent="0.3">
      <c r="A4470" t="s">
        <v>4729</v>
      </c>
      <c r="B4470" t="str">
        <f>"300673"</f>
        <v>300673</v>
      </c>
      <c r="C4470" t="s">
        <v>9285</v>
      </c>
      <c r="D4470" t="s">
        <v>7554</v>
      </c>
      <c r="F4470">
        <v>201259897</v>
      </c>
      <c r="G4470">
        <v>224900821</v>
      </c>
      <c r="H4470">
        <v>191130248</v>
      </c>
      <c r="I4470">
        <v>162737277</v>
      </c>
      <c r="J4470">
        <v>155547972</v>
      </c>
      <c r="K4470">
        <v>115916780</v>
      </c>
      <c r="L4470">
        <v>75233741</v>
      </c>
      <c r="M4470">
        <v>55773210</v>
      </c>
      <c r="P4470">
        <v>512</v>
      </c>
      <c r="Q4470" t="s">
        <v>9286</v>
      </c>
    </row>
    <row r="4471" spans="1:17" x14ac:dyDescent="0.3">
      <c r="A4471" t="s">
        <v>4729</v>
      </c>
      <c r="B4471" t="str">
        <f>"300674"</f>
        <v>300674</v>
      </c>
      <c r="C4471" t="s">
        <v>9287</v>
      </c>
      <c r="D4471" t="s">
        <v>316</v>
      </c>
      <c r="F4471">
        <v>1154481902</v>
      </c>
      <c r="G4471">
        <v>830368271</v>
      </c>
      <c r="H4471">
        <v>769826622</v>
      </c>
      <c r="I4471">
        <v>607018060</v>
      </c>
      <c r="J4471">
        <v>0</v>
      </c>
      <c r="K4471">
        <v>0</v>
      </c>
      <c r="L4471">
        <v>0</v>
      </c>
      <c r="P4471">
        <v>348</v>
      </c>
      <c r="Q4471" t="s">
        <v>9288</v>
      </c>
    </row>
    <row r="4472" spans="1:17" x14ac:dyDescent="0.3">
      <c r="A4472" t="s">
        <v>4729</v>
      </c>
      <c r="B4472" t="str">
        <f>"300675"</f>
        <v>300675</v>
      </c>
      <c r="C4472" t="s">
        <v>9289</v>
      </c>
      <c r="D4472" t="s">
        <v>1272</v>
      </c>
      <c r="F4472">
        <v>328014425</v>
      </c>
      <c r="G4472">
        <v>322491462</v>
      </c>
      <c r="H4472">
        <v>288851268</v>
      </c>
      <c r="I4472">
        <v>226338645</v>
      </c>
      <c r="J4472">
        <v>193229667</v>
      </c>
      <c r="K4472">
        <v>179593452</v>
      </c>
      <c r="L4472">
        <v>168973577</v>
      </c>
      <c r="M4472">
        <v>124987102</v>
      </c>
      <c r="P4472">
        <v>85</v>
      </c>
      <c r="Q4472" t="s">
        <v>9290</v>
      </c>
    </row>
    <row r="4473" spans="1:17" x14ac:dyDescent="0.3">
      <c r="A4473" t="s">
        <v>4729</v>
      </c>
      <c r="B4473" t="str">
        <f>"300676"</f>
        <v>300676</v>
      </c>
      <c r="C4473" t="s">
        <v>9291</v>
      </c>
      <c r="D4473" t="s">
        <v>1305</v>
      </c>
      <c r="F4473">
        <v>1214851855</v>
      </c>
      <c r="G4473">
        <v>1559813897</v>
      </c>
      <c r="H4473">
        <v>1232428821</v>
      </c>
      <c r="I4473">
        <v>1250386008</v>
      </c>
      <c r="J4473">
        <v>811563549</v>
      </c>
      <c r="K4473">
        <v>612286270</v>
      </c>
      <c r="L4473">
        <v>485096331</v>
      </c>
      <c r="M4473">
        <v>328901337</v>
      </c>
      <c r="P4473">
        <v>1481</v>
      </c>
      <c r="Q4473" t="s">
        <v>9292</v>
      </c>
    </row>
    <row r="4474" spans="1:17" x14ac:dyDescent="0.3">
      <c r="A4474" t="s">
        <v>4729</v>
      </c>
      <c r="B4474" t="str">
        <f>"300677"</f>
        <v>300677</v>
      </c>
      <c r="C4474" t="s">
        <v>9293</v>
      </c>
      <c r="D4474" t="s">
        <v>1077</v>
      </c>
      <c r="F4474">
        <v>775067932</v>
      </c>
      <c r="G4474">
        <v>516880911</v>
      </c>
      <c r="H4474">
        <v>331628238</v>
      </c>
      <c r="I4474">
        <v>314100480</v>
      </c>
      <c r="J4474">
        <v>236275252</v>
      </c>
      <c r="K4474">
        <v>207473484</v>
      </c>
      <c r="L4474">
        <v>162905267</v>
      </c>
      <c r="M4474">
        <v>126340244</v>
      </c>
      <c r="P4474">
        <v>1821</v>
      </c>
      <c r="Q4474" t="s">
        <v>9294</v>
      </c>
    </row>
    <row r="4475" spans="1:17" x14ac:dyDescent="0.3">
      <c r="A4475" t="s">
        <v>4729</v>
      </c>
      <c r="B4475" t="str">
        <f>"300678"</f>
        <v>300678</v>
      </c>
      <c r="C4475" t="s">
        <v>9295</v>
      </c>
      <c r="D4475" t="s">
        <v>316</v>
      </c>
      <c r="F4475">
        <v>298969483</v>
      </c>
      <c r="G4475">
        <v>269304389</v>
      </c>
      <c r="H4475">
        <v>245016362</v>
      </c>
      <c r="I4475">
        <v>198011739</v>
      </c>
      <c r="J4475">
        <v>169121979</v>
      </c>
      <c r="K4475">
        <v>102595972</v>
      </c>
      <c r="L4475">
        <v>101249630</v>
      </c>
      <c r="M4475">
        <v>78067908</v>
      </c>
      <c r="P4475">
        <v>105</v>
      </c>
      <c r="Q4475" t="s">
        <v>9296</v>
      </c>
    </row>
    <row r="4476" spans="1:17" x14ac:dyDescent="0.3">
      <c r="A4476" t="s">
        <v>4729</v>
      </c>
      <c r="B4476" t="str">
        <f>"300679"</f>
        <v>300679</v>
      </c>
      <c r="C4476" t="s">
        <v>9297</v>
      </c>
      <c r="D4476" t="s">
        <v>313</v>
      </c>
      <c r="F4476">
        <v>820878081</v>
      </c>
      <c r="G4476">
        <v>658927563</v>
      </c>
      <c r="H4476">
        <v>559446800</v>
      </c>
      <c r="I4476">
        <v>308509238</v>
      </c>
      <c r="J4476">
        <v>304449795</v>
      </c>
      <c r="K4476">
        <v>362268470</v>
      </c>
      <c r="L4476">
        <v>251426929</v>
      </c>
      <c r="M4476">
        <v>176471681</v>
      </c>
      <c r="P4476">
        <v>334</v>
      </c>
      <c r="Q4476" t="s">
        <v>9298</v>
      </c>
    </row>
    <row r="4477" spans="1:17" x14ac:dyDescent="0.3">
      <c r="A4477" t="s">
        <v>4729</v>
      </c>
      <c r="B4477" t="str">
        <f>"300680"</f>
        <v>300680</v>
      </c>
      <c r="C4477" t="s">
        <v>9299</v>
      </c>
      <c r="D4477" t="s">
        <v>348</v>
      </c>
      <c r="F4477">
        <v>270352222</v>
      </c>
      <c r="G4477">
        <v>172509250</v>
      </c>
      <c r="H4477">
        <v>155129880</v>
      </c>
      <c r="I4477">
        <v>115507661</v>
      </c>
      <c r="J4477">
        <v>59279747</v>
      </c>
      <c r="K4477">
        <v>54202890</v>
      </c>
      <c r="L4477">
        <v>48200175</v>
      </c>
      <c r="M4477">
        <v>43972312</v>
      </c>
      <c r="P4477">
        <v>114</v>
      </c>
      <c r="Q4477" t="s">
        <v>9300</v>
      </c>
    </row>
    <row r="4478" spans="1:17" x14ac:dyDescent="0.3">
      <c r="A4478" t="s">
        <v>4729</v>
      </c>
      <c r="B4478" t="str">
        <f>"300681"</f>
        <v>300681</v>
      </c>
      <c r="C4478" t="s">
        <v>9301</v>
      </c>
      <c r="D4478" t="s">
        <v>1415</v>
      </c>
      <c r="F4478">
        <v>388606797</v>
      </c>
      <c r="G4478">
        <v>150423535</v>
      </c>
      <c r="H4478">
        <v>101841630</v>
      </c>
      <c r="I4478">
        <v>253728854</v>
      </c>
      <c r="J4478">
        <v>205327238</v>
      </c>
      <c r="K4478">
        <v>161202285</v>
      </c>
      <c r="L4478">
        <v>147278365</v>
      </c>
      <c r="M4478">
        <v>47575714</v>
      </c>
      <c r="P4478">
        <v>89</v>
      </c>
      <c r="Q4478" t="s">
        <v>9302</v>
      </c>
    </row>
    <row r="4479" spans="1:17" x14ac:dyDescent="0.3">
      <c r="A4479" t="s">
        <v>4729</v>
      </c>
      <c r="B4479" t="str">
        <f>"300682"</f>
        <v>300682</v>
      </c>
      <c r="C4479" t="s">
        <v>9303</v>
      </c>
      <c r="D4479" t="s">
        <v>316</v>
      </c>
      <c r="F4479">
        <v>2070847461</v>
      </c>
      <c r="G4479">
        <v>1641842678</v>
      </c>
      <c r="H4479">
        <v>1953799058</v>
      </c>
      <c r="I4479">
        <v>850174265</v>
      </c>
      <c r="J4479">
        <v>646980422</v>
      </c>
      <c r="K4479">
        <v>571581981</v>
      </c>
      <c r="L4479">
        <v>433525290</v>
      </c>
      <c r="M4479">
        <v>389184448</v>
      </c>
      <c r="P4479">
        <v>254</v>
      </c>
      <c r="Q4479" t="s">
        <v>9304</v>
      </c>
    </row>
    <row r="4480" spans="1:17" x14ac:dyDescent="0.3">
      <c r="A4480" t="s">
        <v>4729</v>
      </c>
      <c r="B4480" t="str">
        <f>"300683"</f>
        <v>300683</v>
      </c>
      <c r="C4480" t="s">
        <v>9305</v>
      </c>
      <c r="D4480" t="s">
        <v>1379</v>
      </c>
      <c r="F4480">
        <v>97822606</v>
      </c>
      <c r="G4480">
        <v>114490348</v>
      </c>
      <c r="H4480">
        <v>202680461</v>
      </c>
      <c r="I4480">
        <v>216326142</v>
      </c>
      <c r="J4480">
        <v>234207955</v>
      </c>
      <c r="K4480">
        <v>217695985</v>
      </c>
      <c r="L4480">
        <v>174099307</v>
      </c>
      <c r="M4480">
        <v>194480659</v>
      </c>
      <c r="P4480">
        <v>123</v>
      </c>
      <c r="Q4480" t="s">
        <v>9306</v>
      </c>
    </row>
    <row r="4481" spans="1:17" x14ac:dyDescent="0.3">
      <c r="A4481" t="s">
        <v>4729</v>
      </c>
      <c r="B4481" t="str">
        <f>"300684"</f>
        <v>300684</v>
      </c>
      <c r="C4481" t="s">
        <v>9307</v>
      </c>
      <c r="D4481" t="s">
        <v>313</v>
      </c>
      <c r="F4481">
        <v>348595072</v>
      </c>
      <c r="G4481">
        <v>352723270</v>
      </c>
      <c r="H4481">
        <v>253255853</v>
      </c>
      <c r="I4481">
        <v>153585580</v>
      </c>
      <c r="J4481">
        <v>259209266</v>
      </c>
      <c r="K4481">
        <v>76636537</v>
      </c>
      <c r="L4481">
        <v>50831222</v>
      </c>
      <c r="M4481">
        <v>68604067</v>
      </c>
      <c r="P4481">
        <v>348</v>
      </c>
      <c r="Q4481" t="s">
        <v>9308</v>
      </c>
    </row>
    <row r="4482" spans="1:17" x14ac:dyDescent="0.3">
      <c r="A4482" t="s">
        <v>4729</v>
      </c>
      <c r="B4482" t="str">
        <f>"300685"</f>
        <v>300685</v>
      </c>
      <c r="C4482" t="s">
        <v>9309</v>
      </c>
      <c r="D4482" t="s">
        <v>1305</v>
      </c>
      <c r="F4482">
        <v>428771097</v>
      </c>
      <c r="G4482">
        <v>316510009</v>
      </c>
      <c r="H4482">
        <v>233147142</v>
      </c>
      <c r="I4482">
        <v>188899521</v>
      </c>
      <c r="J4482">
        <v>140997210</v>
      </c>
      <c r="K4482">
        <v>110213210</v>
      </c>
      <c r="L4482">
        <v>81915495</v>
      </c>
      <c r="M4482">
        <v>44280084</v>
      </c>
      <c r="P4482">
        <v>974</v>
      </c>
      <c r="Q4482" t="s">
        <v>9310</v>
      </c>
    </row>
    <row r="4483" spans="1:17" x14ac:dyDescent="0.3">
      <c r="A4483" t="s">
        <v>4729</v>
      </c>
      <c r="B4483" t="str">
        <f>"300686"</f>
        <v>300686</v>
      </c>
      <c r="C4483" t="s">
        <v>9311</v>
      </c>
      <c r="D4483" t="s">
        <v>313</v>
      </c>
      <c r="F4483">
        <v>498156214</v>
      </c>
      <c r="G4483">
        <v>679261483</v>
      </c>
      <c r="H4483">
        <v>416257586</v>
      </c>
      <c r="I4483">
        <v>173085706</v>
      </c>
      <c r="J4483">
        <v>107136596</v>
      </c>
      <c r="K4483">
        <v>89382198</v>
      </c>
      <c r="L4483">
        <v>147018355</v>
      </c>
      <c r="M4483">
        <v>120882370</v>
      </c>
      <c r="P4483">
        <v>192</v>
      </c>
      <c r="Q4483" t="s">
        <v>9312</v>
      </c>
    </row>
    <row r="4484" spans="1:17" x14ac:dyDescent="0.3">
      <c r="A4484" t="s">
        <v>4729</v>
      </c>
      <c r="B4484" t="str">
        <f>"300687"</f>
        <v>300687</v>
      </c>
      <c r="C4484" t="s">
        <v>9313</v>
      </c>
      <c r="D4484" t="s">
        <v>316</v>
      </c>
      <c r="F4484">
        <v>594386439</v>
      </c>
      <c r="G4484">
        <v>485447465</v>
      </c>
      <c r="H4484">
        <v>487407297</v>
      </c>
      <c r="I4484">
        <v>457225174</v>
      </c>
      <c r="J4484">
        <v>339295709</v>
      </c>
      <c r="K4484">
        <v>274069432</v>
      </c>
      <c r="L4484">
        <v>203346882</v>
      </c>
      <c r="M4484">
        <v>110996212</v>
      </c>
      <c r="P4484">
        <v>266</v>
      </c>
      <c r="Q4484" t="s">
        <v>9314</v>
      </c>
    </row>
    <row r="4485" spans="1:17" x14ac:dyDescent="0.3">
      <c r="A4485" t="s">
        <v>4729</v>
      </c>
      <c r="B4485" t="str">
        <f>"300688"</f>
        <v>300688</v>
      </c>
      <c r="C4485" t="s">
        <v>9315</v>
      </c>
      <c r="D4485" t="s">
        <v>1336</v>
      </c>
      <c r="F4485">
        <v>28668860</v>
      </c>
      <c r="G4485">
        <v>3675829</v>
      </c>
      <c r="H4485">
        <v>56565521</v>
      </c>
      <c r="I4485">
        <v>44708668</v>
      </c>
      <c r="J4485">
        <v>46046620</v>
      </c>
      <c r="K4485">
        <v>15509024</v>
      </c>
      <c r="L4485">
        <v>17621903</v>
      </c>
      <c r="M4485">
        <v>21048465</v>
      </c>
      <c r="P4485">
        <v>83</v>
      </c>
      <c r="Q4485" t="s">
        <v>9316</v>
      </c>
    </row>
    <row r="4486" spans="1:17" x14ac:dyDescent="0.3">
      <c r="A4486" t="s">
        <v>4729</v>
      </c>
      <c r="B4486" t="str">
        <f>"300689"</f>
        <v>300689</v>
      </c>
      <c r="C4486" t="s">
        <v>9317</v>
      </c>
      <c r="D4486" t="s">
        <v>786</v>
      </c>
      <c r="F4486">
        <v>113224934</v>
      </c>
      <c r="G4486">
        <v>75222749</v>
      </c>
      <c r="H4486">
        <v>112756748</v>
      </c>
      <c r="I4486">
        <v>112537245</v>
      </c>
      <c r="J4486">
        <v>70997319</v>
      </c>
      <c r="K4486">
        <v>65758638</v>
      </c>
      <c r="L4486">
        <v>57931714</v>
      </c>
      <c r="M4486">
        <v>93491755</v>
      </c>
      <c r="P4486">
        <v>76</v>
      </c>
      <c r="Q4486" t="s">
        <v>9318</v>
      </c>
    </row>
    <row r="4487" spans="1:17" x14ac:dyDescent="0.3">
      <c r="A4487" t="s">
        <v>4729</v>
      </c>
      <c r="B4487" t="str">
        <f>"300690"</f>
        <v>300690</v>
      </c>
      <c r="C4487" t="s">
        <v>9319</v>
      </c>
      <c r="D4487" t="s">
        <v>950</v>
      </c>
      <c r="F4487">
        <v>310839276</v>
      </c>
      <c r="G4487">
        <v>347509837</v>
      </c>
      <c r="H4487">
        <v>264389340</v>
      </c>
      <c r="I4487">
        <v>219841172</v>
      </c>
      <c r="J4487">
        <v>230159268</v>
      </c>
      <c r="K4487">
        <v>162455943</v>
      </c>
      <c r="L4487">
        <v>148307546</v>
      </c>
      <c r="M4487">
        <v>106924934</v>
      </c>
      <c r="P4487">
        <v>214</v>
      </c>
      <c r="Q4487" t="s">
        <v>9320</v>
      </c>
    </row>
    <row r="4488" spans="1:17" x14ac:dyDescent="0.3">
      <c r="A4488" t="s">
        <v>4729</v>
      </c>
      <c r="B4488" t="str">
        <f>"300691"</f>
        <v>300691</v>
      </c>
      <c r="C4488" t="s">
        <v>9321</v>
      </c>
      <c r="D4488" t="s">
        <v>2980</v>
      </c>
      <c r="F4488">
        <v>322978190</v>
      </c>
      <c r="G4488">
        <v>337670357</v>
      </c>
      <c r="H4488">
        <v>298628037</v>
      </c>
      <c r="I4488">
        <v>330059767</v>
      </c>
      <c r="J4488">
        <v>262201369</v>
      </c>
      <c r="K4488">
        <v>229323156</v>
      </c>
      <c r="L4488">
        <v>205936616</v>
      </c>
      <c r="M4488">
        <v>117123060</v>
      </c>
      <c r="P4488">
        <v>186</v>
      </c>
      <c r="Q4488" t="s">
        <v>9322</v>
      </c>
    </row>
    <row r="4489" spans="1:17" x14ac:dyDescent="0.3">
      <c r="A4489" t="s">
        <v>4729</v>
      </c>
      <c r="B4489" t="str">
        <f>"300692"</f>
        <v>300692</v>
      </c>
      <c r="C4489" t="s">
        <v>9323</v>
      </c>
      <c r="D4489" t="s">
        <v>33</v>
      </c>
      <c r="F4489">
        <v>368154316</v>
      </c>
      <c r="G4489">
        <v>277024836</v>
      </c>
      <c r="H4489">
        <v>192967398</v>
      </c>
      <c r="I4489">
        <v>97248422</v>
      </c>
      <c r="J4489">
        <v>47023849</v>
      </c>
      <c r="K4489">
        <v>53146097</v>
      </c>
      <c r="L4489">
        <v>33582237</v>
      </c>
      <c r="M4489">
        <v>56466818</v>
      </c>
      <c r="P4489">
        <v>162</v>
      </c>
      <c r="Q4489" t="s">
        <v>9324</v>
      </c>
    </row>
    <row r="4490" spans="1:17" x14ac:dyDescent="0.3">
      <c r="A4490" t="s">
        <v>4729</v>
      </c>
      <c r="B4490" t="str">
        <f>"300693"</f>
        <v>300693</v>
      </c>
      <c r="C4490" t="s">
        <v>9325</v>
      </c>
      <c r="D4490" t="s">
        <v>880</v>
      </c>
      <c r="F4490">
        <v>379362338</v>
      </c>
      <c r="G4490">
        <v>365753230</v>
      </c>
      <c r="H4490">
        <v>323762371</v>
      </c>
      <c r="I4490">
        <v>281476606</v>
      </c>
      <c r="J4490">
        <v>253259163</v>
      </c>
      <c r="K4490">
        <v>217372653</v>
      </c>
      <c r="L4490">
        <v>208309709</v>
      </c>
      <c r="M4490">
        <v>72061542</v>
      </c>
      <c r="P4490">
        <v>214</v>
      </c>
      <c r="Q4490" t="s">
        <v>9326</v>
      </c>
    </row>
    <row r="4491" spans="1:17" x14ac:dyDescent="0.3">
      <c r="A4491" t="s">
        <v>4729</v>
      </c>
      <c r="B4491" t="str">
        <f>"300694"</f>
        <v>300694</v>
      </c>
      <c r="C4491" t="s">
        <v>9327</v>
      </c>
      <c r="D4491" t="s">
        <v>348</v>
      </c>
      <c r="F4491">
        <v>427902065</v>
      </c>
      <c r="G4491">
        <v>406574803</v>
      </c>
      <c r="H4491">
        <v>441962792</v>
      </c>
      <c r="I4491">
        <v>418164357</v>
      </c>
      <c r="J4491">
        <v>0</v>
      </c>
      <c r="K4491">
        <v>0</v>
      </c>
      <c r="L4491">
        <v>0</v>
      </c>
      <c r="P4491">
        <v>74</v>
      </c>
      <c r="Q4491" t="s">
        <v>9328</v>
      </c>
    </row>
    <row r="4492" spans="1:17" x14ac:dyDescent="0.3">
      <c r="A4492" t="s">
        <v>4729</v>
      </c>
      <c r="B4492" t="str">
        <f>"300695"</f>
        <v>300695</v>
      </c>
      <c r="C4492" t="s">
        <v>9329</v>
      </c>
      <c r="D4492" t="s">
        <v>422</v>
      </c>
      <c r="F4492">
        <v>348457031</v>
      </c>
      <c r="G4492">
        <v>225278231</v>
      </c>
      <c r="H4492">
        <v>283519842</v>
      </c>
      <c r="I4492">
        <v>194290645</v>
      </c>
      <c r="J4492">
        <v>213259111</v>
      </c>
      <c r="K4492">
        <v>181794184</v>
      </c>
      <c r="L4492">
        <v>88229917</v>
      </c>
      <c r="M4492">
        <v>110242860</v>
      </c>
      <c r="P4492">
        <v>125</v>
      </c>
      <c r="Q4492" t="s">
        <v>9330</v>
      </c>
    </row>
    <row r="4493" spans="1:17" x14ac:dyDescent="0.3">
      <c r="A4493" t="s">
        <v>4729</v>
      </c>
      <c r="B4493" t="str">
        <f>"300696"</f>
        <v>300696</v>
      </c>
      <c r="C4493" t="s">
        <v>9331</v>
      </c>
      <c r="D4493" t="s">
        <v>98</v>
      </c>
      <c r="F4493">
        <v>436462751</v>
      </c>
      <c r="G4493">
        <v>293289288</v>
      </c>
      <c r="H4493">
        <v>127044862</v>
      </c>
      <c r="I4493">
        <v>93974604</v>
      </c>
      <c r="J4493">
        <v>87360486</v>
      </c>
      <c r="K4493">
        <v>105518381</v>
      </c>
      <c r="L4493">
        <v>30147449</v>
      </c>
      <c r="M4493">
        <v>43329163</v>
      </c>
      <c r="P4493">
        <v>222</v>
      </c>
      <c r="Q4493" t="s">
        <v>9332</v>
      </c>
    </row>
    <row r="4494" spans="1:17" x14ac:dyDescent="0.3">
      <c r="A4494" t="s">
        <v>4729</v>
      </c>
      <c r="B4494" t="str">
        <f>"300697"</f>
        <v>300697</v>
      </c>
      <c r="C4494" t="s">
        <v>9333</v>
      </c>
      <c r="D4494" t="s">
        <v>263</v>
      </c>
      <c r="F4494">
        <v>537813753</v>
      </c>
      <c r="G4494">
        <v>410663174</v>
      </c>
      <c r="H4494">
        <v>390462174</v>
      </c>
      <c r="I4494">
        <v>365357379</v>
      </c>
      <c r="J4494">
        <v>387492402</v>
      </c>
      <c r="K4494">
        <v>344402124</v>
      </c>
      <c r="L4494">
        <v>344504953</v>
      </c>
      <c r="M4494">
        <v>412550807</v>
      </c>
      <c r="P4494">
        <v>77</v>
      </c>
      <c r="Q4494" t="s">
        <v>9334</v>
      </c>
    </row>
    <row r="4495" spans="1:17" x14ac:dyDescent="0.3">
      <c r="A4495" t="s">
        <v>4729</v>
      </c>
      <c r="B4495" t="str">
        <f>"300698"</f>
        <v>300698</v>
      </c>
      <c r="C4495" t="s">
        <v>9335</v>
      </c>
      <c r="D4495" t="s">
        <v>1019</v>
      </c>
      <c r="F4495">
        <v>395797899</v>
      </c>
      <c r="G4495">
        <v>268455527</v>
      </c>
      <c r="H4495">
        <v>298717607</v>
      </c>
      <c r="I4495">
        <v>152785162</v>
      </c>
      <c r="J4495">
        <v>169159152</v>
      </c>
      <c r="K4495">
        <v>149340646</v>
      </c>
      <c r="L4495">
        <v>138752978</v>
      </c>
      <c r="M4495">
        <v>125733537</v>
      </c>
      <c r="P4495">
        <v>121</v>
      </c>
      <c r="Q4495" t="s">
        <v>9336</v>
      </c>
    </row>
    <row r="4496" spans="1:17" x14ac:dyDescent="0.3">
      <c r="A4496" t="s">
        <v>4729</v>
      </c>
      <c r="B4496" t="str">
        <f>"300699"</f>
        <v>300699</v>
      </c>
      <c r="C4496" t="s">
        <v>9337</v>
      </c>
      <c r="D4496" t="s">
        <v>98</v>
      </c>
      <c r="F4496">
        <v>403339934</v>
      </c>
      <c r="G4496">
        <v>242587760</v>
      </c>
      <c r="H4496">
        <v>250761293</v>
      </c>
      <c r="I4496">
        <v>953620397</v>
      </c>
      <c r="J4496">
        <v>738158467</v>
      </c>
      <c r="K4496">
        <v>542285212</v>
      </c>
      <c r="L4496">
        <v>501002242</v>
      </c>
      <c r="M4496">
        <v>421288346</v>
      </c>
      <c r="P4496">
        <v>914</v>
      </c>
      <c r="Q4496" t="s">
        <v>9338</v>
      </c>
    </row>
    <row r="4497" spans="1:17" x14ac:dyDescent="0.3">
      <c r="A4497" t="s">
        <v>4729</v>
      </c>
      <c r="B4497" t="str">
        <f>"300700"</f>
        <v>300700</v>
      </c>
      <c r="C4497" t="s">
        <v>9339</v>
      </c>
      <c r="D4497" t="s">
        <v>404</v>
      </c>
      <c r="F4497">
        <v>130580022</v>
      </c>
      <c r="G4497">
        <v>123473381</v>
      </c>
      <c r="H4497">
        <v>127681090</v>
      </c>
      <c r="I4497">
        <v>111347451</v>
      </c>
      <c r="J4497">
        <v>118697692</v>
      </c>
      <c r="K4497">
        <v>104648065</v>
      </c>
      <c r="L4497">
        <v>69210543</v>
      </c>
      <c r="M4497">
        <v>54715384</v>
      </c>
      <c r="P4497">
        <v>140</v>
      </c>
      <c r="Q4497" t="s">
        <v>9340</v>
      </c>
    </row>
    <row r="4498" spans="1:17" x14ac:dyDescent="0.3">
      <c r="A4498" t="s">
        <v>4729</v>
      </c>
      <c r="B4498" t="str">
        <f>"300701"</f>
        <v>300701</v>
      </c>
      <c r="C4498" t="s">
        <v>9341</v>
      </c>
      <c r="D4498" t="s">
        <v>164</v>
      </c>
      <c r="F4498">
        <v>19175226</v>
      </c>
      <c r="G4498">
        <v>19559585</v>
      </c>
      <c r="H4498">
        <v>16999374</v>
      </c>
      <c r="I4498">
        <v>14963442</v>
      </c>
      <c r="J4498">
        <v>17026637</v>
      </c>
      <c r="K4498">
        <v>14359265</v>
      </c>
      <c r="L4498">
        <v>15326470</v>
      </c>
      <c r="M4498">
        <v>9600933</v>
      </c>
      <c r="P4498">
        <v>746</v>
      </c>
      <c r="Q4498" t="s">
        <v>9342</v>
      </c>
    </row>
    <row r="4499" spans="1:17" x14ac:dyDescent="0.3">
      <c r="A4499" t="s">
        <v>4729</v>
      </c>
      <c r="B4499" t="str">
        <f>"300702"</f>
        <v>300702</v>
      </c>
      <c r="C4499" t="s">
        <v>9343</v>
      </c>
      <c r="D4499" t="s">
        <v>496</v>
      </c>
      <c r="F4499">
        <v>456659526</v>
      </c>
      <c r="G4499">
        <v>390292084</v>
      </c>
      <c r="H4499">
        <v>321828857</v>
      </c>
      <c r="I4499">
        <v>312741485</v>
      </c>
      <c r="J4499">
        <v>208399905</v>
      </c>
      <c r="K4499">
        <v>206644816</v>
      </c>
      <c r="L4499">
        <v>194093882</v>
      </c>
      <c r="M4499">
        <v>155674471</v>
      </c>
      <c r="P4499">
        <v>411</v>
      </c>
      <c r="Q4499" t="s">
        <v>9344</v>
      </c>
    </row>
    <row r="4500" spans="1:17" x14ac:dyDescent="0.3">
      <c r="A4500" t="s">
        <v>4729</v>
      </c>
      <c r="B4500" t="str">
        <f>"300703"</f>
        <v>300703</v>
      </c>
      <c r="C4500" t="s">
        <v>9345</v>
      </c>
      <c r="D4500" t="s">
        <v>3410</v>
      </c>
      <c r="F4500">
        <v>235028476</v>
      </c>
      <c r="G4500">
        <v>352780392</v>
      </c>
      <c r="H4500">
        <v>178210442</v>
      </c>
      <c r="I4500">
        <v>137824380</v>
      </c>
      <c r="J4500">
        <v>90373689</v>
      </c>
      <c r="K4500">
        <v>126405457</v>
      </c>
      <c r="L4500">
        <v>70154044</v>
      </c>
      <c r="M4500">
        <v>80720524</v>
      </c>
      <c r="P4500">
        <v>109</v>
      </c>
      <c r="Q4500" t="s">
        <v>9346</v>
      </c>
    </row>
    <row r="4501" spans="1:17" x14ac:dyDescent="0.3">
      <c r="A4501" t="s">
        <v>4729</v>
      </c>
      <c r="B4501" t="str">
        <f>"300705"</f>
        <v>300705</v>
      </c>
      <c r="C4501" t="s">
        <v>9347</v>
      </c>
      <c r="D4501" t="s">
        <v>143</v>
      </c>
      <c r="F4501">
        <v>248853047</v>
      </c>
      <c r="G4501">
        <v>164284294</v>
      </c>
      <c r="H4501">
        <v>130781883</v>
      </c>
      <c r="I4501">
        <v>111621196</v>
      </c>
      <c r="J4501">
        <v>81813211</v>
      </c>
      <c r="K4501">
        <v>52085803</v>
      </c>
      <c r="L4501">
        <v>45039922</v>
      </c>
      <c r="M4501">
        <v>31474088</v>
      </c>
      <c r="P4501">
        <v>167</v>
      </c>
      <c r="Q4501" t="s">
        <v>9348</v>
      </c>
    </row>
    <row r="4502" spans="1:17" x14ac:dyDescent="0.3">
      <c r="A4502" t="s">
        <v>4729</v>
      </c>
      <c r="B4502" t="str">
        <f>"300706"</f>
        <v>300706</v>
      </c>
      <c r="C4502" t="s">
        <v>9349</v>
      </c>
      <c r="D4502" t="s">
        <v>475</v>
      </c>
      <c r="F4502">
        <v>144785276</v>
      </c>
      <c r="G4502">
        <v>134919726</v>
      </c>
      <c r="H4502">
        <v>100978776</v>
      </c>
      <c r="I4502">
        <v>111528191</v>
      </c>
      <c r="J4502">
        <v>95115496</v>
      </c>
      <c r="K4502">
        <v>69988578</v>
      </c>
      <c r="L4502">
        <v>49656908</v>
      </c>
      <c r="M4502">
        <v>48412438</v>
      </c>
      <c r="P4502">
        <v>178</v>
      </c>
      <c r="Q4502" t="s">
        <v>9350</v>
      </c>
    </row>
    <row r="4503" spans="1:17" x14ac:dyDescent="0.3">
      <c r="A4503" t="s">
        <v>4729</v>
      </c>
      <c r="B4503" t="str">
        <f>"300707"</f>
        <v>300707</v>
      </c>
      <c r="C4503" t="s">
        <v>9351</v>
      </c>
      <c r="D4503" t="s">
        <v>985</v>
      </c>
      <c r="F4503">
        <v>245254910</v>
      </c>
      <c r="G4503">
        <v>170818612</v>
      </c>
      <c r="H4503">
        <v>131487579</v>
      </c>
      <c r="I4503">
        <v>123624546</v>
      </c>
      <c r="J4503">
        <v>60186600</v>
      </c>
      <c r="K4503">
        <v>50635541</v>
      </c>
      <c r="L4503">
        <v>35217162</v>
      </c>
      <c r="M4503">
        <v>21276402</v>
      </c>
      <c r="P4503">
        <v>140</v>
      </c>
      <c r="Q4503" t="s">
        <v>9352</v>
      </c>
    </row>
    <row r="4504" spans="1:17" x14ac:dyDescent="0.3">
      <c r="A4504" t="s">
        <v>4729</v>
      </c>
      <c r="B4504" t="str">
        <f>"300708"</f>
        <v>300708</v>
      </c>
      <c r="C4504" t="s">
        <v>9353</v>
      </c>
      <c r="D4504" t="s">
        <v>803</v>
      </c>
      <c r="F4504">
        <v>421799435</v>
      </c>
      <c r="G4504">
        <v>387082781</v>
      </c>
      <c r="H4504">
        <v>400935611</v>
      </c>
      <c r="I4504">
        <v>231219155</v>
      </c>
      <c r="J4504">
        <v>160971468</v>
      </c>
      <c r="K4504">
        <v>135955487</v>
      </c>
      <c r="L4504">
        <v>136440572</v>
      </c>
      <c r="M4504">
        <v>105464089</v>
      </c>
      <c r="P4504">
        <v>164</v>
      </c>
      <c r="Q4504" t="s">
        <v>9354</v>
      </c>
    </row>
    <row r="4505" spans="1:17" x14ac:dyDescent="0.3">
      <c r="A4505" t="s">
        <v>4729</v>
      </c>
      <c r="B4505" t="str">
        <f>"300709"</f>
        <v>300709</v>
      </c>
      <c r="C4505" t="s">
        <v>9355</v>
      </c>
      <c r="D4505" t="s">
        <v>313</v>
      </c>
      <c r="F4505">
        <v>811583272</v>
      </c>
      <c r="G4505">
        <v>647012279</v>
      </c>
      <c r="H4505">
        <v>508635475</v>
      </c>
      <c r="I4505">
        <v>354315924</v>
      </c>
      <c r="J4505">
        <v>261871777</v>
      </c>
      <c r="K4505">
        <v>164991708</v>
      </c>
      <c r="L4505">
        <v>140486520</v>
      </c>
      <c r="M4505">
        <v>94837570</v>
      </c>
      <c r="P4505">
        <v>220</v>
      </c>
      <c r="Q4505" t="s">
        <v>9356</v>
      </c>
    </row>
    <row r="4506" spans="1:17" x14ac:dyDescent="0.3">
      <c r="A4506" t="s">
        <v>4729</v>
      </c>
      <c r="B4506" t="str">
        <f>"300710"</f>
        <v>300710</v>
      </c>
      <c r="C4506" t="s">
        <v>9357</v>
      </c>
      <c r="D4506" t="s">
        <v>1019</v>
      </c>
      <c r="F4506">
        <v>323231745</v>
      </c>
      <c r="G4506">
        <v>298903550</v>
      </c>
      <c r="H4506">
        <v>318093514</v>
      </c>
      <c r="I4506">
        <v>269167059</v>
      </c>
      <c r="J4506">
        <v>236356449</v>
      </c>
      <c r="K4506">
        <v>226809117</v>
      </c>
      <c r="L4506">
        <v>152490121</v>
      </c>
      <c r="M4506">
        <v>126088277</v>
      </c>
      <c r="P4506">
        <v>107</v>
      </c>
      <c r="Q4506" t="s">
        <v>9358</v>
      </c>
    </row>
    <row r="4507" spans="1:17" x14ac:dyDescent="0.3">
      <c r="A4507" t="s">
        <v>4729</v>
      </c>
      <c r="B4507" t="str">
        <f>"300711"</f>
        <v>300711</v>
      </c>
      <c r="C4507" t="s">
        <v>9359</v>
      </c>
      <c r="D4507" t="s">
        <v>595</v>
      </c>
      <c r="F4507">
        <v>86236441</v>
      </c>
      <c r="G4507">
        <v>150031122</v>
      </c>
      <c r="H4507">
        <v>209569791</v>
      </c>
      <c r="I4507">
        <v>167996579</v>
      </c>
      <c r="J4507">
        <v>146772708</v>
      </c>
      <c r="K4507">
        <v>46443487</v>
      </c>
      <c r="L4507">
        <v>43713042</v>
      </c>
      <c r="M4507">
        <v>39445204</v>
      </c>
      <c r="P4507">
        <v>130</v>
      </c>
      <c r="Q4507" t="s">
        <v>9360</v>
      </c>
    </row>
    <row r="4508" spans="1:17" x14ac:dyDescent="0.3">
      <c r="A4508" t="s">
        <v>4729</v>
      </c>
      <c r="B4508" t="str">
        <f>"300712"</f>
        <v>300712</v>
      </c>
      <c r="C4508" t="s">
        <v>9361</v>
      </c>
      <c r="D4508" t="s">
        <v>1992</v>
      </c>
      <c r="F4508">
        <v>646698873</v>
      </c>
      <c r="G4508">
        <v>647202707</v>
      </c>
      <c r="H4508">
        <v>816347651</v>
      </c>
      <c r="I4508">
        <v>390892461</v>
      </c>
      <c r="J4508">
        <v>296065867</v>
      </c>
      <c r="K4508">
        <v>232324119</v>
      </c>
      <c r="L4508">
        <v>204232331</v>
      </c>
      <c r="M4508">
        <v>150876748</v>
      </c>
      <c r="P4508">
        <v>125</v>
      </c>
      <c r="Q4508" t="s">
        <v>9362</v>
      </c>
    </row>
    <row r="4509" spans="1:17" x14ac:dyDescent="0.3">
      <c r="A4509" t="s">
        <v>4729</v>
      </c>
      <c r="B4509" t="str">
        <f>"300713"</f>
        <v>300713</v>
      </c>
      <c r="C4509" t="s">
        <v>9363</v>
      </c>
      <c r="D4509" t="s">
        <v>880</v>
      </c>
      <c r="F4509">
        <v>167519951</v>
      </c>
      <c r="G4509">
        <v>156618181</v>
      </c>
      <c r="H4509">
        <v>232281236</v>
      </c>
      <c r="I4509">
        <v>295091831</v>
      </c>
      <c r="J4509">
        <v>290427786</v>
      </c>
      <c r="K4509">
        <v>177804503</v>
      </c>
      <c r="L4509">
        <v>125950385</v>
      </c>
      <c r="M4509">
        <v>40345128</v>
      </c>
      <c r="P4509">
        <v>81</v>
      </c>
      <c r="Q4509" t="s">
        <v>9364</v>
      </c>
    </row>
    <row r="4510" spans="1:17" x14ac:dyDescent="0.3">
      <c r="A4510" t="s">
        <v>4729</v>
      </c>
      <c r="B4510" t="str">
        <f>"300715"</f>
        <v>300715</v>
      </c>
      <c r="C4510" t="s">
        <v>9365</v>
      </c>
      <c r="D4510" t="s">
        <v>6333</v>
      </c>
      <c r="F4510">
        <v>1680850059</v>
      </c>
      <c r="G4510">
        <v>863348635</v>
      </c>
      <c r="H4510">
        <v>607493266</v>
      </c>
      <c r="I4510">
        <v>311447081</v>
      </c>
      <c r="J4510">
        <v>171274873</v>
      </c>
      <c r="K4510">
        <v>130128626</v>
      </c>
      <c r="L4510">
        <v>86721939</v>
      </c>
      <c r="M4510">
        <v>55146431</v>
      </c>
      <c r="P4510">
        <v>413</v>
      </c>
      <c r="Q4510" t="s">
        <v>9366</v>
      </c>
    </row>
    <row r="4511" spans="1:17" x14ac:dyDescent="0.3">
      <c r="A4511" t="s">
        <v>4729</v>
      </c>
      <c r="B4511" t="str">
        <f>"300716"</f>
        <v>300716</v>
      </c>
      <c r="C4511" t="s">
        <v>9367</v>
      </c>
      <c r="D4511" t="s">
        <v>341</v>
      </c>
      <c r="F4511">
        <v>289559846</v>
      </c>
      <c r="G4511">
        <v>383280774</v>
      </c>
      <c r="H4511">
        <v>485194592</v>
      </c>
      <c r="I4511">
        <v>361650278</v>
      </c>
      <c r="J4511">
        <v>275285913</v>
      </c>
      <c r="K4511">
        <v>206093728</v>
      </c>
      <c r="L4511">
        <v>225312763</v>
      </c>
      <c r="M4511">
        <v>152816022</v>
      </c>
      <c r="P4511">
        <v>59</v>
      </c>
      <c r="Q4511" t="s">
        <v>9368</v>
      </c>
    </row>
    <row r="4512" spans="1:17" x14ac:dyDescent="0.3">
      <c r="A4512" t="s">
        <v>4729</v>
      </c>
      <c r="B4512" t="str">
        <f>"300717"</f>
        <v>300717</v>
      </c>
      <c r="C4512" t="s">
        <v>9369</v>
      </c>
      <c r="D4512" t="s">
        <v>1192</v>
      </c>
      <c r="F4512">
        <v>140356717</v>
      </c>
      <c r="G4512">
        <v>126502124</v>
      </c>
      <c r="H4512">
        <v>118622852</v>
      </c>
      <c r="I4512">
        <v>125870110</v>
      </c>
      <c r="J4512">
        <v>113793222</v>
      </c>
      <c r="K4512">
        <v>87306992</v>
      </c>
      <c r="L4512">
        <v>79801968</v>
      </c>
      <c r="M4512">
        <v>76794558</v>
      </c>
      <c r="P4512">
        <v>71</v>
      </c>
      <c r="Q4512" t="s">
        <v>9370</v>
      </c>
    </row>
    <row r="4513" spans="1:17" x14ac:dyDescent="0.3">
      <c r="A4513" t="s">
        <v>4729</v>
      </c>
      <c r="B4513" t="str">
        <f>"300718"</f>
        <v>300718</v>
      </c>
      <c r="C4513" t="s">
        <v>9371</v>
      </c>
      <c r="D4513" t="s">
        <v>2007</v>
      </c>
      <c r="F4513">
        <v>245354448</v>
      </c>
      <c r="G4513">
        <v>186625978</v>
      </c>
      <c r="H4513">
        <v>133872463</v>
      </c>
      <c r="I4513">
        <v>126965963</v>
      </c>
      <c r="J4513">
        <v>110226715</v>
      </c>
      <c r="K4513">
        <v>78580321</v>
      </c>
      <c r="L4513">
        <v>74202502</v>
      </c>
      <c r="M4513">
        <v>66733625</v>
      </c>
      <c r="P4513">
        <v>100</v>
      </c>
      <c r="Q4513" t="s">
        <v>9372</v>
      </c>
    </row>
    <row r="4514" spans="1:17" x14ac:dyDescent="0.3">
      <c r="A4514" t="s">
        <v>4729</v>
      </c>
      <c r="B4514" t="str">
        <f>"300719"</f>
        <v>300719</v>
      </c>
      <c r="C4514" t="s">
        <v>9373</v>
      </c>
      <c r="D4514" t="s">
        <v>98</v>
      </c>
      <c r="F4514">
        <v>533027702</v>
      </c>
      <c r="G4514">
        <v>617856085</v>
      </c>
      <c r="H4514">
        <v>572443264</v>
      </c>
      <c r="I4514">
        <v>496496725</v>
      </c>
      <c r="J4514">
        <v>391602343</v>
      </c>
      <c r="K4514">
        <v>145046093</v>
      </c>
      <c r="L4514">
        <v>130549734</v>
      </c>
      <c r="M4514">
        <v>151633185</v>
      </c>
      <c r="P4514">
        <v>93</v>
      </c>
      <c r="Q4514" t="s">
        <v>9374</v>
      </c>
    </row>
    <row r="4515" spans="1:17" x14ac:dyDescent="0.3">
      <c r="A4515" t="s">
        <v>4729</v>
      </c>
      <c r="B4515" t="str">
        <f>"300720"</f>
        <v>300720</v>
      </c>
      <c r="C4515" t="s">
        <v>9375</v>
      </c>
      <c r="D4515" t="s">
        <v>2566</v>
      </c>
      <c r="F4515">
        <v>23666345</v>
      </c>
      <c r="G4515">
        <v>14206806</v>
      </c>
      <c r="H4515">
        <v>12921712</v>
      </c>
      <c r="I4515">
        <v>9283626</v>
      </c>
      <c r="J4515">
        <v>11876153</v>
      </c>
      <c r="K4515">
        <v>9259283</v>
      </c>
      <c r="L4515">
        <v>4201046</v>
      </c>
      <c r="M4515">
        <v>4854320</v>
      </c>
      <c r="P4515">
        <v>70</v>
      </c>
      <c r="Q4515" t="s">
        <v>9376</v>
      </c>
    </row>
    <row r="4516" spans="1:17" x14ac:dyDescent="0.3">
      <c r="A4516" t="s">
        <v>4729</v>
      </c>
      <c r="B4516" t="str">
        <f>"300721"</f>
        <v>300721</v>
      </c>
      <c r="C4516" t="s">
        <v>9377</v>
      </c>
      <c r="D4516" t="s">
        <v>386</v>
      </c>
      <c r="F4516">
        <v>122892818</v>
      </c>
      <c r="G4516">
        <v>101798607</v>
      </c>
      <c r="H4516">
        <v>88887150</v>
      </c>
      <c r="I4516">
        <v>69935470</v>
      </c>
      <c r="J4516">
        <v>107284321</v>
      </c>
      <c r="K4516">
        <v>96922162</v>
      </c>
      <c r="L4516">
        <v>107114805</v>
      </c>
      <c r="M4516">
        <v>95248430</v>
      </c>
      <c r="P4516">
        <v>73</v>
      </c>
      <c r="Q4516" t="s">
        <v>9378</v>
      </c>
    </row>
    <row r="4517" spans="1:17" x14ac:dyDescent="0.3">
      <c r="A4517" t="s">
        <v>4729</v>
      </c>
      <c r="B4517" t="str">
        <f>"300722"</f>
        <v>300722</v>
      </c>
      <c r="C4517" t="s">
        <v>9379</v>
      </c>
      <c r="D4517" t="s">
        <v>284</v>
      </c>
      <c r="F4517">
        <v>69385654</v>
      </c>
      <c r="G4517">
        <v>76441812</v>
      </c>
      <c r="H4517">
        <v>63112760</v>
      </c>
      <c r="I4517">
        <v>55277256</v>
      </c>
      <c r="J4517">
        <v>44032665</v>
      </c>
      <c r="K4517">
        <v>30001584</v>
      </c>
      <c r="L4517">
        <v>21097724</v>
      </c>
      <c r="M4517">
        <v>24148753</v>
      </c>
      <c r="P4517">
        <v>113</v>
      </c>
      <c r="Q4517" t="s">
        <v>9380</v>
      </c>
    </row>
    <row r="4518" spans="1:17" x14ac:dyDescent="0.3">
      <c r="A4518" t="s">
        <v>4729</v>
      </c>
      <c r="B4518" t="str">
        <f>"300723"</f>
        <v>300723</v>
      </c>
      <c r="C4518" t="s">
        <v>9381</v>
      </c>
      <c r="D4518" t="s">
        <v>143</v>
      </c>
      <c r="F4518">
        <v>202945384</v>
      </c>
      <c r="G4518">
        <v>163654981</v>
      </c>
      <c r="H4518">
        <v>167105900</v>
      </c>
      <c r="I4518">
        <v>265652698</v>
      </c>
      <c r="J4518">
        <v>125359778</v>
      </c>
      <c r="K4518">
        <v>114378199</v>
      </c>
      <c r="L4518">
        <v>74465146</v>
      </c>
      <c r="M4518">
        <v>39860533</v>
      </c>
      <c r="P4518">
        <v>222</v>
      </c>
      <c r="Q4518" t="s">
        <v>9382</v>
      </c>
    </row>
    <row r="4519" spans="1:17" x14ac:dyDescent="0.3">
      <c r="A4519" t="s">
        <v>4729</v>
      </c>
      <c r="B4519" t="str">
        <f>"300724"</f>
        <v>300724</v>
      </c>
      <c r="C4519" t="s">
        <v>9383</v>
      </c>
      <c r="D4519" t="s">
        <v>2671</v>
      </c>
      <c r="F4519">
        <v>1323743593</v>
      </c>
      <c r="G4519">
        <v>1000457067</v>
      </c>
      <c r="H4519">
        <v>388766210</v>
      </c>
      <c r="I4519">
        <v>299318812</v>
      </c>
      <c r="J4519">
        <v>173580848</v>
      </c>
      <c r="K4519">
        <v>152801901</v>
      </c>
      <c r="L4519">
        <v>164883766</v>
      </c>
      <c r="P4519">
        <v>573</v>
      </c>
      <c r="Q4519" t="s">
        <v>9384</v>
      </c>
    </row>
    <row r="4520" spans="1:17" x14ac:dyDescent="0.3">
      <c r="A4520" t="s">
        <v>4729</v>
      </c>
      <c r="B4520" t="str">
        <f>"300725"</f>
        <v>300725</v>
      </c>
      <c r="C4520" t="s">
        <v>9385</v>
      </c>
      <c r="D4520" t="s">
        <v>1461</v>
      </c>
      <c r="F4520">
        <v>201273304</v>
      </c>
      <c r="G4520">
        <v>167081507</v>
      </c>
      <c r="H4520">
        <v>79494119</v>
      </c>
      <c r="I4520">
        <v>35199632</v>
      </c>
      <c r="J4520">
        <v>37763431</v>
      </c>
      <c r="K4520">
        <v>27173117</v>
      </c>
      <c r="L4520">
        <v>19581580</v>
      </c>
      <c r="M4520">
        <v>9903472</v>
      </c>
      <c r="P4520">
        <v>1114</v>
      </c>
      <c r="Q4520" t="s">
        <v>9386</v>
      </c>
    </row>
    <row r="4521" spans="1:17" x14ac:dyDescent="0.3">
      <c r="A4521" t="s">
        <v>4729</v>
      </c>
      <c r="B4521" t="str">
        <f>"300726"</f>
        <v>300726</v>
      </c>
      <c r="C4521" t="s">
        <v>9387</v>
      </c>
      <c r="D4521" t="s">
        <v>1136</v>
      </c>
      <c r="F4521">
        <v>800124348</v>
      </c>
      <c r="G4521">
        <v>658818032</v>
      </c>
      <c r="H4521">
        <v>520481710</v>
      </c>
      <c r="I4521">
        <v>402000001</v>
      </c>
      <c r="J4521">
        <v>371376472</v>
      </c>
      <c r="K4521">
        <v>237778161</v>
      </c>
      <c r="L4521">
        <v>187050910</v>
      </c>
      <c r="M4521">
        <v>141297797</v>
      </c>
      <c r="P4521">
        <v>748</v>
      </c>
      <c r="Q4521" t="s">
        <v>9388</v>
      </c>
    </row>
    <row r="4522" spans="1:17" x14ac:dyDescent="0.3">
      <c r="A4522" t="s">
        <v>4729</v>
      </c>
      <c r="B4522" t="str">
        <f>"300727"</f>
        <v>300727</v>
      </c>
      <c r="C4522" t="s">
        <v>9389</v>
      </c>
      <c r="D4522" t="s">
        <v>1205</v>
      </c>
      <c r="F4522">
        <v>211037234</v>
      </c>
      <c r="G4522">
        <v>195134890</v>
      </c>
      <c r="H4522">
        <v>153189897</v>
      </c>
      <c r="I4522">
        <v>155573530</v>
      </c>
      <c r="J4522">
        <v>138818545</v>
      </c>
      <c r="K4522">
        <v>115430943</v>
      </c>
      <c r="L4522">
        <v>105929846</v>
      </c>
      <c r="M4522">
        <v>102174910</v>
      </c>
      <c r="P4522">
        <v>73</v>
      </c>
      <c r="Q4522" t="s">
        <v>9390</v>
      </c>
    </row>
    <row r="4523" spans="1:17" x14ac:dyDescent="0.3">
      <c r="A4523" t="s">
        <v>4729</v>
      </c>
      <c r="B4523" t="str">
        <f>"300728"</f>
        <v>300728</v>
      </c>
      <c r="C4523" t="s">
        <v>9391</v>
      </c>
      <c r="K4523">
        <v>152437450</v>
      </c>
      <c r="L4523">
        <v>161849986</v>
      </c>
      <c r="M4523">
        <v>63923792</v>
      </c>
      <c r="P4523">
        <v>10</v>
      </c>
      <c r="Q4523" t="s">
        <v>9392</v>
      </c>
    </row>
    <row r="4524" spans="1:17" x14ac:dyDescent="0.3">
      <c r="A4524" t="s">
        <v>4729</v>
      </c>
      <c r="B4524" t="str">
        <f>"300729"</f>
        <v>300729</v>
      </c>
      <c r="C4524" t="s">
        <v>9393</v>
      </c>
      <c r="D4524" t="s">
        <v>2445</v>
      </c>
      <c r="F4524">
        <v>198909851</v>
      </c>
      <c r="G4524">
        <v>159526016</v>
      </c>
      <c r="H4524">
        <v>86491194</v>
      </c>
      <c r="I4524">
        <v>70406450</v>
      </c>
      <c r="J4524">
        <v>68437607</v>
      </c>
      <c r="K4524">
        <v>51413874</v>
      </c>
      <c r="L4524">
        <v>45858070</v>
      </c>
      <c r="M4524">
        <v>38487560</v>
      </c>
      <c r="P4524">
        <v>219</v>
      </c>
      <c r="Q4524" t="s">
        <v>9394</v>
      </c>
    </row>
    <row r="4525" spans="1:17" x14ac:dyDescent="0.3">
      <c r="A4525" t="s">
        <v>4729</v>
      </c>
      <c r="B4525" t="str">
        <f>"300730"</f>
        <v>300730</v>
      </c>
      <c r="C4525" t="s">
        <v>9395</v>
      </c>
      <c r="D4525" t="s">
        <v>945</v>
      </c>
      <c r="F4525">
        <v>239379058</v>
      </c>
      <c r="G4525">
        <v>194686997</v>
      </c>
      <c r="H4525">
        <v>198581274</v>
      </c>
      <c r="I4525">
        <v>155661265</v>
      </c>
      <c r="J4525">
        <v>106812608</v>
      </c>
      <c r="K4525">
        <v>77331812</v>
      </c>
      <c r="L4525">
        <v>66050518</v>
      </c>
      <c r="M4525">
        <v>56411959</v>
      </c>
      <c r="P4525">
        <v>98</v>
      </c>
      <c r="Q4525" t="s">
        <v>9396</v>
      </c>
    </row>
    <row r="4526" spans="1:17" x14ac:dyDescent="0.3">
      <c r="A4526" t="s">
        <v>4729</v>
      </c>
      <c r="B4526" t="str">
        <f>"300731"</f>
        <v>300731</v>
      </c>
      <c r="C4526" t="s">
        <v>9397</v>
      </c>
      <c r="D4526" t="s">
        <v>2469</v>
      </c>
      <c r="F4526">
        <v>113754261</v>
      </c>
      <c r="G4526">
        <v>99832158</v>
      </c>
      <c r="H4526">
        <v>60336959</v>
      </c>
      <c r="I4526">
        <v>48832798</v>
      </c>
      <c r="J4526">
        <v>50968913</v>
      </c>
      <c r="K4526">
        <v>30551187</v>
      </c>
      <c r="L4526">
        <v>24222672</v>
      </c>
      <c r="M4526">
        <v>30034736</v>
      </c>
      <c r="P4526">
        <v>186</v>
      </c>
      <c r="Q4526" t="s">
        <v>9398</v>
      </c>
    </row>
    <row r="4527" spans="1:17" x14ac:dyDescent="0.3">
      <c r="A4527" t="s">
        <v>4729</v>
      </c>
      <c r="B4527" t="str">
        <f>"300732"</f>
        <v>300732</v>
      </c>
      <c r="C4527" t="s">
        <v>9399</v>
      </c>
      <c r="D4527" t="s">
        <v>1272</v>
      </c>
      <c r="F4527">
        <v>1682279710</v>
      </c>
      <c r="G4527">
        <v>1254850324</v>
      </c>
      <c r="H4527">
        <v>1679140741</v>
      </c>
      <c r="I4527">
        <v>1598464226</v>
      </c>
      <c r="J4527">
        <v>715900678</v>
      </c>
      <c r="K4527">
        <v>415853915</v>
      </c>
      <c r="L4527">
        <v>337483887</v>
      </c>
      <c r="M4527">
        <v>349453330</v>
      </c>
      <c r="P4527">
        <v>151</v>
      </c>
      <c r="Q4527" t="s">
        <v>9400</v>
      </c>
    </row>
    <row r="4528" spans="1:17" x14ac:dyDescent="0.3">
      <c r="A4528" t="s">
        <v>4729</v>
      </c>
      <c r="B4528" t="str">
        <f>"300733"</f>
        <v>300733</v>
      </c>
      <c r="C4528" t="s">
        <v>9401</v>
      </c>
      <c r="D4528" t="s">
        <v>348</v>
      </c>
      <c r="F4528">
        <v>224530328</v>
      </c>
      <c r="G4528">
        <v>197461820</v>
      </c>
      <c r="H4528">
        <v>185522224</v>
      </c>
      <c r="I4528">
        <v>123958961</v>
      </c>
      <c r="J4528">
        <v>141862209</v>
      </c>
      <c r="K4528">
        <v>141743925</v>
      </c>
      <c r="L4528">
        <v>121495520</v>
      </c>
      <c r="M4528">
        <v>101659413</v>
      </c>
      <c r="P4528">
        <v>60</v>
      </c>
      <c r="Q4528" t="s">
        <v>9402</v>
      </c>
    </row>
    <row r="4529" spans="1:17" x14ac:dyDescent="0.3">
      <c r="A4529" t="s">
        <v>4729</v>
      </c>
      <c r="B4529" t="str">
        <f>"300735"</f>
        <v>300735</v>
      </c>
      <c r="C4529" t="s">
        <v>9403</v>
      </c>
      <c r="D4529" t="s">
        <v>313</v>
      </c>
      <c r="F4529">
        <v>1590931329</v>
      </c>
      <c r="G4529">
        <v>497796118</v>
      </c>
      <c r="H4529">
        <v>535017229</v>
      </c>
      <c r="I4529">
        <v>353882673</v>
      </c>
      <c r="J4529">
        <v>226122640</v>
      </c>
      <c r="K4529">
        <v>265825069</v>
      </c>
      <c r="L4529">
        <v>231079607</v>
      </c>
      <c r="M4529">
        <v>154719628</v>
      </c>
      <c r="P4529">
        <v>453</v>
      </c>
      <c r="Q4529" t="s">
        <v>9404</v>
      </c>
    </row>
    <row r="4530" spans="1:17" x14ac:dyDescent="0.3">
      <c r="A4530" t="s">
        <v>4729</v>
      </c>
      <c r="B4530" t="str">
        <f>"300736"</f>
        <v>300736</v>
      </c>
      <c r="C4530" t="s">
        <v>9405</v>
      </c>
      <c r="D4530" t="s">
        <v>651</v>
      </c>
      <c r="F4530">
        <v>15371011</v>
      </c>
      <c r="G4530">
        <v>23594487</v>
      </c>
      <c r="H4530">
        <v>17982313</v>
      </c>
      <c r="I4530">
        <v>25945683</v>
      </c>
      <c r="J4530">
        <v>42966401</v>
      </c>
      <c r="K4530">
        <v>64059896</v>
      </c>
      <c r="L4530">
        <v>59214450</v>
      </c>
      <c r="M4530">
        <v>58357406</v>
      </c>
      <c r="P4530">
        <v>114</v>
      </c>
      <c r="Q4530" t="s">
        <v>9406</v>
      </c>
    </row>
    <row r="4531" spans="1:17" x14ac:dyDescent="0.3">
      <c r="A4531" t="s">
        <v>4729</v>
      </c>
      <c r="B4531" t="str">
        <f>"300737"</f>
        <v>300737</v>
      </c>
      <c r="C4531" t="s">
        <v>9407</v>
      </c>
      <c r="D4531" t="s">
        <v>6333</v>
      </c>
      <c r="F4531">
        <v>3420692440</v>
      </c>
      <c r="G4531">
        <v>2388371363</v>
      </c>
      <c r="H4531">
        <v>1879811382</v>
      </c>
      <c r="I4531">
        <v>1441600477</v>
      </c>
      <c r="J4531">
        <v>919695403</v>
      </c>
      <c r="K4531">
        <v>533052414</v>
      </c>
      <c r="L4531">
        <v>377214334</v>
      </c>
      <c r="M4531">
        <v>257314590</v>
      </c>
      <c r="P4531">
        <v>459</v>
      </c>
      <c r="Q4531" t="s">
        <v>9408</v>
      </c>
    </row>
    <row r="4532" spans="1:17" x14ac:dyDescent="0.3">
      <c r="A4532" t="s">
        <v>4729</v>
      </c>
      <c r="B4532" t="str">
        <f>"300738"</f>
        <v>300738</v>
      </c>
      <c r="C4532" t="s">
        <v>9409</v>
      </c>
      <c r="D4532" t="s">
        <v>316</v>
      </c>
      <c r="F4532">
        <v>315714053</v>
      </c>
      <c r="G4532">
        <v>236805059</v>
      </c>
      <c r="H4532">
        <v>136770156</v>
      </c>
      <c r="I4532">
        <v>123111274</v>
      </c>
      <c r="J4532">
        <v>94684793</v>
      </c>
      <c r="K4532">
        <v>62976561</v>
      </c>
      <c r="L4532">
        <v>32664026</v>
      </c>
      <c r="M4532">
        <v>14560960</v>
      </c>
      <c r="P4532">
        <v>300</v>
      </c>
      <c r="Q4532" t="s">
        <v>9410</v>
      </c>
    </row>
    <row r="4533" spans="1:17" x14ac:dyDescent="0.3">
      <c r="A4533" t="s">
        <v>4729</v>
      </c>
      <c r="B4533" t="str">
        <f>"300739"</f>
        <v>300739</v>
      </c>
      <c r="C4533" t="s">
        <v>9411</v>
      </c>
      <c r="D4533" t="s">
        <v>425</v>
      </c>
      <c r="F4533">
        <v>414612302</v>
      </c>
      <c r="G4533">
        <v>257540005</v>
      </c>
      <c r="H4533">
        <v>224030722</v>
      </c>
      <c r="I4533">
        <v>203728781</v>
      </c>
      <c r="J4533">
        <v>192030898</v>
      </c>
      <c r="K4533">
        <v>167158916</v>
      </c>
      <c r="L4533">
        <v>131634792</v>
      </c>
      <c r="M4533">
        <v>102173953</v>
      </c>
      <c r="P4533">
        <v>170</v>
      </c>
      <c r="Q4533" t="s">
        <v>9412</v>
      </c>
    </row>
    <row r="4534" spans="1:17" x14ac:dyDescent="0.3">
      <c r="A4534" t="s">
        <v>4729</v>
      </c>
      <c r="B4534" t="str">
        <f>"300740"</f>
        <v>300740</v>
      </c>
      <c r="C4534" t="s">
        <v>9413</v>
      </c>
      <c r="D4534" t="s">
        <v>709</v>
      </c>
      <c r="F4534">
        <v>280072625</v>
      </c>
      <c r="G4534">
        <v>216658916</v>
      </c>
      <c r="H4534">
        <v>117758868</v>
      </c>
      <c r="I4534">
        <v>100227483</v>
      </c>
      <c r="J4534">
        <v>94950772</v>
      </c>
      <c r="K4534">
        <v>60669158</v>
      </c>
      <c r="L4534">
        <v>44867123</v>
      </c>
      <c r="P4534">
        <v>256</v>
      </c>
      <c r="Q4534" t="s">
        <v>9414</v>
      </c>
    </row>
    <row r="4535" spans="1:17" x14ac:dyDescent="0.3">
      <c r="A4535" t="s">
        <v>4729</v>
      </c>
      <c r="B4535" t="str">
        <f>"300741"</f>
        <v>300741</v>
      </c>
      <c r="C4535" t="s">
        <v>9415</v>
      </c>
      <c r="D4535" t="s">
        <v>677</v>
      </c>
      <c r="F4535">
        <v>462203052</v>
      </c>
      <c r="G4535">
        <v>636428624</v>
      </c>
      <c r="H4535">
        <v>506109990</v>
      </c>
      <c r="I4535">
        <v>640824401</v>
      </c>
      <c r="J4535">
        <v>747496570</v>
      </c>
      <c r="K4535">
        <v>973899933</v>
      </c>
      <c r="L4535">
        <v>917759798</v>
      </c>
      <c r="P4535">
        <v>458</v>
      </c>
      <c r="Q4535" t="s">
        <v>9416</v>
      </c>
    </row>
    <row r="4536" spans="1:17" x14ac:dyDescent="0.3">
      <c r="A4536" t="s">
        <v>4729</v>
      </c>
      <c r="B4536" t="str">
        <f>"300742"</f>
        <v>300742</v>
      </c>
      <c r="C4536" t="s">
        <v>9417</v>
      </c>
      <c r="D4536" t="s">
        <v>348</v>
      </c>
      <c r="F4536">
        <v>239307765</v>
      </c>
      <c r="G4536">
        <v>237735192</v>
      </c>
      <c r="H4536">
        <v>624767869</v>
      </c>
      <c r="I4536">
        <v>1139438429</v>
      </c>
      <c r="J4536">
        <v>909109664</v>
      </c>
      <c r="K4536">
        <v>404637319</v>
      </c>
      <c r="L4536">
        <v>328917873</v>
      </c>
      <c r="P4536">
        <v>90</v>
      </c>
      <c r="Q4536" t="s">
        <v>9418</v>
      </c>
    </row>
    <row r="4537" spans="1:17" x14ac:dyDescent="0.3">
      <c r="A4537" t="s">
        <v>4729</v>
      </c>
      <c r="B4537" t="str">
        <f>"300743"</f>
        <v>300743</v>
      </c>
      <c r="C4537" t="s">
        <v>9419</v>
      </c>
      <c r="D4537" t="s">
        <v>236</v>
      </c>
      <c r="F4537">
        <v>115830800</v>
      </c>
      <c r="G4537">
        <v>94979484</v>
      </c>
      <c r="H4537">
        <v>91539494</v>
      </c>
      <c r="I4537">
        <v>82320906</v>
      </c>
      <c r="J4537">
        <v>62705199</v>
      </c>
      <c r="K4537">
        <v>53480463</v>
      </c>
      <c r="L4537">
        <v>49162296</v>
      </c>
      <c r="P4537">
        <v>54</v>
      </c>
      <c r="Q4537" t="s">
        <v>9420</v>
      </c>
    </row>
    <row r="4538" spans="1:17" x14ac:dyDescent="0.3">
      <c r="A4538" t="s">
        <v>4729</v>
      </c>
      <c r="B4538" t="str">
        <f>"300745"</f>
        <v>300745</v>
      </c>
      <c r="C4538" t="s">
        <v>9421</v>
      </c>
      <c r="D4538" t="s">
        <v>985</v>
      </c>
      <c r="F4538">
        <v>602937380</v>
      </c>
      <c r="G4538">
        <v>225288691</v>
      </c>
      <c r="H4538">
        <v>352535908</v>
      </c>
      <c r="I4538">
        <v>428024729</v>
      </c>
      <c r="J4538">
        <v>237918063</v>
      </c>
      <c r="K4538">
        <v>150929651</v>
      </c>
      <c r="L4538">
        <v>170796435</v>
      </c>
      <c r="P4538">
        <v>76</v>
      </c>
      <c r="Q4538" t="s">
        <v>9422</v>
      </c>
    </row>
    <row r="4539" spans="1:17" x14ac:dyDescent="0.3">
      <c r="A4539" t="s">
        <v>4729</v>
      </c>
      <c r="B4539" t="str">
        <f>"300746"</f>
        <v>300746</v>
      </c>
      <c r="C4539" t="s">
        <v>9423</v>
      </c>
      <c r="D4539" t="s">
        <v>1272</v>
      </c>
      <c r="F4539">
        <v>445525574</v>
      </c>
      <c r="G4539">
        <v>418860721</v>
      </c>
      <c r="H4539">
        <v>465864883</v>
      </c>
      <c r="I4539">
        <v>346729482</v>
      </c>
      <c r="J4539">
        <v>303240423</v>
      </c>
      <c r="K4539">
        <v>290992223</v>
      </c>
      <c r="L4539">
        <v>255299815</v>
      </c>
      <c r="P4539">
        <v>66</v>
      </c>
      <c r="Q4539" t="s">
        <v>9424</v>
      </c>
    </row>
    <row r="4540" spans="1:17" x14ac:dyDescent="0.3">
      <c r="A4540" t="s">
        <v>4729</v>
      </c>
      <c r="B4540" t="str">
        <f>"300747"</f>
        <v>300747</v>
      </c>
      <c r="C4540" t="s">
        <v>9425</v>
      </c>
      <c r="D4540" t="s">
        <v>3811</v>
      </c>
      <c r="F4540">
        <v>668159271</v>
      </c>
      <c r="G4540">
        <v>596610919</v>
      </c>
      <c r="H4540">
        <v>420297152</v>
      </c>
      <c r="I4540">
        <v>220098668</v>
      </c>
      <c r="J4540">
        <v>50947965</v>
      </c>
      <c r="K4540">
        <v>43435097</v>
      </c>
      <c r="L4540">
        <v>82585561</v>
      </c>
      <c r="P4540">
        <v>3347</v>
      </c>
      <c r="Q4540" t="s">
        <v>9426</v>
      </c>
    </row>
    <row r="4541" spans="1:17" x14ac:dyDescent="0.3">
      <c r="A4541" t="s">
        <v>4729</v>
      </c>
      <c r="B4541" t="str">
        <f>"300748"</f>
        <v>300748</v>
      </c>
      <c r="C4541" t="s">
        <v>9427</v>
      </c>
      <c r="D4541" t="s">
        <v>808</v>
      </c>
      <c r="F4541">
        <v>1231485347</v>
      </c>
      <c r="G4541">
        <v>743067393</v>
      </c>
      <c r="H4541">
        <v>704773201</v>
      </c>
      <c r="I4541">
        <v>369886076</v>
      </c>
      <c r="J4541">
        <v>0</v>
      </c>
      <c r="K4541">
        <v>0</v>
      </c>
      <c r="L4541">
        <v>0</v>
      </c>
      <c r="P4541">
        <v>341</v>
      </c>
      <c r="Q4541" t="s">
        <v>9428</v>
      </c>
    </row>
    <row r="4542" spans="1:17" x14ac:dyDescent="0.3">
      <c r="A4542" t="s">
        <v>4729</v>
      </c>
      <c r="B4542" t="str">
        <f>"300749"</f>
        <v>300749</v>
      </c>
      <c r="C4542" t="s">
        <v>9429</v>
      </c>
      <c r="D4542" t="s">
        <v>2664</v>
      </c>
      <c r="F4542">
        <v>216364397</v>
      </c>
      <c r="G4542">
        <v>135512025</v>
      </c>
      <c r="H4542">
        <v>147328748</v>
      </c>
      <c r="I4542">
        <v>97855643</v>
      </c>
      <c r="J4542">
        <v>69860032</v>
      </c>
      <c r="K4542">
        <v>50287586</v>
      </c>
      <c r="L4542">
        <v>24813668</v>
      </c>
      <c r="P4542">
        <v>97</v>
      </c>
      <c r="Q4542" t="s">
        <v>9430</v>
      </c>
    </row>
    <row r="4543" spans="1:17" x14ac:dyDescent="0.3">
      <c r="A4543" t="s">
        <v>4729</v>
      </c>
      <c r="B4543" t="str">
        <f>"300750"</f>
        <v>300750</v>
      </c>
      <c r="C4543" t="s">
        <v>9431</v>
      </c>
      <c r="D4543" t="s">
        <v>359</v>
      </c>
      <c r="F4543">
        <v>23753548205</v>
      </c>
      <c r="G4543">
        <v>11293523723</v>
      </c>
      <c r="H4543">
        <v>8338535645</v>
      </c>
      <c r="I4543">
        <v>6224857397</v>
      </c>
      <c r="J4543">
        <v>6918521551</v>
      </c>
      <c r="K4543">
        <v>7315840024</v>
      </c>
      <c r="L4543">
        <v>2393930006</v>
      </c>
      <c r="P4543">
        <v>4825</v>
      </c>
      <c r="Q4543" t="s">
        <v>9432</v>
      </c>
    </row>
    <row r="4544" spans="1:17" x14ac:dyDescent="0.3">
      <c r="A4544" t="s">
        <v>4729</v>
      </c>
      <c r="B4544" t="str">
        <f>"300751"</f>
        <v>300751</v>
      </c>
      <c r="C4544" t="s">
        <v>9433</v>
      </c>
      <c r="D4544" t="s">
        <v>2671</v>
      </c>
      <c r="F4544">
        <v>875705071</v>
      </c>
      <c r="G4544">
        <v>586601852</v>
      </c>
      <c r="H4544">
        <v>178524850</v>
      </c>
      <c r="I4544">
        <v>140111865</v>
      </c>
      <c r="J4544">
        <v>0</v>
      </c>
      <c r="K4544">
        <v>0</v>
      </c>
      <c r="L4544">
        <v>0</v>
      </c>
      <c r="P4544">
        <v>627</v>
      </c>
      <c r="Q4544" t="s">
        <v>9434</v>
      </c>
    </row>
    <row r="4545" spans="1:17" x14ac:dyDescent="0.3">
      <c r="A4545" t="s">
        <v>4729</v>
      </c>
      <c r="B4545" t="str">
        <f>"300752"</f>
        <v>300752</v>
      </c>
      <c r="C4545" t="s">
        <v>9435</v>
      </c>
      <c r="D4545" t="s">
        <v>803</v>
      </c>
      <c r="F4545">
        <v>718152890</v>
      </c>
      <c r="G4545">
        <v>682074927</v>
      </c>
      <c r="H4545">
        <v>561692784</v>
      </c>
      <c r="I4545">
        <v>388088711</v>
      </c>
      <c r="J4545">
        <v>0</v>
      </c>
      <c r="K4545">
        <v>0</v>
      </c>
      <c r="L4545">
        <v>0</v>
      </c>
      <c r="P4545">
        <v>140</v>
      </c>
      <c r="Q4545" t="s">
        <v>9436</v>
      </c>
    </row>
    <row r="4546" spans="1:17" x14ac:dyDescent="0.3">
      <c r="A4546" t="s">
        <v>4729</v>
      </c>
      <c r="B4546" t="str">
        <f>"300753"</f>
        <v>300753</v>
      </c>
      <c r="C4546" t="s">
        <v>9437</v>
      </c>
      <c r="D4546" t="s">
        <v>122</v>
      </c>
      <c r="F4546">
        <v>120885704</v>
      </c>
      <c r="G4546">
        <v>79228290</v>
      </c>
      <c r="H4546">
        <v>50752234</v>
      </c>
      <c r="I4546">
        <v>41992847</v>
      </c>
      <c r="J4546">
        <v>0</v>
      </c>
      <c r="K4546">
        <v>0</v>
      </c>
      <c r="L4546">
        <v>0</v>
      </c>
      <c r="P4546">
        <v>243</v>
      </c>
      <c r="Q4546" t="s">
        <v>9438</v>
      </c>
    </row>
    <row r="4547" spans="1:17" x14ac:dyDescent="0.3">
      <c r="A4547" t="s">
        <v>4729</v>
      </c>
      <c r="B4547" t="str">
        <f>"300755"</f>
        <v>300755</v>
      </c>
      <c r="C4547" t="s">
        <v>9439</v>
      </c>
      <c r="D4547" t="s">
        <v>295</v>
      </c>
      <c r="F4547">
        <v>137228678</v>
      </c>
      <c r="G4547">
        <v>119781753</v>
      </c>
      <c r="H4547">
        <v>62556771</v>
      </c>
      <c r="I4547">
        <v>132737549</v>
      </c>
      <c r="J4547">
        <v>0</v>
      </c>
      <c r="K4547">
        <v>0</v>
      </c>
      <c r="L4547">
        <v>0</v>
      </c>
      <c r="P4547">
        <v>246</v>
      </c>
      <c r="Q4547" t="s">
        <v>9440</v>
      </c>
    </row>
    <row r="4548" spans="1:17" x14ac:dyDescent="0.3">
      <c r="A4548" t="s">
        <v>4729</v>
      </c>
      <c r="B4548" t="str">
        <f>"300756"</f>
        <v>300756</v>
      </c>
      <c r="C4548" t="s">
        <v>9441</v>
      </c>
      <c r="D4548" t="s">
        <v>2931</v>
      </c>
      <c r="F4548">
        <v>136151240</v>
      </c>
      <c r="G4548">
        <v>85876365</v>
      </c>
      <c r="H4548">
        <v>157892154</v>
      </c>
      <c r="I4548">
        <v>138773967</v>
      </c>
      <c r="J4548">
        <v>0</v>
      </c>
      <c r="K4548">
        <v>0</v>
      </c>
      <c r="L4548">
        <v>0</v>
      </c>
      <c r="P4548">
        <v>76</v>
      </c>
      <c r="Q4548" t="s">
        <v>9442</v>
      </c>
    </row>
    <row r="4549" spans="1:17" x14ac:dyDescent="0.3">
      <c r="A4549" t="s">
        <v>4729</v>
      </c>
      <c r="B4549" t="str">
        <f>"300757"</f>
        <v>300757</v>
      </c>
      <c r="C4549" t="s">
        <v>9443</v>
      </c>
      <c r="D4549" t="s">
        <v>3477</v>
      </c>
      <c r="F4549">
        <v>284001822</v>
      </c>
      <c r="G4549">
        <v>392468363</v>
      </c>
      <c r="H4549">
        <v>416303964</v>
      </c>
      <c r="I4549">
        <v>215404385</v>
      </c>
      <c r="J4549">
        <v>0</v>
      </c>
      <c r="K4549">
        <v>0</v>
      </c>
      <c r="L4549">
        <v>0</v>
      </c>
      <c r="P4549">
        <v>76</v>
      </c>
      <c r="Q4549" t="s">
        <v>9444</v>
      </c>
    </row>
    <row r="4550" spans="1:17" x14ac:dyDescent="0.3">
      <c r="A4550" t="s">
        <v>4729</v>
      </c>
      <c r="B4550" t="str">
        <f>"300758"</f>
        <v>300758</v>
      </c>
      <c r="C4550" t="s">
        <v>9445</v>
      </c>
      <c r="D4550" t="s">
        <v>2585</v>
      </c>
      <c r="F4550">
        <v>224985763</v>
      </c>
      <c r="G4550">
        <v>217590628</v>
      </c>
      <c r="H4550">
        <v>115375978</v>
      </c>
      <c r="I4550">
        <v>83824164</v>
      </c>
      <c r="J4550">
        <v>95278221</v>
      </c>
      <c r="K4550">
        <v>76543713</v>
      </c>
      <c r="L4550">
        <v>72410507</v>
      </c>
      <c r="P4550">
        <v>104</v>
      </c>
      <c r="Q4550" t="s">
        <v>9446</v>
      </c>
    </row>
    <row r="4551" spans="1:17" x14ac:dyDescent="0.3">
      <c r="A4551" t="s">
        <v>4729</v>
      </c>
      <c r="B4551" t="str">
        <f>"300759"</f>
        <v>300759</v>
      </c>
      <c r="C4551" t="s">
        <v>9447</v>
      </c>
      <c r="D4551" t="s">
        <v>1461</v>
      </c>
      <c r="F4551">
        <v>1228848979</v>
      </c>
      <c r="G4551">
        <v>1076613849</v>
      </c>
      <c r="H4551">
        <v>857069268</v>
      </c>
      <c r="I4551">
        <v>655410782</v>
      </c>
      <c r="J4551">
        <v>542530517</v>
      </c>
      <c r="K4551">
        <v>390503299</v>
      </c>
      <c r="L4551">
        <v>249286101</v>
      </c>
      <c r="P4551">
        <v>1079</v>
      </c>
      <c r="Q4551" t="s">
        <v>9448</v>
      </c>
    </row>
    <row r="4552" spans="1:17" x14ac:dyDescent="0.3">
      <c r="A4552" t="s">
        <v>4729</v>
      </c>
      <c r="B4552" t="str">
        <f>"300760"</f>
        <v>300760</v>
      </c>
      <c r="C4552" t="s">
        <v>9449</v>
      </c>
      <c r="D4552" t="s">
        <v>122</v>
      </c>
      <c r="F4552">
        <v>1658675548</v>
      </c>
      <c r="G4552">
        <v>1443117646</v>
      </c>
      <c r="H4552">
        <v>1667714349</v>
      </c>
      <c r="I4552">
        <v>1572746574</v>
      </c>
      <c r="J4552">
        <v>1422512002</v>
      </c>
      <c r="K4552">
        <v>1026434674</v>
      </c>
      <c r="L4552">
        <v>1213431945</v>
      </c>
      <c r="P4552">
        <v>4593</v>
      </c>
      <c r="Q4552" t="s">
        <v>9450</v>
      </c>
    </row>
    <row r="4553" spans="1:17" x14ac:dyDescent="0.3">
      <c r="A4553" t="s">
        <v>4729</v>
      </c>
      <c r="B4553" t="str">
        <f>"300761"</f>
        <v>300761</v>
      </c>
      <c r="C4553" t="s">
        <v>9451</v>
      </c>
      <c r="D4553" t="s">
        <v>6260</v>
      </c>
      <c r="F4553">
        <v>9813767</v>
      </c>
      <c r="G4553">
        <v>5527695</v>
      </c>
      <c r="H4553">
        <v>1959010</v>
      </c>
      <c r="I4553">
        <v>1669237</v>
      </c>
      <c r="J4553">
        <v>0</v>
      </c>
      <c r="K4553">
        <v>0</v>
      </c>
      <c r="L4553">
        <v>0</v>
      </c>
      <c r="P4553">
        <v>369</v>
      </c>
      <c r="Q4553" t="s">
        <v>9452</v>
      </c>
    </row>
    <row r="4554" spans="1:17" x14ac:dyDescent="0.3">
      <c r="A4554" t="s">
        <v>4729</v>
      </c>
      <c r="B4554" t="str">
        <f>"300762"</f>
        <v>300762</v>
      </c>
      <c r="C4554" t="s">
        <v>9453</v>
      </c>
      <c r="D4554" t="s">
        <v>1136</v>
      </c>
      <c r="F4554">
        <v>988150517</v>
      </c>
      <c r="G4554">
        <v>897391940</v>
      </c>
      <c r="H4554">
        <v>303673124</v>
      </c>
      <c r="I4554">
        <v>0</v>
      </c>
      <c r="J4554">
        <v>0</v>
      </c>
      <c r="K4554">
        <v>0</v>
      </c>
      <c r="P4554">
        <v>181</v>
      </c>
      <c r="Q4554" t="s">
        <v>9454</v>
      </c>
    </row>
    <row r="4555" spans="1:17" x14ac:dyDescent="0.3">
      <c r="A4555" t="s">
        <v>4729</v>
      </c>
      <c r="B4555" t="str">
        <f>"300763"</f>
        <v>300763</v>
      </c>
      <c r="C4555" t="s">
        <v>9455</v>
      </c>
      <c r="D4555" t="s">
        <v>3824</v>
      </c>
      <c r="F4555">
        <v>482368605</v>
      </c>
      <c r="G4555">
        <v>309962391</v>
      </c>
      <c r="H4555">
        <v>244781578</v>
      </c>
      <c r="I4555">
        <v>0</v>
      </c>
      <c r="J4555">
        <v>0</v>
      </c>
      <c r="K4555">
        <v>0</v>
      </c>
      <c r="P4555">
        <v>582</v>
      </c>
      <c r="Q4555" t="s">
        <v>9456</v>
      </c>
    </row>
    <row r="4556" spans="1:17" x14ac:dyDescent="0.3">
      <c r="A4556" t="s">
        <v>4729</v>
      </c>
      <c r="B4556" t="str">
        <f>"300765"</f>
        <v>300765</v>
      </c>
      <c r="C4556" t="s">
        <v>9457</v>
      </c>
      <c r="D4556" t="s">
        <v>496</v>
      </c>
      <c r="F4556">
        <v>269787693</v>
      </c>
      <c r="G4556">
        <v>146270977</v>
      </c>
      <c r="H4556">
        <v>173137588</v>
      </c>
      <c r="I4556">
        <v>0</v>
      </c>
      <c r="J4556">
        <v>0</v>
      </c>
      <c r="K4556">
        <v>0</v>
      </c>
      <c r="P4556">
        <v>173</v>
      </c>
      <c r="Q4556" t="s">
        <v>9458</v>
      </c>
    </row>
    <row r="4557" spans="1:17" x14ac:dyDescent="0.3">
      <c r="A4557" t="s">
        <v>4729</v>
      </c>
      <c r="B4557" t="str">
        <f>"300766"</f>
        <v>300766</v>
      </c>
      <c r="C4557" t="s">
        <v>9459</v>
      </c>
      <c r="D4557" t="s">
        <v>1189</v>
      </c>
      <c r="F4557">
        <v>167831765</v>
      </c>
      <c r="G4557">
        <v>219429901</v>
      </c>
      <c r="H4557">
        <v>208130555</v>
      </c>
      <c r="I4557">
        <v>0</v>
      </c>
      <c r="J4557">
        <v>0</v>
      </c>
      <c r="K4557">
        <v>0</v>
      </c>
      <c r="P4557">
        <v>140</v>
      </c>
      <c r="Q4557" t="s">
        <v>9460</v>
      </c>
    </row>
    <row r="4558" spans="1:17" x14ac:dyDescent="0.3">
      <c r="A4558" t="s">
        <v>4729</v>
      </c>
      <c r="B4558" t="str">
        <f>"300767"</f>
        <v>300767</v>
      </c>
      <c r="C4558" t="s">
        <v>9461</v>
      </c>
      <c r="D4558" t="s">
        <v>2469</v>
      </c>
      <c r="F4558">
        <v>547077575</v>
      </c>
      <c r="G4558">
        <v>367397307</v>
      </c>
      <c r="H4558">
        <v>300802985</v>
      </c>
      <c r="I4558">
        <v>232907971</v>
      </c>
      <c r="J4558">
        <v>148040020</v>
      </c>
      <c r="K4558">
        <v>116540450</v>
      </c>
      <c r="P4558">
        <v>197</v>
      </c>
      <c r="Q4558" t="s">
        <v>9462</v>
      </c>
    </row>
    <row r="4559" spans="1:17" x14ac:dyDescent="0.3">
      <c r="A4559" t="s">
        <v>4729</v>
      </c>
      <c r="B4559" t="str">
        <f>"300768"</f>
        <v>300768</v>
      </c>
      <c r="C4559" t="s">
        <v>9463</v>
      </c>
      <c r="D4559" t="s">
        <v>1189</v>
      </c>
      <c r="F4559">
        <v>61217993</v>
      </c>
      <c r="G4559">
        <v>72528022</v>
      </c>
      <c r="H4559">
        <v>68480508</v>
      </c>
      <c r="I4559">
        <v>0</v>
      </c>
      <c r="J4559">
        <v>0</v>
      </c>
      <c r="K4559">
        <v>0</v>
      </c>
      <c r="P4559">
        <v>240</v>
      </c>
      <c r="Q4559" t="s">
        <v>9464</v>
      </c>
    </row>
    <row r="4560" spans="1:17" x14ac:dyDescent="0.3">
      <c r="A4560" t="s">
        <v>4729</v>
      </c>
      <c r="B4560" t="str">
        <f>"300769"</f>
        <v>300769</v>
      </c>
      <c r="C4560" t="s">
        <v>9465</v>
      </c>
      <c r="D4560" t="s">
        <v>1790</v>
      </c>
      <c r="F4560">
        <v>1321638494</v>
      </c>
      <c r="G4560">
        <v>260914885</v>
      </c>
      <c r="H4560">
        <v>230431551</v>
      </c>
      <c r="I4560">
        <v>0</v>
      </c>
      <c r="J4560">
        <v>0</v>
      </c>
      <c r="K4560">
        <v>0</v>
      </c>
      <c r="P4560">
        <v>325</v>
      </c>
      <c r="Q4560" t="s">
        <v>9466</v>
      </c>
    </row>
    <row r="4561" spans="1:17" x14ac:dyDescent="0.3">
      <c r="A4561" t="s">
        <v>4729</v>
      </c>
      <c r="B4561" t="str">
        <f>"300770"</f>
        <v>300770</v>
      </c>
      <c r="C4561" t="s">
        <v>9467</v>
      </c>
      <c r="D4561" t="s">
        <v>95</v>
      </c>
      <c r="F4561">
        <v>181889172</v>
      </c>
      <c r="G4561">
        <v>422996500</v>
      </c>
      <c r="H4561">
        <v>245089406</v>
      </c>
      <c r="I4561">
        <v>190093408</v>
      </c>
      <c r="J4561">
        <v>98040725</v>
      </c>
      <c r="K4561">
        <v>57899605</v>
      </c>
      <c r="P4561">
        <v>632</v>
      </c>
      <c r="Q4561" t="s">
        <v>9468</v>
      </c>
    </row>
    <row r="4562" spans="1:17" x14ac:dyDescent="0.3">
      <c r="A4562" t="s">
        <v>4729</v>
      </c>
      <c r="B4562" t="str">
        <f>"300771"</f>
        <v>300771</v>
      </c>
      <c r="C4562" t="s">
        <v>9469</v>
      </c>
      <c r="D4562" t="s">
        <v>236</v>
      </c>
      <c r="F4562">
        <v>158939462</v>
      </c>
      <c r="G4562">
        <v>58745975</v>
      </c>
      <c r="H4562">
        <v>100194829</v>
      </c>
      <c r="I4562">
        <v>94888129</v>
      </c>
      <c r="J4562">
        <v>59237165</v>
      </c>
      <c r="K4562">
        <v>84088595</v>
      </c>
      <c r="P4562">
        <v>229</v>
      </c>
      <c r="Q4562" t="s">
        <v>9470</v>
      </c>
    </row>
    <row r="4563" spans="1:17" x14ac:dyDescent="0.3">
      <c r="A4563" t="s">
        <v>4729</v>
      </c>
      <c r="B4563" t="str">
        <f>"300772"</f>
        <v>300772</v>
      </c>
      <c r="C4563" t="s">
        <v>9471</v>
      </c>
      <c r="D4563" t="s">
        <v>895</v>
      </c>
      <c r="F4563">
        <v>6834636907</v>
      </c>
      <c r="G4563">
        <v>3796938052</v>
      </c>
      <c r="H4563">
        <v>2598658332</v>
      </c>
      <c r="I4563">
        <v>0</v>
      </c>
      <c r="J4563">
        <v>0</v>
      </c>
      <c r="K4563">
        <v>0</v>
      </c>
      <c r="P4563">
        <v>177</v>
      </c>
      <c r="Q4563" t="s">
        <v>9472</v>
      </c>
    </row>
    <row r="4564" spans="1:17" x14ac:dyDescent="0.3">
      <c r="A4564" t="s">
        <v>4729</v>
      </c>
      <c r="B4564" t="str">
        <f>"300773"</f>
        <v>300773</v>
      </c>
      <c r="C4564" t="s">
        <v>9473</v>
      </c>
      <c r="D4564" t="s">
        <v>6424</v>
      </c>
      <c r="F4564">
        <v>777185104</v>
      </c>
      <c r="G4564">
        <v>435457686</v>
      </c>
      <c r="H4564">
        <v>315875907</v>
      </c>
      <c r="I4564">
        <v>0</v>
      </c>
      <c r="J4564">
        <v>0</v>
      </c>
      <c r="K4564">
        <v>0</v>
      </c>
      <c r="P4564">
        <v>472</v>
      </c>
      <c r="Q4564" t="s">
        <v>9474</v>
      </c>
    </row>
    <row r="4565" spans="1:17" x14ac:dyDescent="0.3">
      <c r="A4565" t="s">
        <v>4729</v>
      </c>
      <c r="B4565" t="str">
        <f>"300774"</f>
        <v>300774</v>
      </c>
      <c r="C4565" t="s">
        <v>9475</v>
      </c>
      <c r="D4565" t="s">
        <v>33</v>
      </c>
      <c r="F4565">
        <v>301003074</v>
      </c>
      <c r="G4565">
        <v>263804708</v>
      </c>
      <c r="H4565">
        <v>225830312</v>
      </c>
      <c r="I4565">
        <v>261201304</v>
      </c>
      <c r="J4565">
        <v>180103798</v>
      </c>
      <c r="P4565">
        <v>24</v>
      </c>
      <c r="Q4565" t="s">
        <v>9476</v>
      </c>
    </row>
    <row r="4566" spans="1:17" x14ac:dyDescent="0.3">
      <c r="A4566" t="s">
        <v>4729</v>
      </c>
      <c r="B4566" t="str">
        <f>"300775"</f>
        <v>300775</v>
      </c>
      <c r="C4566" t="s">
        <v>9477</v>
      </c>
      <c r="D4566" t="s">
        <v>98</v>
      </c>
      <c r="F4566">
        <v>431489461</v>
      </c>
      <c r="G4566">
        <v>414442379</v>
      </c>
      <c r="H4566">
        <v>436799778</v>
      </c>
      <c r="I4566">
        <v>0</v>
      </c>
      <c r="J4566">
        <v>0</v>
      </c>
      <c r="K4566">
        <v>0</v>
      </c>
      <c r="P4566">
        <v>186</v>
      </c>
      <c r="Q4566" t="s">
        <v>9478</v>
      </c>
    </row>
    <row r="4567" spans="1:17" x14ac:dyDescent="0.3">
      <c r="A4567" t="s">
        <v>4729</v>
      </c>
      <c r="B4567" t="str">
        <f>"300776"</f>
        <v>300776</v>
      </c>
      <c r="C4567" t="s">
        <v>9479</v>
      </c>
      <c r="D4567" t="s">
        <v>2671</v>
      </c>
      <c r="F4567">
        <v>329825895</v>
      </c>
      <c r="G4567">
        <v>188290816</v>
      </c>
      <c r="H4567">
        <v>196731198</v>
      </c>
      <c r="I4567">
        <v>70441058</v>
      </c>
      <c r="J4567">
        <v>0</v>
      </c>
      <c r="K4567">
        <v>0</v>
      </c>
      <c r="P4567">
        <v>397</v>
      </c>
      <c r="Q4567" t="s">
        <v>9480</v>
      </c>
    </row>
    <row r="4568" spans="1:17" x14ac:dyDescent="0.3">
      <c r="A4568" t="s">
        <v>4729</v>
      </c>
      <c r="B4568" t="str">
        <f>"300777"</f>
        <v>300777</v>
      </c>
      <c r="C4568" t="s">
        <v>9481</v>
      </c>
      <c r="D4568" t="s">
        <v>98</v>
      </c>
      <c r="F4568">
        <v>228327179</v>
      </c>
      <c r="G4568">
        <v>188505885</v>
      </c>
      <c r="H4568">
        <v>119391523</v>
      </c>
      <c r="I4568">
        <v>0</v>
      </c>
      <c r="J4568">
        <v>0</v>
      </c>
      <c r="K4568">
        <v>0</v>
      </c>
      <c r="P4568">
        <v>371</v>
      </c>
      <c r="Q4568" t="s">
        <v>9482</v>
      </c>
    </row>
    <row r="4569" spans="1:17" x14ac:dyDescent="0.3">
      <c r="A4569" t="s">
        <v>4729</v>
      </c>
      <c r="B4569" t="str">
        <f>"300778"</f>
        <v>300778</v>
      </c>
      <c r="C4569" t="s">
        <v>9483</v>
      </c>
      <c r="D4569" t="s">
        <v>1272</v>
      </c>
      <c r="F4569">
        <v>188929454</v>
      </c>
      <c r="G4569">
        <v>153910707</v>
      </c>
      <c r="H4569">
        <v>253513859</v>
      </c>
      <c r="I4569">
        <v>186509512</v>
      </c>
      <c r="J4569">
        <v>0</v>
      </c>
      <c r="K4569">
        <v>0</v>
      </c>
      <c r="P4569">
        <v>104</v>
      </c>
      <c r="Q4569" t="s">
        <v>9484</v>
      </c>
    </row>
    <row r="4570" spans="1:17" x14ac:dyDescent="0.3">
      <c r="A4570" t="s">
        <v>4729</v>
      </c>
      <c r="B4570" t="str">
        <f>"300779"</f>
        <v>300779</v>
      </c>
      <c r="C4570" t="s">
        <v>9485</v>
      </c>
      <c r="D4570" t="s">
        <v>499</v>
      </c>
      <c r="F4570">
        <v>100586303</v>
      </c>
      <c r="G4570">
        <v>78875927</v>
      </c>
      <c r="H4570">
        <v>94778005</v>
      </c>
      <c r="I4570">
        <v>0</v>
      </c>
      <c r="J4570">
        <v>81608221</v>
      </c>
      <c r="K4570">
        <v>0</v>
      </c>
      <c r="P4570">
        <v>62</v>
      </c>
      <c r="Q4570" t="s">
        <v>9486</v>
      </c>
    </row>
    <row r="4571" spans="1:17" x14ac:dyDescent="0.3">
      <c r="A4571" t="s">
        <v>4729</v>
      </c>
      <c r="B4571" t="str">
        <f>"300780"</f>
        <v>300780</v>
      </c>
      <c r="C4571" t="s">
        <v>9487</v>
      </c>
      <c r="D4571" t="s">
        <v>274</v>
      </c>
      <c r="F4571">
        <v>116018305</v>
      </c>
      <c r="G4571">
        <v>73492527</v>
      </c>
      <c r="H4571">
        <v>69397160</v>
      </c>
      <c r="I4571">
        <v>0</v>
      </c>
      <c r="J4571">
        <v>0</v>
      </c>
      <c r="K4571">
        <v>0</v>
      </c>
      <c r="P4571">
        <v>56</v>
      </c>
      <c r="Q4571" t="s">
        <v>9488</v>
      </c>
    </row>
    <row r="4572" spans="1:17" x14ac:dyDescent="0.3">
      <c r="A4572" t="s">
        <v>4729</v>
      </c>
      <c r="B4572" t="str">
        <f>"300781"</f>
        <v>300781</v>
      </c>
      <c r="C4572" t="s">
        <v>9489</v>
      </c>
      <c r="D4572" t="s">
        <v>207</v>
      </c>
      <c r="F4572">
        <v>208221262</v>
      </c>
      <c r="G4572">
        <v>132822301</v>
      </c>
      <c r="H4572">
        <v>152306992</v>
      </c>
      <c r="I4572">
        <v>119958069</v>
      </c>
      <c r="J4572">
        <v>0</v>
      </c>
      <c r="K4572">
        <v>0</v>
      </c>
      <c r="P4572">
        <v>100</v>
      </c>
      <c r="Q4572" t="s">
        <v>9490</v>
      </c>
    </row>
    <row r="4573" spans="1:17" x14ac:dyDescent="0.3">
      <c r="A4573" t="s">
        <v>4729</v>
      </c>
      <c r="B4573" t="str">
        <f>"300782"</f>
        <v>300782</v>
      </c>
      <c r="C4573" t="s">
        <v>9491</v>
      </c>
      <c r="D4573" t="s">
        <v>401</v>
      </c>
      <c r="F4573">
        <v>572431192</v>
      </c>
      <c r="G4573">
        <v>337712321</v>
      </c>
      <c r="H4573">
        <v>378300084</v>
      </c>
      <c r="I4573">
        <v>45440366</v>
      </c>
      <c r="J4573">
        <v>0</v>
      </c>
      <c r="K4573">
        <v>0</v>
      </c>
      <c r="P4573">
        <v>1609</v>
      </c>
      <c r="Q4573" t="s">
        <v>9492</v>
      </c>
    </row>
    <row r="4574" spans="1:17" x14ac:dyDescent="0.3">
      <c r="A4574" t="s">
        <v>4729</v>
      </c>
      <c r="B4574" t="str">
        <f>"300783"</f>
        <v>300783</v>
      </c>
      <c r="C4574" t="s">
        <v>9493</v>
      </c>
      <c r="D4574" t="s">
        <v>3194</v>
      </c>
      <c r="F4574">
        <v>192802740</v>
      </c>
      <c r="G4574">
        <v>218129808</v>
      </c>
      <c r="H4574">
        <v>260302160</v>
      </c>
      <c r="I4574">
        <v>303636517</v>
      </c>
      <c r="J4574">
        <v>0</v>
      </c>
      <c r="K4574">
        <v>0</v>
      </c>
      <c r="P4574">
        <v>730</v>
      </c>
      <c r="Q4574" t="s">
        <v>9494</v>
      </c>
    </row>
    <row r="4575" spans="1:17" x14ac:dyDescent="0.3">
      <c r="A4575" t="s">
        <v>4729</v>
      </c>
      <c r="B4575" t="str">
        <f>"300785"</f>
        <v>300785</v>
      </c>
      <c r="C4575" t="s">
        <v>9495</v>
      </c>
      <c r="D4575" t="s">
        <v>522</v>
      </c>
      <c r="F4575">
        <v>432781353</v>
      </c>
      <c r="G4575">
        <v>256240231</v>
      </c>
      <c r="H4575">
        <v>201798269</v>
      </c>
      <c r="I4575">
        <v>0</v>
      </c>
      <c r="J4575">
        <v>0</v>
      </c>
      <c r="K4575">
        <v>0</v>
      </c>
      <c r="P4575">
        <v>332</v>
      </c>
      <c r="Q4575" t="s">
        <v>9496</v>
      </c>
    </row>
    <row r="4576" spans="1:17" x14ac:dyDescent="0.3">
      <c r="A4576" t="s">
        <v>4729</v>
      </c>
      <c r="B4576" t="str">
        <f>"300786"</f>
        <v>300786</v>
      </c>
      <c r="C4576" t="s">
        <v>9497</v>
      </c>
      <c r="D4576" t="s">
        <v>1070</v>
      </c>
      <c r="F4576">
        <v>198784875</v>
      </c>
      <c r="G4576">
        <v>166064519</v>
      </c>
      <c r="H4576">
        <v>178932365</v>
      </c>
      <c r="I4576">
        <v>0</v>
      </c>
      <c r="J4576">
        <v>0</v>
      </c>
      <c r="K4576">
        <v>0</v>
      </c>
      <c r="P4576">
        <v>95</v>
      </c>
      <c r="Q4576" t="s">
        <v>9498</v>
      </c>
    </row>
    <row r="4577" spans="1:17" x14ac:dyDescent="0.3">
      <c r="A4577" t="s">
        <v>4729</v>
      </c>
      <c r="B4577" t="str">
        <f>"300787"</f>
        <v>300787</v>
      </c>
      <c r="C4577" t="s">
        <v>9499</v>
      </c>
      <c r="D4577" t="s">
        <v>313</v>
      </c>
      <c r="F4577">
        <v>568547637</v>
      </c>
      <c r="G4577">
        <v>381661444</v>
      </c>
      <c r="H4577">
        <v>246012946</v>
      </c>
      <c r="I4577">
        <v>225790778</v>
      </c>
      <c r="J4577">
        <v>0</v>
      </c>
      <c r="K4577">
        <v>0</v>
      </c>
      <c r="P4577">
        <v>87</v>
      </c>
      <c r="Q4577" t="s">
        <v>9500</v>
      </c>
    </row>
    <row r="4578" spans="1:17" x14ac:dyDescent="0.3">
      <c r="A4578" t="s">
        <v>4729</v>
      </c>
      <c r="B4578" t="str">
        <f>"300788"</f>
        <v>300788</v>
      </c>
      <c r="C4578" t="s">
        <v>9501</v>
      </c>
      <c r="D4578" t="s">
        <v>525</v>
      </c>
      <c r="F4578">
        <v>86914361</v>
      </c>
      <c r="G4578">
        <v>115739248</v>
      </c>
      <c r="H4578">
        <v>76599687</v>
      </c>
      <c r="I4578">
        <v>74894923</v>
      </c>
      <c r="J4578">
        <v>41120710</v>
      </c>
      <c r="K4578">
        <v>40820003</v>
      </c>
      <c r="P4578">
        <v>347</v>
      </c>
      <c r="Q4578" t="s">
        <v>9502</v>
      </c>
    </row>
    <row r="4579" spans="1:17" x14ac:dyDescent="0.3">
      <c r="A4579" t="s">
        <v>4729</v>
      </c>
      <c r="B4579" t="str">
        <f>"300789"</f>
        <v>300789</v>
      </c>
      <c r="C4579" t="s">
        <v>9503</v>
      </c>
      <c r="D4579" t="s">
        <v>236</v>
      </c>
      <c r="F4579">
        <v>223978619</v>
      </c>
      <c r="G4579">
        <v>166806980</v>
      </c>
      <c r="H4579">
        <v>191088209</v>
      </c>
      <c r="I4579">
        <v>118433771</v>
      </c>
      <c r="J4579">
        <v>82309170</v>
      </c>
      <c r="K4579">
        <v>48958249</v>
      </c>
      <c r="P4579">
        <v>79</v>
      </c>
      <c r="Q4579" t="s">
        <v>9504</v>
      </c>
    </row>
    <row r="4580" spans="1:17" x14ac:dyDescent="0.3">
      <c r="A4580" t="s">
        <v>4729</v>
      </c>
      <c r="B4580" t="str">
        <f>"300790"</f>
        <v>300790</v>
      </c>
      <c r="C4580" t="s">
        <v>9505</v>
      </c>
      <c r="D4580" t="s">
        <v>2980</v>
      </c>
      <c r="F4580">
        <v>547543646</v>
      </c>
      <c r="G4580">
        <v>598782531</v>
      </c>
      <c r="H4580">
        <v>304336654</v>
      </c>
      <c r="I4580">
        <v>253809518</v>
      </c>
      <c r="J4580">
        <v>162559011</v>
      </c>
      <c r="K4580">
        <v>107977464</v>
      </c>
      <c r="P4580">
        <v>158</v>
      </c>
      <c r="Q4580" t="s">
        <v>9506</v>
      </c>
    </row>
    <row r="4581" spans="1:17" x14ac:dyDescent="0.3">
      <c r="A4581" t="s">
        <v>4729</v>
      </c>
      <c r="B4581" t="str">
        <f>"300791"</f>
        <v>300791</v>
      </c>
      <c r="C4581" t="s">
        <v>9507</v>
      </c>
      <c r="D4581" t="s">
        <v>838</v>
      </c>
      <c r="F4581">
        <v>341758634</v>
      </c>
      <c r="G4581">
        <v>261420870</v>
      </c>
      <c r="H4581">
        <v>186723847</v>
      </c>
      <c r="I4581">
        <v>208151804</v>
      </c>
      <c r="J4581">
        <v>159919143</v>
      </c>
      <c r="K4581">
        <v>122035591</v>
      </c>
      <c r="P4581">
        <v>286</v>
      </c>
      <c r="Q4581" t="s">
        <v>9508</v>
      </c>
    </row>
    <row r="4582" spans="1:17" x14ac:dyDescent="0.3">
      <c r="A4582" t="s">
        <v>4729</v>
      </c>
      <c r="B4582" t="str">
        <f>"300792"</f>
        <v>300792</v>
      </c>
      <c r="C4582" t="s">
        <v>9509</v>
      </c>
      <c r="D4582" t="s">
        <v>3617</v>
      </c>
      <c r="F4582">
        <v>314751073</v>
      </c>
      <c r="G4582">
        <v>202390659</v>
      </c>
      <c r="H4582">
        <v>176289985</v>
      </c>
      <c r="I4582">
        <v>94332270</v>
      </c>
      <c r="J4582">
        <v>75596855</v>
      </c>
      <c r="K4582">
        <v>53314610</v>
      </c>
      <c r="P4582">
        <v>369</v>
      </c>
      <c r="Q4582" t="s">
        <v>9510</v>
      </c>
    </row>
    <row r="4583" spans="1:17" x14ac:dyDescent="0.3">
      <c r="A4583" t="s">
        <v>4729</v>
      </c>
      <c r="B4583" t="str">
        <f>"300793"</f>
        <v>300793</v>
      </c>
      <c r="C4583" t="s">
        <v>9511</v>
      </c>
      <c r="D4583" t="s">
        <v>313</v>
      </c>
      <c r="F4583">
        <v>489344561</v>
      </c>
      <c r="G4583">
        <v>771155613</v>
      </c>
      <c r="H4583">
        <v>405772694</v>
      </c>
      <c r="I4583">
        <v>227546292</v>
      </c>
      <c r="J4583">
        <v>230556642</v>
      </c>
      <c r="K4583">
        <v>327476637</v>
      </c>
      <c r="P4583">
        <v>144</v>
      </c>
      <c r="Q4583" t="s">
        <v>9512</v>
      </c>
    </row>
    <row r="4584" spans="1:17" x14ac:dyDescent="0.3">
      <c r="A4584" t="s">
        <v>4729</v>
      </c>
      <c r="B4584" t="str">
        <f>"300795"</f>
        <v>300795</v>
      </c>
      <c r="C4584" t="s">
        <v>9513</v>
      </c>
      <c r="D4584" t="s">
        <v>1673</v>
      </c>
      <c r="F4584">
        <v>2591403</v>
      </c>
      <c r="G4584">
        <v>1165048</v>
      </c>
      <c r="H4584">
        <v>1401626</v>
      </c>
      <c r="I4584">
        <v>279037</v>
      </c>
      <c r="J4584">
        <v>1325665</v>
      </c>
      <c r="K4584">
        <v>58067</v>
      </c>
      <c r="P4584">
        <v>109</v>
      </c>
      <c r="Q4584" t="s">
        <v>9514</v>
      </c>
    </row>
    <row r="4585" spans="1:17" x14ac:dyDescent="0.3">
      <c r="A4585" t="s">
        <v>4729</v>
      </c>
      <c r="B4585" t="str">
        <f>"300796"</f>
        <v>300796</v>
      </c>
      <c r="C4585" t="s">
        <v>9515</v>
      </c>
      <c r="D4585" t="s">
        <v>853</v>
      </c>
      <c r="F4585">
        <v>83898279</v>
      </c>
      <c r="G4585">
        <v>65104614</v>
      </c>
      <c r="H4585">
        <v>112525995</v>
      </c>
      <c r="I4585">
        <v>78778021</v>
      </c>
      <c r="J4585">
        <v>66073170</v>
      </c>
      <c r="K4585">
        <v>33385436</v>
      </c>
      <c r="P4585">
        <v>45</v>
      </c>
      <c r="Q4585" t="s">
        <v>9516</v>
      </c>
    </row>
    <row r="4586" spans="1:17" x14ac:dyDescent="0.3">
      <c r="A4586" t="s">
        <v>4729</v>
      </c>
      <c r="B4586" t="str">
        <f>"300797"</f>
        <v>300797</v>
      </c>
      <c r="C4586" t="s">
        <v>9517</v>
      </c>
      <c r="D4586" t="s">
        <v>110</v>
      </c>
      <c r="F4586">
        <v>142629857</v>
      </c>
      <c r="G4586">
        <v>151905387</v>
      </c>
      <c r="H4586">
        <v>161993192</v>
      </c>
      <c r="I4586">
        <v>147419752</v>
      </c>
      <c r="J4586">
        <v>133308890</v>
      </c>
      <c r="K4586">
        <v>121785807</v>
      </c>
      <c r="P4586">
        <v>67</v>
      </c>
      <c r="Q4586" t="s">
        <v>9518</v>
      </c>
    </row>
    <row r="4587" spans="1:17" x14ac:dyDescent="0.3">
      <c r="A4587" t="s">
        <v>4729</v>
      </c>
      <c r="B4587" t="str">
        <f>"300798"</f>
        <v>300798</v>
      </c>
      <c r="C4587" t="s">
        <v>9519</v>
      </c>
      <c r="D4587" t="s">
        <v>779</v>
      </c>
      <c r="F4587">
        <v>213101169</v>
      </c>
      <c r="G4587">
        <v>222239440</v>
      </c>
      <c r="H4587">
        <v>200329240</v>
      </c>
      <c r="I4587">
        <v>207473943</v>
      </c>
      <c r="J4587">
        <v>200578106</v>
      </c>
      <c r="K4587">
        <v>197069937</v>
      </c>
      <c r="P4587">
        <v>55</v>
      </c>
      <c r="Q4587" t="s">
        <v>9520</v>
      </c>
    </row>
    <row r="4588" spans="1:17" x14ac:dyDescent="0.3">
      <c r="A4588" t="s">
        <v>4729</v>
      </c>
      <c r="B4588" t="str">
        <f>"300799"</f>
        <v>300799</v>
      </c>
      <c r="C4588" t="s">
        <v>9521</v>
      </c>
      <c r="D4588" t="s">
        <v>1189</v>
      </c>
      <c r="F4588">
        <v>208001209</v>
      </c>
      <c r="G4588">
        <v>258335628</v>
      </c>
      <c r="H4588">
        <v>296384299</v>
      </c>
      <c r="I4588">
        <v>121650079</v>
      </c>
      <c r="J4588">
        <v>94945622</v>
      </c>
      <c r="K4588">
        <v>26315509</v>
      </c>
      <c r="P4588">
        <v>140</v>
      </c>
      <c r="Q4588" t="s">
        <v>9522</v>
      </c>
    </row>
    <row r="4589" spans="1:17" x14ac:dyDescent="0.3">
      <c r="A4589" t="s">
        <v>4729</v>
      </c>
      <c r="B4589" t="str">
        <f>"300800"</f>
        <v>300800</v>
      </c>
      <c r="C4589" t="s">
        <v>9523</v>
      </c>
      <c r="D4589" t="s">
        <v>1070</v>
      </c>
      <c r="F4589">
        <v>374246456</v>
      </c>
      <c r="G4589">
        <v>283030743</v>
      </c>
      <c r="H4589">
        <v>258614417</v>
      </c>
      <c r="I4589">
        <v>246577206</v>
      </c>
      <c r="J4589">
        <v>137849082</v>
      </c>
      <c r="K4589">
        <v>123408387</v>
      </c>
      <c r="P4589">
        <v>362</v>
      </c>
      <c r="Q4589" t="s">
        <v>9524</v>
      </c>
    </row>
    <row r="4590" spans="1:17" x14ac:dyDescent="0.3">
      <c r="A4590" t="s">
        <v>4729</v>
      </c>
      <c r="B4590" t="str">
        <f>"300801"</f>
        <v>300801</v>
      </c>
      <c r="C4590" t="s">
        <v>9525</v>
      </c>
      <c r="D4590" t="s">
        <v>386</v>
      </c>
      <c r="F4590">
        <v>227067033</v>
      </c>
      <c r="G4590">
        <v>142849918</v>
      </c>
      <c r="H4590">
        <v>139075887</v>
      </c>
      <c r="I4590">
        <v>129161225</v>
      </c>
      <c r="J4590">
        <v>114425895</v>
      </c>
      <c r="K4590">
        <v>129641510</v>
      </c>
      <c r="P4590">
        <v>112</v>
      </c>
      <c r="Q4590" t="s">
        <v>9526</v>
      </c>
    </row>
    <row r="4591" spans="1:17" x14ac:dyDescent="0.3">
      <c r="A4591" t="s">
        <v>4729</v>
      </c>
      <c r="B4591" t="str">
        <f>"300802"</f>
        <v>300802</v>
      </c>
      <c r="C4591" t="s">
        <v>9527</v>
      </c>
      <c r="D4591" t="s">
        <v>3477</v>
      </c>
      <c r="F4591">
        <v>242837402</v>
      </c>
      <c r="G4591">
        <v>199491724</v>
      </c>
      <c r="H4591">
        <v>157714436</v>
      </c>
      <c r="I4591">
        <v>124768806</v>
      </c>
      <c r="J4591">
        <v>109993924</v>
      </c>
      <c r="K4591">
        <v>71255610</v>
      </c>
      <c r="P4591">
        <v>182</v>
      </c>
      <c r="Q4591" t="s">
        <v>9528</v>
      </c>
    </row>
    <row r="4592" spans="1:17" x14ac:dyDescent="0.3">
      <c r="A4592" t="s">
        <v>4729</v>
      </c>
      <c r="B4592" t="str">
        <f>"300803"</f>
        <v>300803</v>
      </c>
      <c r="C4592" t="s">
        <v>9529</v>
      </c>
      <c r="D4592" t="s">
        <v>945</v>
      </c>
      <c r="F4592">
        <v>8943113</v>
      </c>
      <c r="G4592">
        <v>10150655</v>
      </c>
      <c r="H4592">
        <v>5890000</v>
      </c>
      <c r="I4592">
        <v>3083772</v>
      </c>
      <c r="J4592">
        <v>2919293</v>
      </c>
      <c r="K4592">
        <v>3394220</v>
      </c>
      <c r="P4592">
        <v>194</v>
      </c>
      <c r="Q4592" t="s">
        <v>9530</v>
      </c>
    </row>
    <row r="4593" spans="1:17" x14ac:dyDescent="0.3">
      <c r="A4593" t="s">
        <v>4729</v>
      </c>
      <c r="B4593" t="str">
        <f>"300805"</f>
        <v>300805</v>
      </c>
      <c r="C4593" t="s">
        <v>9531</v>
      </c>
      <c r="D4593" t="s">
        <v>207</v>
      </c>
      <c r="F4593">
        <v>1041597308</v>
      </c>
      <c r="G4593">
        <v>1184724481</v>
      </c>
      <c r="H4593">
        <v>1351036229</v>
      </c>
      <c r="I4593">
        <v>1099287088</v>
      </c>
      <c r="J4593">
        <v>924566154</v>
      </c>
      <c r="K4593">
        <v>706290341</v>
      </c>
      <c r="P4593">
        <v>71</v>
      </c>
      <c r="Q4593" t="s">
        <v>9532</v>
      </c>
    </row>
    <row r="4594" spans="1:17" x14ac:dyDescent="0.3">
      <c r="A4594" t="s">
        <v>4729</v>
      </c>
      <c r="B4594" t="str">
        <f>"300806"</f>
        <v>300806</v>
      </c>
      <c r="C4594" t="s">
        <v>9533</v>
      </c>
      <c r="D4594" t="s">
        <v>324</v>
      </c>
      <c r="F4594">
        <v>675893297</v>
      </c>
      <c r="G4594">
        <v>542875818</v>
      </c>
      <c r="H4594">
        <v>526482409</v>
      </c>
      <c r="I4594">
        <v>447290233</v>
      </c>
      <c r="J4594">
        <v>363380733</v>
      </c>
      <c r="K4594">
        <v>381803478</v>
      </c>
      <c r="P4594">
        <v>168</v>
      </c>
      <c r="Q4594" t="s">
        <v>9534</v>
      </c>
    </row>
    <row r="4595" spans="1:17" x14ac:dyDescent="0.3">
      <c r="A4595" t="s">
        <v>4729</v>
      </c>
      <c r="B4595" t="str">
        <f>"300807"</f>
        <v>300807</v>
      </c>
      <c r="C4595" t="s">
        <v>9535</v>
      </c>
      <c r="D4595" t="s">
        <v>236</v>
      </c>
      <c r="F4595">
        <v>210923330</v>
      </c>
      <c r="G4595">
        <v>186397722</v>
      </c>
      <c r="H4595">
        <v>230071418</v>
      </c>
      <c r="I4595">
        <v>179440936</v>
      </c>
      <c r="J4595">
        <v>165798524</v>
      </c>
      <c r="K4595">
        <v>97661873</v>
      </c>
      <c r="P4595">
        <v>103</v>
      </c>
      <c r="Q4595" t="s">
        <v>9536</v>
      </c>
    </row>
    <row r="4596" spans="1:17" x14ac:dyDescent="0.3">
      <c r="A4596" t="s">
        <v>4729</v>
      </c>
      <c r="B4596" t="str">
        <f>"300808"</f>
        <v>300808</v>
      </c>
      <c r="C4596" t="s">
        <v>9537</v>
      </c>
      <c r="D4596" t="s">
        <v>803</v>
      </c>
      <c r="F4596">
        <v>283437833</v>
      </c>
      <c r="G4596">
        <v>266058347</v>
      </c>
      <c r="H4596">
        <v>245763386</v>
      </c>
      <c r="I4596">
        <v>208487029</v>
      </c>
      <c r="J4596">
        <v>194991336</v>
      </c>
      <c r="K4596">
        <v>227321827</v>
      </c>
      <c r="P4596">
        <v>55</v>
      </c>
      <c r="Q4596" t="s">
        <v>9538</v>
      </c>
    </row>
    <row r="4597" spans="1:17" x14ac:dyDescent="0.3">
      <c r="A4597" t="s">
        <v>4729</v>
      </c>
      <c r="B4597" t="str">
        <f>"300809"</f>
        <v>300809</v>
      </c>
      <c r="C4597" t="s">
        <v>9539</v>
      </c>
      <c r="D4597" t="s">
        <v>2321</v>
      </c>
      <c r="F4597">
        <v>118714452</v>
      </c>
      <c r="G4597">
        <v>92651376</v>
      </c>
      <c r="H4597">
        <v>131553922</v>
      </c>
      <c r="I4597">
        <v>105518873</v>
      </c>
      <c r="J4597">
        <v>71699125</v>
      </c>
      <c r="K4597">
        <v>67174381</v>
      </c>
      <c r="P4597">
        <v>110</v>
      </c>
      <c r="Q4597" t="s">
        <v>9540</v>
      </c>
    </row>
    <row r="4598" spans="1:17" x14ac:dyDescent="0.3">
      <c r="A4598" t="s">
        <v>4729</v>
      </c>
      <c r="B4598" t="str">
        <f>"300810"</f>
        <v>300810</v>
      </c>
      <c r="C4598" t="s">
        <v>9541</v>
      </c>
      <c r="D4598" t="s">
        <v>167</v>
      </c>
      <c r="F4598">
        <v>427654573</v>
      </c>
      <c r="G4598">
        <v>363886504</v>
      </c>
      <c r="H4598">
        <v>370245998</v>
      </c>
      <c r="I4598">
        <v>259781050</v>
      </c>
      <c r="J4598">
        <v>152744393</v>
      </c>
      <c r="K4598">
        <v>154487724</v>
      </c>
      <c r="P4598">
        <v>57</v>
      </c>
      <c r="Q4598" t="s">
        <v>9542</v>
      </c>
    </row>
    <row r="4599" spans="1:17" x14ac:dyDescent="0.3">
      <c r="A4599" t="s">
        <v>4729</v>
      </c>
      <c r="B4599" t="str">
        <f>"300811"</f>
        <v>300811</v>
      </c>
      <c r="C4599" t="s">
        <v>9543</v>
      </c>
      <c r="D4599" t="s">
        <v>808</v>
      </c>
      <c r="F4599">
        <v>276286951</v>
      </c>
      <c r="G4599">
        <v>203867777</v>
      </c>
      <c r="H4599">
        <v>152745667</v>
      </c>
      <c r="I4599">
        <v>115285546</v>
      </c>
      <c r="J4599">
        <v>112216695</v>
      </c>
      <c r="K4599">
        <v>96558962</v>
      </c>
      <c r="P4599">
        <v>163</v>
      </c>
      <c r="Q4599" t="s">
        <v>9544</v>
      </c>
    </row>
    <row r="4600" spans="1:17" x14ac:dyDescent="0.3">
      <c r="A4600" t="s">
        <v>4729</v>
      </c>
      <c r="B4600" t="str">
        <f>"300812"</f>
        <v>300812</v>
      </c>
      <c r="C4600" t="s">
        <v>9545</v>
      </c>
      <c r="D4600" t="s">
        <v>3187</v>
      </c>
      <c r="F4600">
        <v>179108258</v>
      </c>
      <c r="G4600">
        <v>180384685</v>
      </c>
      <c r="H4600">
        <v>163950050</v>
      </c>
      <c r="I4600">
        <v>130112551</v>
      </c>
      <c r="J4600">
        <v>65912767</v>
      </c>
      <c r="K4600">
        <v>79126496</v>
      </c>
      <c r="P4600">
        <v>111</v>
      </c>
      <c r="Q4600" t="s">
        <v>9546</v>
      </c>
    </row>
    <row r="4601" spans="1:17" x14ac:dyDescent="0.3">
      <c r="A4601" t="s">
        <v>4729</v>
      </c>
      <c r="B4601" t="str">
        <f>"300813"</f>
        <v>300813</v>
      </c>
      <c r="C4601" t="s">
        <v>9547</v>
      </c>
      <c r="D4601" t="s">
        <v>741</v>
      </c>
      <c r="F4601">
        <v>38482805</v>
      </c>
      <c r="G4601">
        <v>17874329</v>
      </c>
      <c r="H4601">
        <v>32922298</v>
      </c>
      <c r="I4601">
        <v>30998547</v>
      </c>
      <c r="J4601">
        <v>20426419</v>
      </c>
      <c r="K4601">
        <v>11900164</v>
      </c>
      <c r="P4601">
        <v>106</v>
      </c>
      <c r="Q4601" t="s">
        <v>9548</v>
      </c>
    </row>
    <row r="4602" spans="1:17" x14ac:dyDescent="0.3">
      <c r="A4602" t="s">
        <v>4729</v>
      </c>
      <c r="B4602" t="str">
        <f>"300814"</f>
        <v>300814</v>
      </c>
      <c r="C4602" t="s">
        <v>9549</v>
      </c>
      <c r="D4602" t="s">
        <v>425</v>
      </c>
      <c r="F4602">
        <v>397171143</v>
      </c>
      <c r="G4602">
        <v>216531430</v>
      </c>
      <c r="H4602">
        <v>270148419</v>
      </c>
      <c r="I4602">
        <v>213388182</v>
      </c>
      <c r="J4602">
        <v>186898695</v>
      </c>
      <c r="P4602">
        <v>14</v>
      </c>
      <c r="Q4602" t="s">
        <v>9550</v>
      </c>
    </row>
    <row r="4603" spans="1:17" x14ac:dyDescent="0.3">
      <c r="A4603" t="s">
        <v>4729</v>
      </c>
      <c r="B4603" t="str">
        <f>"300815"</f>
        <v>300815</v>
      </c>
      <c r="C4603" t="s">
        <v>9551</v>
      </c>
      <c r="D4603" t="s">
        <v>499</v>
      </c>
      <c r="F4603">
        <v>1500330075</v>
      </c>
      <c r="G4603">
        <v>1021162366</v>
      </c>
      <c r="H4603">
        <v>757654322</v>
      </c>
      <c r="I4603">
        <v>629312661</v>
      </c>
      <c r="J4603">
        <v>414738043</v>
      </c>
      <c r="K4603">
        <v>271139351</v>
      </c>
      <c r="P4603">
        <v>345</v>
      </c>
      <c r="Q4603" t="s">
        <v>9552</v>
      </c>
    </row>
    <row r="4604" spans="1:17" x14ac:dyDescent="0.3">
      <c r="A4604" t="s">
        <v>4729</v>
      </c>
      <c r="B4604" t="str">
        <f>"300816"</f>
        <v>300816</v>
      </c>
      <c r="C4604" t="s">
        <v>9553</v>
      </c>
      <c r="D4604" t="s">
        <v>985</v>
      </c>
      <c r="F4604">
        <v>221436695</v>
      </c>
      <c r="G4604">
        <v>231773340</v>
      </c>
      <c r="H4604">
        <v>182092339</v>
      </c>
      <c r="I4604">
        <v>142793991</v>
      </c>
      <c r="J4604">
        <v>135618243</v>
      </c>
      <c r="K4604">
        <v>84856839</v>
      </c>
      <c r="P4604">
        <v>150</v>
      </c>
      <c r="Q4604" t="s">
        <v>9554</v>
      </c>
    </row>
    <row r="4605" spans="1:17" x14ac:dyDescent="0.3">
      <c r="A4605" t="s">
        <v>4729</v>
      </c>
      <c r="B4605" t="str">
        <f>"300817"</f>
        <v>300817</v>
      </c>
      <c r="C4605" t="s">
        <v>9555</v>
      </c>
      <c r="D4605" t="s">
        <v>274</v>
      </c>
      <c r="F4605">
        <v>194110844</v>
      </c>
      <c r="G4605">
        <v>166142828</v>
      </c>
      <c r="H4605">
        <v>113349183</v>
      </c>
      <c r="I4605">
        <v>106266529</v>
      </c>
      <c r="J4605">
        <v>116707448</v>
      </c>
      <c r="K4605">
        <v>82772671</v>
      </c>
      <c r="P4605">
        <v>63</v>
      </c>
      <c r="Q4605" t="s">
        <v>9556</v>
      </c>
    </row>
    <row r="4606" spans="1:17" x14ac:dyDescent="0.3">
      <c r="A4606" t="s">
        <v>4729</v>
      </c>
      <c r="B4606" t="str">
        <f>"300818"</f>
        <v>300818</v>
      </c>
      <c r="C4606" t="s">
        <v>9557</v>
      </c>
      <c r="D4606" t="s">
        <v>404</v>
      </c>
      <c r="F4606">
        <v>100522607</v>
      </c>
      <c r="G4606">
        <v>101047354</v>
      </c>
      <c r="H4606">
        <v>76523057</v>
      </c>
      <c r="I4606">
        <v>100537575</v>
      </c>
      <c r="J4606">
        <v>114448625</v>
      </c>
      <c r="K4606">
        <v>123621967</v>
      </c>
      <c r="P4606">
        <v>92</v>
      </c>
      <c r="Q4606" t="s">
        <v>9558</v>
      </c>
    </row>
    <row r="4607" spans="1:17" x14ac:dyDescent="0.3">
      <c r="A4607" t="s">
        <v>4729</v>
      </c>
      <c r="B4607" t="str">
        <f>"300819"</f>
        <v>300819</v>
      </c>
      <c r="C4607" t="s">
        <v>9559</v>
      </c>
      <c r="D4607" t="s">
        <v>366</v>
      </c>
      <c r="F4607">
        <v>91074979</v>
      </c>
      <c r="G4607">
        <v>29910641</v>
      </c>
      <c r="H4607">
        <v>68513867</v>
      </c>
      <c r="I4607">
        <v>54044133</v>
      </c>
      <c r="J4607">
        <v>56439837</v>
      </c>
      <c r="K4607">
        <v>47680762</v>
      </c>
      <c r="P4607">
        <v>50</v>
      </c>
      <c r="Q4607" t="s">
        <v>9560</v>
      </c>
    </row>
    <row r="4608" spans="1:17" x14ac:dyDescent="0.3">
      <c r="A4608" t="s">
        <v>4729</v>
      </c>
      <c r="B4608" t="str">
        <f>"300820"</f>
        <v>300820</v>
      </c>
      <c r="C4608" t="s">
        <v>9561</v>
      </c>
      <c r="D4608" t="s">
        <v>880</v>
      </c>
      <c r="F4608">
        <v>77716445</v>
      </c>
      <c r="G4608">
        <v>56535315</v>
      </c>
      <c r="H4608">
        <v>70051806</v>
      </c>
      <c r="I4608">
        <v>80451337</v>
      </c>
      <c r="J4608">
        <v>62935736</v>
      </c>
      <c r="K4608">
        <v>74190812</v>
      </c>
      <c r="P4608">
        <v>369</v>
      </c>
      <c r="Q4608" t="s">
        <v>9562</v>
      </c>
    </row>
    <row r="4609" spans="1:17" x14ac:dyDescent="0.3">
      <c r="A4609" t="s">
        <v>4729</v>
      </c>
      <c r="B4609" t="str">
        <f>"300821"</f>
        <v>300821</v>
      </c>
      <c r="C4609" t="s">
        <v>9563</v>
      </c>
      <c r="D4609" t="s">
        <v>1205</v>
      </c>
      <c r="F4609">
        <v>31219678</v>
      </c>
      <c r="G4609">
        <v>32084093</v>
      </c>
      <c r="H4609">
        <v>35007040</v>
      </c>
      <c r="I4609">
        <v>21264928</v>
      </c>
      <c r="J4609">
        <v>21090977</v>
      </c>
      <c r="P4609">
        <v>159</v>
      </c>
      <c r="Q4609" t="s">
        <v>9564</v>
      </c>
    </row>
    <row r="4610" spans="1:17" x14ac:dyDescent="0.3">
      <c r="A4610" t="s">
        <v>4729</v>
      </c>
      <c r="B4610" t="str">
        <f>"300822"</f>
        <v>300822</v>
      </c>
      <c r="C4610" t="s">
        <v>9565</v>
      </c>
      <c r="D4610" t="s">
        <v>313</v>
      </c>
      <c r="F4610">
        <v>310261665</v>
      </c>
      <c r="G4610">
        <v>181798028</v>
      </c>
      <c r="H4610">
        <v>126159599</v>
      </c>
      <c r="I4610">
        <v>93316380</v>
      </c>
      <c r="J4610">
        <v>85757680</v>
      </c>
      <c r="P4610">
        <v>131</v>
      </c>
      <c r="Q4610" t="s">
        <v>9566</v>
      </c>
    </row>
    <row r="4611" spans="1:17" x14ac:dyDescent="0.3">
      <c r="A4611" t="s">
        <v>4729</v>
      </c>
      <c r="B4611" t="str">
        <f>"300823"</f>
        <v>300823</v>
      </c>
      <c r="C4611" t="s">
        <v>9567</v>
      </c>
      <c r="D4611" t="s">
        <v>741</v>
      </c>
      <c r="F4611">
        <v>216703613</v>
      </c>
      <c r="G4611">
        <v>209949988</v>
      </c>
      <c r="H4611">
        <v>221236993</v>
      </c>
      <c r="I4611">
        <v>210272968</v>
      </c>
      <c r="J4611">
        <v>183112208</v>
      </c>
      <c r="P4611">
        <v>109</v>
      </c>
      <c r="Q4611" t="s">
        <v>9568</v>
      </c>
    </row>
    <row r="4612" spans="1:17" x14ac:dyDescent="0.3">
      <c r="A4612" t="s">
        <v>4729</v>
      </c>
      <c r="B4612" t="str">
        <f>"300824"</f>
        <v>300824</v>
      </c>
      <c r="C4612" t="s">
        <v>9569</v>
      </c>
      <c r="D4612" t="s">
        <v>5799</v>
      </c>
      <c r="F4612">
        <v>50255130</v>
      </c>
      <c r="G4612">
        <v>42270881</v>
      </c>
      <c r="H4612">
        <v>39920844</v>
      </c>
      <c r="I4612">
        <v>65061279</v>
      </c>
      <c r="J4612">
        <v>41060619</v>
      </c>
      <c r="K4612">
        <v>53577002</v>
      </c>
      <c r="P4612">
        <v>167</v>
      </c>
      <c r="Q4612" t="s">
        <v>9570</v>
      </c>
    </row>
    <row r="4613" spans="1:17" x14ac:dyDescent="0.3">
      <c r="A4613" t="s">
        <v>4729</v>
      </c>
      <c r="B4613" t="str">
        <f>"300825"</f>
        <v>300825</v>
      </c>
      <c r="C4613" t="s">
        <v>9571</v>
      </c>
      <c r="D4613" t="s">
        <v>2368</v>
      </c>
      <c r="F4613">
        <v>214921814</v>
      </c>
      <c r="G4613">
        <v>187524894</v>
      </c>
      <c r="H4613">
        <v>198510213</v>
      </c>
      <c r="I4613">
        <v>145029973</v>
      </c>
      <c r="J4613">
        <v>108066063</v>
      </c>
      <c r="P4613">
        <v>92</v>
      </c>
      <c r="Q4613" t="s">
        <v>9572</v>
      </c>
    </row>
    <row r="4614" spans="1:17" x14ac:dyDescent="0.3">
      <c r="A4614" t="s">
        <v>4729</v>
      </c>
      <c r="B4614" t="str">
        <f>"300826"</f>
        <v>300826</v>
      </c>
      <c r="C4614" t="s">
        <v>9573</v>
      </c>
      <c r="D4614" t="s">
        <v>1272</v>
      </c>
      <c r="F4614">
        <v>315394836</v>
      </c>
      <c r="G4614">
        <v>243551285</v>
      </c>
      <c r="H4614">
        <v>256267741</v>
      </c>
      <c r="I4614">
        <v>217760026</v>
      </c>
      <c r="J4614">
        <v>183299548</v>
      </c>
      <c r="P4614">
        <v>61</v>
      </c>
      <c r="Q4614" t="s">
        <v>9574</v>
      </c>
    </row>
    <row r="4615" spans="1:17" x14ac:dyDescent="0.3">
      <c r="A4615" t="s">
        <v>4729</v>
      </c>
      <c r="B4615" t="str">
        <f>"300827"</f>
        <v>300827</v>
      </c>
      <c r="C4615" t="s">
        <v>9575</v>
      </c>
      <c r="D4615" t="s">
        <v>3824</v>
      </c>
      <c r="F4615">
        <v>547097342</v>
      </c>
      <c r="G4615">
        <v>492199302</v>
      </c>
      <c r="H4615">
        <v>622967701</v>
      </c>
      <c r="I4615">
        <v>494143552</v>
      </c>
      <c r="J4615">
        <v>291459140</v>
      </c>
      <c r="P4615">
        <v>233</v>
      </c>
      <c r="Q4615" t="s">
        <v>9576</v>
      </c>
    </row>
    <row r="4616" spans="1:17" x14ac:dyDescent="0.3">
      <c r="A4616" t="s">
        <v>4729</v>
      </c>
      <c r="B4616" t="str">
        <f>"300828"</f>
        <v>300828</v>
      </c>
      <c r="C4616" t="s">
        <v>9577</v>
      </c>
      <c r="D4616" t="s">
        <v>274</v>
      </c>
      <c r="F4616">
        <v>119232199</v>
      </c>
      <c r="G4616">
        <v>91528550</v>
      </c>
      <c r="H4616">
        <v>82814155</v>
      </c>
      <c r="I4616">
        <v>82862549</v>
      </c>
      <c r="J4616">
        <v>64030974</v>
      </c>
      <c r="P4616">
        <v>91</v>
      </c>
      <c r="Q4616" t="s">
        <v>9578</v>
      </c>
    </row>
    <row r="4617" spans="1:17" x14ac:dyDescent="0.3">
      <c r="A4617" t="s">
        <v>4729</v>
      </c>
      <c r="B4617" t="str">
        <f>"300829"</f>
        <v>300829</v>
      </c>
      <c r="C4617" t="s">
        <v>9579</v>
      </c>
      <c r="D4617" t="s">
        <v>677</v>
      </c>
      <c r="F4617">
        <v>75405816</v>
      </c>
      <c r="G4617">
        <v>47767475</v>
      </c>
      <c r="H4617">
        <v>45998118</v>
      </c>
      <c r="I4617">
        <v>57053129</v>
      </c>
      <c r="J4617">
        <v>55783258</v>
      </c>
      <c r="P4617">
        <v>125</v>
      </c>
      <c r="Q4617" t="s">
        <v>9580</v>
      </c>
    </row>
    <row r="4618" spans="1:17" x14ac:dyDescent="0.3">
      <c r="A4618" t="s">
        <v>4729</v>
      </c>
      <c r="B4618" t="str">
        <f>"300830"</f>
        <v>300830</v>
      </c>
      <c r="C4618" t="s">
        <v>9581</v>
      </c>
      <c r="D4618" t="s">
        <v>945</v>
      </c>
      <c r="F4618">
        <v>525212384</v>
      </c>
      <c r="G4618">
        <v>484728609</v>
      </c>
      <c r="H4618">
        <v>400482813</v>
      </c>
      <c r="I4618">
        <v>297589655</v>
      </c>
      <c r="J4618">
        <v>295291651</v>
      </c>
      <c r="K4618">
        <v>231952002</v>
      </c>
      <c r="P4618">
        <v>74</v>
      </c>
      <c r="Q4618" t="s">
        <v>9582</v>
      </c>
    </row>
    <row r="4619" spans="1:17" x14ac:dyDescent="0.3">
      <c r="A4619" t="s">
        <v>4729</v>
      </c>
      <c r="B4619" t="str">
        <f>"300831"</f>
        <v>300831</v>
      </c>
      <c r="C4619" t="s">
        <v>9583</v>
      </c>
      <c r="D4619" t="s">
        <v>795</v>
      </c>
      <c r="F4619">
        <v>138284012</v>
      </c>
      <c r="G4619">
        <v>96326470</v>
      </c>
      <c r="H4619">
        <v>193484664</v>
      </c>
      <c r="I4619">
        <v>208225912</v>
      </c>
      <c r="J4619">
        <v>199478269</v>
      </c>
      <c r="P4619">
        <v>129</v>
      </c>
      <c r="Q4619" t="s">
        <v>9584</v>
      </c>
    </row>
    <row r="4620" spans="1:17" x14ac:dyDescent="0.3">
      <c r="A4620" t="s">
        <v>4729</v>
      </c>
      <c r="B4620" t="str">
        <f>"300832"</f>
        <v>300832</v>
      </c>
      <c r="C4620" t="s">
        <v>9585</v>
      </c>
      <c r="D4620" t="s">
        <v>1305</v>
      </c>
      <c r="F4620">
        <v>276098300</v>
      </c>
      <c r="G4620">
        <v>218045255</v>
      </c>
      <c r="H4620">
        <v>226026932</v>
      </c>
      <c r="I4620">
        <v>203030339</v>
      </c>
      <c r="J4620">
        <v>188021426</v>
      </c>
      <c r="P4620">
        <v>513</v>
      </c>
      <c r="Q4620" t="s">
        <v>9586</v>
      </c>
    </row>
    <row r="4621" spans="1:17" x14ac:dyDescent="0.3">
      <c r="A4621" t="s">
        <v>4729</v>
      </c>
      <c r="B4621" t="str">
        <f>"300833"</f>
        <v>300833</v>
      </c>
      <c r="C4621" t="s">
        <v>9587</v>
      </c>
      <c r="D4621" t="s">
        <v>741</v>
      </c>
      <c r="F4621">
        <v>184057451</v>
      </c>
      <c r="G4621">
        <v>88697122</v>
      </c>
      <c r="H4621">
        <v>88060265</v>
      </c>
      <c r="I4621">
        <v>65865885</v>
      </c>
      <c r="J4621">
        <v>86415303</v>
      </c>
      <c r="P4621">
        <v>89</v>
      </c>
      <c r="Q4621" t="s">
        <v>9588</v>
      </c>
    </row>
    <row r="4622" spans="1:17" x14ac:dyDescent="0.3">
      <c r="A4622" t="s">
        <v>4729</v>
      </c>
      <c r="B4622" t="str">
        <f>"300834"</f>
        <v>300834</v>
      </c>
      <c r="C4622" t="s">
        <v>9589</v>
      </c>
      <c r="D4622" t="s">
        <v>3377</v>
      </c>
      <c r="F4622">
        <v>0</v>
      </c>
      <c r="G4622">
        <v>0</v>
      </c>
      <c r="H4622">
        <v>0</v>
      </c>
      <c r="I4622">
        <v>0</v>
      </c>
      <c r="J4622">
        <v>0</v>
      </c>
      <c r="P4622">
        <v>19</v>
      </c>
      <c r="Q4622" t="s">
        <v>9590</v>
      </c>
    </row>
    <row r="4623" spans="1:17" x14ac:dyDescent="0.3">
      <c r="A4623" t="s">
        <v>4729</v>
      </c>
      <c r="B4623" t="str">
        <f>"300835"</f>
        <v>300835</v>
      </c>
      <c r="C4623" t="s">
        <v>9591</v>
      </c>
      <c r="D4623" t="s">
        <v>808</v>
      </c>
      <c r="F4623">
        <v>201552926</v>
      </c>
      <c r="G4623">
        <v>187764622</v>
      </c>
      <c r="H4623">
        <v>153926804</v>
      </c>
      <c r="I4623">
        <v>126504274</v>
      </c>
      <c r="J4623">
        <v>120040148</v>
      </c>
      <c r="P4623">
        <v>67</v>
      </c>
      <c r="Q4623" t="s">
        <v>9592</v>
      </c>
    </row>
    <row r="4624" spans="1:17" x14ac:dyDescent="0.3">
      <c r="A4624" t="s">
        <v>4729</v>
      </c>
      <c r="B4624" t="str">
        <f>"300836"</f>
        <v>300836</v>
      </c>
      <c r="C4624" t="s">
        <v>9593</v>
      </c>
      <c r="D4624" t="s">
        <v>741</v>
      </c>
      <c r="F4624">
        <v>317288829</v>
      </c>
      <c r="G4624">
        <v>265652934</v>
      </c>
      <c r="H4624">
        <v>266331133</v>
      </c>
      <c r="I4624">
        <v>123843150</v>
      </c>
      <c r="J4624">
        <v>139778254</v>
      </c>
      <c r="P4624">
        <v>61</v>
      </c>
      <c r="Q4624" t="s">
        <v>9594</v>
      </c>
    </row>
    <row r="4625" spans="1:17" x14ac:dyDescent="0.3">
      <c r="A4625" t="s">
        <v>4729</v>
      </c>
      <c r="B4625" t="str">
        <f>"300837"</f>
        <v>300837</v>
      </c>
      <c r="C4625" t="s">
        <v>9595</v>
      </c>
      <c r="D4625" t="s">
        <v>395</v>
      </c>
      <c r="F4625">
        <v>98711988</v>
      </c>
      <c r="G4625">
        <v>101964236</v>
      </c>
      <c r="H4625">
        <v>71849441</v>
      </c>
      <c r="I4625">
        <v>73826196</v>
      </c>
      <c r="J4625">
        <v>73883603</v>
      </c>
      <c r="P4625">
        <v>154</v>
      </c>
      <c r="Q4625" t="s">
        <v>9596</v>
      </c>
    </row>
    <row r="4626" spans="1:17" x14ac:dyDescent="0.3">
      <c r="A4626" t="s">
        <v>4729</v>
      </c>
      <c r="B4626" t="str">
        <f>"300838"</f>
        <v>300838</v>
      </c>
      <c r="C4626" t="s">
        <v>9597</v>
      </c>
      <c r="D4626" t="s">
        <v>274</v>
      </c>
      <c r="F4626">
        <v>369158003</v>
      </c>
      <c r="G4626">
        <v>272676502</v>
      </c>
      <c r="H4626">
        <v>259222393</v>
      </c>
      <c r="I4626">
        <v>205963980</v>
      </c>
      <c r="J4626">
        <v>143790730</v>
      </c>
      <c r="P4626">
        <v>39</v>
      </c>
      <c r="Q4626" t="s">
        <v>9598</v>
      </c>
    </row>
    <row r="4627" spans="1:17" x14ac:dyDescent="0.3">
      <c r="A4627" t="s">
        <v>4729</v>
      </c>
      <c r="B4627" t="str">
        <f>"300839"</f>
        <v>300839</v>
      </c>
      <c r="C4627" t="s">
        <v>9599</v>
      </c>
      <c r="D4627" t="s">
        <v>1617</v>
      </c>
      <c r="F4627">
        <v>616792</v>
      </c>
      <c r="G4627">
        <v>463419</v>
      </c>
      <c r="H4627">
        <v>645649</v>
      </c>
      <c r="I4627">
        <v>937589</v>
      </c>
      <c r="J4627">
        <v>606169</v>
      </c>
      <c r="P4627">
        <v>58</v>
      </c>
      <c r="Q4627" t="s">
        <v>9600</v>
      </c>
    </row>
    <row r="4628" spans="1:17" x14ac:dyDescent="0.3">
      <c r="A4628" t="s">
        <v>4729</v>
      </c>
      <c r="B4628" t="str">
        <f>"300840"</f>
        <v>300840</v>
      </c>
      <c r="C4628" t="s">
        <v>9601</v>
      </c>
      <c r="D4628" t="s">
        <v>255</v>
      </c>
      <c r="F4628">
        <v>35429894</v>
      </c>
      <c r="G4628">
        <v>28013177</v>
      </c>
      <c r="H4628">
        <v>42364082</v>
      </c>
      <c r="I4628">
        <v>36783909</v>
      </c>
      <c r="J4628">
        <v>38280690</v>
      </c>
      <c r="K4628">
        <v>0</v>
      </c>
      <c r="P4628">
        <v>64</v>
      </c>
      <c r="Q4628" t="s">
        <v>9602</v>
      </c>
    </row>
    <row r="4629" spans="1:17" x14ac:dyDescent="0.3">
      <c r="A4629" t="s">
        <v>4729</v>
      </c>
      <c r="B4629" t="str">
        <f>"300841"</f>
        <v>300841</v>
      </c>
      <c r="C4629" t="s">
        <v>9603</v>
      </c>
      <c r="D4629" t="s">
        <v>1499</v>
      </c>
      <c r="F4629">
        <v>837176660</v>
      </c>
      <c r="G4629">
        <v>352683146</v>
      </c>
      <c r="H4629">
        <v>276487297</v>
      </c>
      <c r="I4629">
        <v>251159074</v>
      </c>
      <c r="J4629">
        <v>105228134</v>
      </c>
      <c r="K4629">
        <v>0</v>
      </c>
      <c r="P4629">
        <v>314</v>
      </c>
      <c r="Q4629" t="s">
        <v>9604</v>
      </c>
    </row>
    <row r="4630" spans="1:17" x14ac:dyDescent="0.3">
      <c r="A4630" t="s">
        <v>4729</v>
      </c>
      <c r="B4630" t="str">
        <f>"300842"</f>
        <v>300842</v>
      </c>
      <c r="C4630" t="s">
        <v>9605</v>
      </c>
      <c r="D4630" t="s">
        <v>478</v>
      </c>
      <c r="F4630">
        <v>651357950</v>
      </c>
      <c r="G4630">
        <v>510236241</v>
      </c>
      <c r="H4630">
        <v>269538364</v>
      </c>
      <c r="I4630">
        <v>195281931</v>
      </c>
      <c r="J4630">
        <v>127568366</v>
      </c>
      <c r="K4630">
        <v>49555056</v>
      </c>
      <c r="P4630">
        <v>130</v>
      </c>
      <c r="Q4630" t="s">
        <v>9606</v>
      </c>
    </row>
    <row r="4631" spans="1:17" x14ac:dyDescent="0.3">
      <c r="A4631" t="s">
        <v>4729</v>
      </c>
      <c r="B4631" t="str">
        <f>"300843"</f>
        <v>300843</v>
      </c>
      <c r="C4631" t="s">
        <v>9607</v>
      </c>
      <c r="D4631" t="s">
        <v>313</v>
      </c>
      <c r="F4631">
        <v>523215000</v>
      </c>
      <c r="G4631">
        <v>453124743</v>
      </c>
      <c r="H4631">
        <v>305053847</v>
      </c>
      <c r="I4631">
        <v>242203397</v>
      </c>
      <c r="J4631">
        <v>186936956</v>
      </c>
      <c r="K4631">
        <v>176891458</v>
      </c>
      <c r="P4631">
        <v>80</v>
      </c>
      <c r="Q4631" t="s">
        <v>9608</v>
      </c>
    </row>
    <row r="4632" spans="1:17" x14ac:dyDescent="0.3">
      <c r="A4632" t="s">
        <v>4729</v>
      </c>
      <c r="B4632" t="str">
        <f>"300844"</f>
        <v>300844</v>
      </c>
      <c r="C4632" t="s">
        <v>9609</v>
      </c>
      <c r="D4632" t="s">
        <v>1272</v>
      </c>
      <c r="F4632">
        <v>343968606</v>
      </c>
      <c r="G4632">
        <v>191765639</v>
      </c>
      <c r="H4632">
        <v>149911311</v>
      </c>
      <c r="I4632">
        <v>87487267</v>
      </c>
      <c r="J4632">
        <v>48572889</v>
      </c>
      <c r="P4632">
        <v>16</v>
      </c>
      <c r="Q4632" t="s">
        <v>9610</v>
      </c>
    </row>
    <row r="4633" spans="1:17" x14ac:dyDescent="0.3">
      <c r="A4633" t="s">
        <v>4729</v>
      </c>
      <c r="B4633" t="str">
        <f>"300845"</f>
        <v>300845</v>
      </c>
      <c r="C4633" t="s">
        <v>9611</v>
      </c>
      <c r="D4633" t="s">
        <v>236</v>
      </c>
      <c r="F4633">
        <v>216272413</v>
      </c>
      <c r="G4633">
        <v>192702140</v>
      </c>
      <c r="H4633">
        <v>156155653</v>
      </c>
      <c r="I4633">
        <v>121256253</v>
      </c>
      <c r="J4633">
        <v>97589782</v>
      </c>
      <c r="K4633">
        <v>56236633</v>
      </c>
      <c r="P4633">
        <v>83</v>
      </c>
      <c r="Q4633" t="s">
        <v>9612</v>
      </c>
    </row>
    <row r="4634" spans="1:17" x14ac:dyDescent="0.3">
      <c r="A4634" t="s">
        <v>4729</v>
      </c>
      <c r="B4634" t="str">
        <f>"300846"</f>
        <v>300846</v>
      </c>
      <c r="C4634" t="s">
        <v>9613</v>
      </c>
      <c r="D4634" t="s">
        <v>316</v>
      </c>
      <c r="F4634">
        <v>263812925</v>
      </c>
      <c r="G4634">
        <v>191476966</v>
      </c>
      <c r="H4634">
        <v>135218239</v>
      </c>
      <c r="I4634">
        <v>100133419</v>
      </c>
      <c r="J4634">
        <v>79216907</v>
      </c>
      <c r="K4634">
        <v>65190204</v>
      </c>
      <c r="P4634">
        <v>78</v>
      </c>
      <c r="Q4634" t="s">
        <v>9614</v>
      </c>
    </row>
    <row r="4635" spans="1:17" x14ac:dyDescent="0.3">
      <c r="A4635" t="s">
        <v>4729</v>
      </c>
      <c r="B4635" t="str">
        <f>"300847"</f>
        <v>300847</v>
      </c>
      <c r="C4635" t="s">
        <v>9615</v>
      </c>
      <c r="D4635" t="s">
        <v>386</v>
      </c>
      <c r="F4635">
        <v>134374053</v>
      </c>
      <c r="G4635">
        <v>119834584</v>
      </c>
      <c r="H4635">
        <v>115006040</v>
      </c>
      <c r="I4635">
        <v>111621360</v>
      </c>
      <c r="J4635">
        <v>105021294</v>
      </c>
      <c r="K4635">
        <v>88591990</v>
      </c>
      <c r="P4635">
        <v>53</v>
      </c>
      <c r="Q4635" t="s">
        <v>9616</v>
      </c>
    </row>
    <row r="4636" spans="1:17" x14ac:dyDescent="0.3">
      <c r="A4636" t="s">
        <v>4729</v>
      </c>
      <c r="B4636" t="str">
        <f>"300848"</f>
        <v>300848</v>
      </c>
      <c r="C4636" t="s">
        <v>9617</v>
      </c>
      <c r="D4636" t="s">
        <v>528</v>
      </c>
      <c r="F4636">
        <v>41709279</v>
      </c>
      <c r="G4636">
        <v>17444774</v>
      </c>
      <c r="H4636">
        <v>14045352</v>
      </c>
      <c r="I4636">
        <v>13171016</v>
      </c>
      <c r="J4636">
        <v>7954367</v>
      </c>
      <c r="K4636">
        <v>3870312</v>
      </c>
      <c r="P4636">
        <v>125</v>
      </c>
      <c r="Q4636" t="s">
        <v>9618</v>
      </c>
    </row>
    <row r="4637" spans="1:17" x14ac:dyDescent="0.3">
      <c r="A4637" t="s">
        <v>4729</v>
      </c>
      <c r="B4637" t="str">
        <f>"300849"</f>
        <v>300849</v>
      </c>
      <c r="C4637" t="s">
        <v>9619</v>
      </c>
      <c r="D4637" t="s">
        <v>5979</v>
      </c>
      <c r="F4637">
        <v>74667445</v>
      </c>
      <c r="G4637">
        <v>70324799</v>
      </c>
      <c r="H4637">
        <v>72578436</v>
      </c>
      <c r="I4637">
        <v>61292159</v>
      </c>
      <c r="J4637">
        <v>42998974</v>
      </c>
      <c r="K4637">
        <v>50796540</v>
      </c>
      <c r="P4637">
        <v>44</v>
      </c>
      <c r="Q4637" t="s">
        <v>9620</v>
      </c>
    </row>
    <row r="4638" spans="1:17" x14ac:dyDescent="0.3">
      <c r="A4638" t="s">
        <v>4729</v>
      </c>
      <c r="B4638" t="str">
        <f>"300850"</f>
        <v>300850</v>
      </c>
      <c r="C4638" t="s">
        <v>9621</v>
      </c>
      <c r="D4638" t="s">
        <v>950</v>
      </c>
      <c r="F4638">
        <v>908232908</v>
      </c>
      <c r="G4638">
        <v>400756557</v>
      </c>
      <c r="H4638">
        <v>314488994</v>
      </c>
      <c r="I4638">
        <v>278208692</v>
      </c>
      <c r="J4638">
        <v>221391219</v>
      </c>
      <c r="K4638">
        <v>221300414</v>
      </c>
      <c r="P4638">
        <v>264</v>
      </c>
      <c r="Q4638" t="s">
        <v>9622</v>
      </c>
    </row>
    <row r="4639" spans="1:17" x14ac:dyDescent="0.3">
      <c r="A4639" t="s">
        <v>4729</v>
      </c>
      <c r="B4639" t="str">
        <f>"300851"</f>
        <v>300851</v>
      </c>
      <c r="C4639" t="s">
        <v>9623</v>
      </c>
      <c r="D4639" t="s">
        <v>1012</v>
      </c>
      <c r="F4639">
        <v>217202058</v>
      </c>
      <c r="G4639">
        <v>153847673</v>
      </c>
      <c r="H4639">
        <v>171233868</v>
      </c>
      <c r="I4639">
        <v>130355335</v>
      </c>
      <c r="J4639">
        <v>76060848</v>
      </c>
      <c r="K4639">
        <v>86535301</v>
      </c>
      <c r="P4639">
        <v>45</v>
      </c>
      <c r="Q4639" t="s">
        <v>9624</v>
      </c>
    </row>
    <row r="4640" spans="1:17" x14ac:dyDescent="0.3">
      <c r="A4640" t="s">
        <v>4729</v>
      </c>
      <c r="B4640" t="str">
        <f>"300852"</f>
        <v>300852</v>
      </c>
      <c r="C4640" t="s">
        <v>9625</v>
      </c>
      <c r="D4640" t="s">
        <v>425</v>
      </c>
      <c r="F4640">
        <v>213397674</v>
      </c>
      <c r="G4640">
        <v>142825763</v>
      </c>
      <c r="H4640">
        <v>100985998</v>
      </c>
      <c r="I4640">
        <v>79422625</v>
      </c>
      <c r="J4640">
        <v>53488325</v>
      </c>
      <c r="K4640">
        <v>39814846</v>
      </c>
      <c r="P4640">
        <v>103</v>
      </c>
      <c r="Q4640" t="s">
        <v>9626</v>
      </c>
    </row>
    <row r="4641" spans="1:17" x14ac:dyDescent="0.3">
      <c r="A4641" t="s">
        <v>4729</v>
      </c>
      <c r="B4641" t="str">
        <f>"300853"</f>
        <v>300853</v>
      </c>
      <c r="C4641" t="s">
        <v>9627</v>
      </c>
      <c r="D4641" t="s">
        <v>2938</v>
      </c>
      <c r="F4641">
        <v>690292871</v>
      </c>
      <c r="G4641">
        <v>361612159</v>
      </c>
      <c r="H4641">
        <v>279304412</v>
      </c>
      <c r="I4641">
        <v>209621988</v>
      </c>
      <c r="J4641">
        <v>93617563</v>
      </c>
      <c r="K4641">
        <v>79542755</v>
      </c>
      <c r="P4641">
        <v>142</v>
      </c>
      <c r="Q4641" t="s">
        <v>9628</v>
      </c>
    </row>
    <row r="4642" spans="1:17" x14ac:dyDescent="0.3">
      <c r="A4642" t="s">
        <v>4729</v>
      </c>
      <c r="B4642" t="str">
        <f>"300854"</f>
        <v>300854</v>
      </c>
      <c r="C4642" t="s">
        <v>9629</v>
      </c>
      <c r="D4642" t="s">
        <v>499</v>
      </c>
      <c r="F4642">
        <v>375752787</v>
      </c>
      <c r="G4642">
        <v>291313565</v>
      </c>
      <c r="H4642">
        <v>333966922</v>
      </c>
      <c r="I4642">
        <v>255651412</v>
      </c>
      <c r="J4642">
        <v>197467888</v>
      </c>
      <c r="P4642">
        <v>19</v>
      </c>
      <c r="Q4642" t="s">
        <v>9630</v>
      </c>
    </row>
    <row r="4643" spans="1:17" x14ac:dyDescent="0.3">
      <c r="A4643" t="s">
        <v>4729</v>
      </c>
      <c r="B4643" t="str">
        <f>"300855"</f>
        <v>300855</v>
      </c>
      <c r="C4643" t="s">
        <v>9631</v>
      </c>
      <c r="D4643" t="s">
        <v>581</v>
      </c>
      <c r="F4643">
        <v>26255834</v>
      </c>
      <c r="G4643">
        <v>32256280</v>
      </c>
      <c r="H4643">
        <v>27532345</v>
      </c>
      <c r="I4643">
        <v>43965923</v>
      </c>
      <c r="J4643">
        <v>31903874</v>
      </c>
      <c r="K4643">
        <v>60063923</v>
      </c>
      <c r="P4643">
        <v>139</v>
      </c>
      <c r="Q4643" t="s">
        <v>9632</v>
      </c>
    </row>
    <row r="4644" spans="1:17" x14ac:dyDescent="0.3">
      <c r="A4644" t="s">
        <v>4729</v>
      </c>
      <c r="B4644" t="str">
        <f>"300856"</f>
        <v>300856</v>
      </c>
      <c r="C4644" t="s">
        <v>9633</v>
      </c>
      <c r="D4644" t="s">
        <v>5979</v>
      </c>
      <c r="F4644">
        <v>165789111</v>
      </c>
      <c r="G4644">
        <v>139227314</v>
      </c>
      <c r="H4644">
        <v>105358526</v>
      </c>
      <c r="I4644">
        <v>105825034</v>
      </c>
      <c r="J4644">
        <v>97139319</v>
      </c>
      <c r="K4644">
        <v>64022323</v>
      </c>
      <c r="P4644">
        <v>131</v>
      </c>
      <c r="Q4644" t="s">
        <v>9634</v>
      </c>
    </row>
    <row r="4645" spans="1:17" x14ac:dyDescent="0.3">
      <c r="A4645" t="s">
        <v>4729</v>
      </c>
      <c r="B4645" t="str">
        <f>"300857"</f>
        <v>300857</v>
      </c>
      <c r="C4645" t="s">
        <v>9635</v>
      </c>
      <c r="D4645" t="s">
        <v>313</v>
      </c>
      <c r="F4645">
        <v>672917921</v>
      </c>
      <c r="G4645">
        <v>484708944</v>
      </c>
      <c r="H4645">
        <v>434678814</v>
      </c>
      <c r="I4645">
        <v>406888641</v>
      </c>
      <c r="J4645">
        <v>438927965</v>
      </c>
      <c r="K4645">
        <v>237176551</v>
      </c>
      <c r="P4645">
        <v>59</v>
      </c>
      <c r="Q4645" t="s">
        <v>9636</v>
      </c>
    </row>
    <row r="4646" spans="1:17" x14ac:dyDescent="0.3">
      <c r="A4646" t="s">
        <v>4729</v>
      </c>
      <c r="B4646" t="str">
        <f>"300858"</f>
        <v>300858</v>
      </c>
      <c r="C4646" t="s">
        <v>9637</v>
      </c>
      <c r="D4646" t="s">
        <v>677</v>
      </c>
      <c r="F4646">
        <v>115087170</v>
      </c>
      <c r="G4646">
        <v>119871717</v>
      </c>
      <c r="H4646">
        <v>102490410</v>
      </c>
      <c r="I4646">
        <v>107306667</v>
      </c>
      <c r="J4646">
        <v>90097485</v>
      </c>
      <c r="P4646">
        <v>75</v>
      </c>
      <c r="Q4646" t="s">
        <v>9638</v>
      </c>
    </row>
    <row r="4647" spans="1:17" x14ac:dyDescent="0.3">
      <c r="A4647" t="s">
        <v>4729</v>
      </c>
      <c r="B4647" t="str">
        <f>"300859"</f>
        <v>300859</v>
      </c>
      <c r="C4647" t="s">
        <v>9639</v>
      </c>
      <c r="D4647" t="s">
        <v>119</v>
      </c>
      <c r="F4647">
        <v>1828484</v>
      </c>
      <c r="G4647">
        <v>1994735</v>
      </c>
      <c r="H4647">
        <v>1383534</v>
      </c>
      <c r="I4647">
        <v>658762</v>
      </c>
      <c r="J4647">
        <v>19503</v>
      </c>
      <c r="K4647">
        <v>382020</v>
      </c>
      <c r="L4647">
        <v>1865404</v>
      </c>
      <c r="P4647">
        <v>69</v>
      </c>
      <c r="Q4647" t="s">
        <v>9640</v>
      </c>
    </row>
    <row r="4648" spans="1:17" x14ac:dyDescent="0.3">
      <c r="A4648" t="s">
        <v>4729</v>
      </c>
      <c r="B4648" t="str">
        <f>"300860"</f>
        <v>300860</v>
      </c>
      <c r="C4648" t="s">
        <v>9641</v>
      </c>
      <c r="D4648" t="s">
        <v>1673</v>
      </c>
      <c r="F4648">
        <v>443196303</v>
      </c>
      <c r="G4648">
        <v>363908221</v>
      </c>
      <c r="H4648">
        <v>157317127</v>
      </c>
      <c r="I4648">
        <v>97120532</v>
      </c>
      <c r="J4648">
        <v>42965948</v>
      </c>
      <c r="K4648">
        <v>13258647</v>
      </c>
      <c r="L4648">
        <v>10062013</v>
      </c>
      <c r="P4648">
        <v>95</v>
      </c>
      <c r="Q4648" t="s">
        <v>9642</v>
      </c>
    </row>
    <row r="4649" spans="1:17" x14ac:dyDescent="0.3">
      <c r="A4649" t="s">
        <v>4729</v>
      </c>
      <c r="B4649" t="str">
        <f>"300861"</f>
        <v>300861</v>
      </c>
      <c r="C4649" t="s">
        <v>9643</v>
      </c>
      <c r="D4649" t="s">
        <v>404</v>
      </c>
      <c r="F4649">
        <v>287582937</v>
      </c>
      <c r="G4649">
        <v>244298013</v>
      </c>
      <c r="H4649">
        <v>167877795</v>
      </c>
      <c r="I4649">
        <v>212934852</v>
      </c>
      <c r="J4649">
        <v>261689271</v>
      </c>
      <c r="K4649">
        <v>0</v>
      </c>
      <c r="L4649">
        <v>0</v>
      </c>
      <c r="P4649">
        <v>147</v>
      </c>
      <c r="Q4649" t="s">
        <v>9644</v>
      </c>
    </row>
    <row r="4650" spans="1:17" x14ac:dyDescent="0.3">
      <c r="A4650" t="s">
        <v>4729</v>
      </c>
      <c r="B4650" t="str">
        <f>"300862"</f>
        <v>300862</v>
      </c>
      <c r="C4650" t="s">
        <v>9645</v>
      </c>
      <c r="D4650" t="s">
        <v>2566</v>
      </c>
      <c r="F4650">
        <v>362263355</v>
      </c>
      <c r="G4650">
        <v>320672019</v>
      </c>
      <c r="H4650">
        <v>314579883</v>
      </c>
      <c r="I4650">
        <v>195193068</v>
      </c>
      <c r="J4650">
        <v>190590519</v>
      </c>
      <c r="K4650">
        <v>190854715</v>
      </c>
      <c r="P4650">
        <v>68</v>
      </c>
      <c r="Q4650" t="s">
        <v>9646</v>
      </c>
    </row>
    <row r="4651" spans="1:17" x14ac:dyDescent="0.3">
      <c r="A4651" t="s">
        <v>4729</v>
      </c>
      <c r="B4651" t="str">
        <f>"300863"</f>
        <v>300863</v>
      </c>
      <c r="C4651" t="s">
        <v>9647</v>
      </c>
      <c r="D4651" t="s">
        <v>1415</v>
      </c>
      <c r="F4651">
        <v>714253008</v>
      </c>
      <c r="G4651">
        <v>463855868</v>
      </c>
      <c r="H4651">
        <v>251653267</v>
      </c>
      <c r="I4651">
        <v>212384602</v>
      </c>
      <c r="J4651">
        <v>245955810</v>
      </c>
      <c r="K4651">
        <v>200198476</v>
      </c>
      <c r="P4651">
        <v>75</v>
      </c>
      <c r="Q4651" t="s">
        <v>9648</v>
      </c>
    </row>
    <row r="4652" spans="1:17" x14ac:dyDescent="0.3">
      <c r="A4652" t="s">
        <v>4729</v>
      </c>
      <c r="B4652" t="str">
        <f>"300864"</f>
        <v>300864</v>
      </c>
      <c r="C4652" t="s">
        <v>9649</v>
      </c>
      <c r="D4652" t="s">
        <v>3575</v>
      </c>
      <c r="F4652">
        <v>147778493</v>
      </c>
      <c r="G4652">
        <v>148328182</v>
      </c>
      <c r="H4652">
        <v>84809089</v>
      </c>
      <c r="I4652">
        <v>64521015</v>
      </c>
      <c r="J4652">
        <v>21109367</v>
      </c>
      <c r="K4652">
        <v>24679100</v>
      </c>
      <c r="P4652">
        <v>121</v>
      </c>
      <c r="Q4652" t="s">
        <v>9650</v>
      </c>
    </row>
    <row r="4653" spans="1:17" x14ac:dyDescent="0.3">
      <c r="A4653" t="s">
        <v>4729</v>
      </c>
      <c r="B4653" t="str">
        <f>"300865"</f>
        <v>300865</v>
      </c>
      <c r="C4653" t="s">
        <v>9651</v>
      </c>
      <c r="D4653" t="s">
        <v>395</v>
      </c>
      <c r="F4653">
        <v>125399351</v>
      </c>
      <c r="G4653">
        <v>62643493</v>
      </c>
      <c r="H4653">
        <v>25092148</v>
      </c>
      <c r="I4653">
        <v>22886308</v>
      </c>
      <c r="J4653">
        <v>26156212</v>
      </c>
      <c r="K4653">
        <v>21477741</v>
      </c>
      <c r="P4653">
        <v>43</v>
      </c>
      <c r="Q4653" t="s">
        <v>9652</v>
      </c>
    </row>
    <row r="4654" spans="1:17" x14ac:dyDescent="0.3">
      <c r="A4654" t="s">
        <v>4729</v>
      </c>
      <c r="B4654" t="str">
        <f>"300866"</f>
        <v>300866</v>
      </c>
      <c r="C4654" t="s">
        <v>9653</v>
      </c>
      <c r="D4654" t="s">
        <v>3526</v>
      </c>
      <c r="F4654">
        <v>1091712075</v>
      </c>
      <c r="G4654">
        <v>867665467</v>
      </c>
      <c r="H4654">
        <v>504290526</v>
      </c>
      <c r="I4654">
        <v>347922545</v>
      </c>
      <c r="J4654">
        <v>224387775</v>
      </c>
      <c r="K4654">
        <v>118632426</v>
      </c>
      <c r="P4654">
        <v>311</v>
      </c>
      <c r="Q4654" t="s">
        <v>9654</v>
      </c>
    </row>
    <row r="4655" spans="1:17" x14ac:dyDescent="0.3">
      <c r="A4655" t="s">
        <v>4729</v>
      </c>
      <c r="B4655" t="str">
        <f>"300867"</f>
        <v>300867</v>
      </c>
      <c r="C4655" t="s">
        <v>9655</v>
      </c>
      <c r="D4655" t="s">
        <v>499</v>
      </c>
      <c r="F4655">
        <v>872237816</v>
      </c>
      <c r="G4655">
        <v>441597517</v>
      </c>
      <c r="H4655">
        <v>264531086</v>
      </c>
      <c r="I4655">
        <v>172742239</v>
      </c>
      <c r="J4655">
        <v>118105802</v>
      </c>
      <c r="K4655">
        <v>84527993</v>
      </c>
      <c r="P4655">
        <v>103</v>
      </c>
      <c r="Q4655" t="s">
        <v>9656</v>
      </c>
    </row>
    <row r="4656" spans="1:17" x14ac:dyDescent="0.3">
      <c r="A4656" t="s">
        <v>4729</v>
      </c>
      <c r="B4656" t="str">
        <f>"300868"</f>
        <v>300868</v>
      </c>
      <c r="C4656" t="s">
        <v>9657</v>
      </c>
      <c r="D4656" t="s">
        <v>651</v>
      </c>
      <c r="F4656">
        <v>238674695</v>
      </c>
      <c r="G4656">
        <v>260848589</v>
      </c>
      <c r="H4656">
        <v>229685141</v>
      </c>
      <c r="I4656">
        <v>234357406</v>
      </c>
      <c r="J4656">
        <v>171689972</v>
      </c>
      <c r="K4656">
        <v>133104490</v>
      </c>
      <c r="P4656">
        <v>40</v>
      </c>
      <c r="Q4656" t="s">
        <v>9658</v>
      </c>
    </row>
    <row r="4657" spans="1:17" x14ac:dyDescent="0.3">
      <c r="A4657" t="s">
        <v>4729</v>
      </c>
      <c r="B4657" t="str">
        <f>"300869"</f>
        <v>300869</v>
      </c>
      <c r="C4657" t="s">
        <v>9659</v>
      </c>
      <c r="D4657" t="s">
        <v>122</v>
      </c>
      <c r="F4657">
        <v>66207631</v>
      </c>
      <c r="G4657">
        <v>101666505</v>
      </c>
      <c r="H4657">
        <v>54031070</v>
      </c>
      <c r="I4657">
        <v>31832420</v>
      </c>
      <c r="J4657">
        <v>19841305</v>
      </c>
      <c r="K4657">
        <v>29412931</v>
      </c>
      <c r="L4657">
        <v>31155547</v>
      </c>
      <c r="P4657">
        <v>174</v>
      </c>
      <c r="Q4657" t="s">
        <v>9660</v>
      </c>
    </row>
    <row r="4658" spans="1:17" x14ac:dyDescent="0.3">
      <c r="A4658" t="s">
        <v>4729</v>
      </c>
      <c r="B4658" t="str">
        <f>"300870"</f>
        <v>300870</v>
      </c>
      <c r="C4658" t="s">
        <v>9661</v>
      </c>
      <c r="D4658" t="s">
        <v>880</v>
      </c>
      <c r="F4658">
        <v>796503991</v>
      </c>
      <c r="G4658">
        <v>690687245</v>
      </c>
      <c r="H4658">
        <v>435658887</v>
      </c>
      <c r="I4658">
        <v>309076310</v>
      </c>
      <c r="J4658">
        <v>250991737</v>
      </c>
      <c r="K4658">
        <v>186901144</v>
      </c>
      <c r="P4658">
        <v>131</v>
      </c>
      <c r="Q4658" t="s">
        <v>9662</v>
      </c>
    </row>
    <row r="4659" spans="1:17" x14ac:dyDescent="0.3">
      <c r="A4659" t="s">
        <v>4729</v>
      </c>
      <c r="B4659" t="str">
        <f>"300871"</f>
        <v>300871</v>
      </c>
      <c r="C4659" t="s">
        <v>9663</v>
      </c>
      <c r="D4659" t="s">
        <v>453</v>
      </c>
      <c r="F4659">
        <v>231856552</v>
      </c>
      <c r="G4659">
        <v>201656971</v>
      </c>
      <c r="H4659">
        <v>98163200</v>
      </c>
      <c r="I4659">
        <v>77431782</v>
      </c>
      <c r="J4659">
        <v>40408288</v>
      </c>
      <c r="K4659">
        <v>26642000</v>
      </c>
      <c r="P4659">
        <v>83</v>
      </c>
      <c r="Q4659" t="s">
        <v>9664</v>
      </c>
    </row>
    <row r="4660" spans="1:17" x14ac:dyDescent="0.3">
      <c r="A4660" t="s">
        <v>4729</v>
      </c>
      <c r="B4660" t="str">
        <f>"300872"</f>
        <v>300872</v>
      </c>
      <c r="C4660" t="s">
        <v>9665</v>
      </c>
      <c r="D4660" t="s">
        <v>316</v>
      </c>
      <c r="F4660">
        <v>1253326122</v>
      </c>
      <c r="G4660">
        <v>911693673</v>
      </c>
      <c r="H4660">
        <v>736554413</v>
      </c>
      <c r="I4660">
        <v>604212129</v>
      </c>
      <c r="J4660">
        <v>467305327</v>
      </c>
      <c r="P4660">
        <v>74</v>
      </c>
      <c r="Q4660" t="s">
        <v>9666</v>
      </c>
    </row>
    <row r="4661" spans="1:17" x14ac:dyDescent="0.3">
      <c r="A4661" t="s">
        <v>4729</v>
      </c>
      <c r="B4661" t="str">
        <f>"300873"</f>
        <v>300873</v>
      </c>
      <c r="C4661" t="s">
        <v>9667</v>
      </c>
      <c r="D4661" t="s">
        <v>3125</v>
      </c>
      <c r="F4661">
        <v>363555303</v>
      </c>
      <c r="G4661">
        <v>276638759</v>
      </c>
      <c r="H4661">
        <v>215524428</v>
      </c>
      <c r="I4661">
        <v>191891872</v>
      </c>
      <c r="J4661">
        <v>157053677</v>
      </c>
      <c r="K4661">
        <v>147790809</v>
      </c>
      <c r="P4661">
        <v>88</v>
      </c>
      <c r="Q4661" t="s">
        <v>9668</v>
      </c>
    </row>
    <row r="4662" spans="1:17" x14ac:dyDescent="0.3">
      <c r="A4662" t="s">
        <v>4729</v>
      </c>
      <c r="B4662" t="str">
        <f>"300875"</f>
        <v>300875</v>
      </c>
      <c r="C4662" t="s">
        <v>9669</v>
      </c>
      <c r="D4662" t="s">
        <v>428</v>
      </c>
      <c r="F4662">
        <v>166111879</v>
      </c>
      <c r="G4662">
        <v>248808040</v>
      </c>
      <c r="H4662">
        <v>102292308</v>
      </c>
      <c r="I4662">
        <v>159788163</v>
      </c>
      <c r="J4662">
        <v>38031807</v>
      </c>
      <c r="K4662">
        <v>7760136</v>
      </c>
      <c r="P4662">
        <v>106</v>
      </c>
      <c r="Q4662" t="s">
        <v>9670</v>
      </c>
    </row>
    <row r="4663" spans="1:17" x14ac:dyDescent="0.3">
      <c r="A4663" t="s">
        <v>4729</v>
      </c>
      <c r="B4663" t="str">
        <f>"300876"</f>
        <v>300876</v>
      </c>
      <c r="C4663" t="s">
        <v>9671</v>
      </c>
      <c r="D4663" t="s">
        <v>146</v>
      </c>
      <c r="F4663">
        <v>63846925</v>
      </c>
      <c r="G4663">
        <v>51171941</v>
      </c>
      <c r="H4663">
        <v>47846400</v>
      </c>
      <c r="I4663">
        <v>48890145</v>
      </c>
      <c r="J4663">
        <v>47388643</v>
      </c>
      <c r="P4663">
        <v>67</v>
      </c>
      <c r="Q4663" t="s">
        <v>9672</v>
      </c>
    </row>
    <row r="4664" spans="1:17" x14ac:dyDescent="0.3">
      <c r="A4664" t="s">
        <v>4729</v>
      </c>
      <c r="B4664" t="str">
        <f>"300877"</f>
        <v>300877</v>
      </c>
      <c r="C4664" t="s">
        <v>9673</v>
      </c>
      <c r="D4664" t="s">
        <v>366</v>
      </c>
      <c r="F4664">
        <v>102610168</v>
      </c>
      <c r="G4664">
        <v>51568336</v>
      </c>
      <c r="H4664">
        <v>46912585</v>
      </c>
      <c r="I4664">
        <v>48404202</v>
      </c>
      <c r="J4664">
        <v>29202549</v>
      </c>
      <c r="K4664">
        <v>14651958</v>
      </c>
      <c r="P4664">
        <v>75</v>
      </c>
      <c r="Q4664" t="s">
        <v>9674</v>
      </c>
    </row>
    <row r="4665" spans="1:17" x14ac:dyDescent="0.3">
      <c r="A4665" t="s">
        <v>4729</v>
      </c>
      <c r="B4665" t="str">
        <f>"300878"</f>
        <v>300878</v>
      </c>
      <c r="C4665" t="s">
        <v>9675</v>
      </c>
      <c r="D4665" t="s">
        <v>188</v>
      </c>
      <c r="F4665">
        <v>373660578</v>
      </c>
      <c r="G4665">
        <v>285253340</v>
      </c>
      <c r="H4665">
        <v>186244781</v>
      </c>
      <c r="I4665">
        <v>149150162</v>
      </c>
      <c r="J4665">
        <v>100006058</v>
      </c>
      <c r="P4665">
        <v>132</v>
      </c>
      <c r="Q4665" t="s">
        <v>9676</v>
      </c>
    </row>
    <row r="4666" spans="1:17" x14ac:dyDescent="0.3">
      <c r="A4666" t="s">
        <v>4729</v>
      </c>
      <c r="B4666" t="str">
        <f>"300879"</f>
        <v>300879</v>
      </c>
      <c r="C4666" t="s">
        <v>9677</v>
      </c>
      <c r="D4666" t="s">
        <v>741</v>
      </c>
      <c r="F4666">
        <v>423768882</v>
      </c>
      <c r="G4666">
        <v>191161180</v>
      </c>
      <c r="H4666">
        <v>333886941</v>
      </c>
      <c r="I4666">
        <v>168686258</v>
      </c>
      <c r="J4666">
        <v>142125435</v>
      </c>
      <c r="K4666">
        <v>122949023</v>
      </c>
      <c r="P4666">
        <v>52</v>
      </c>
      <c r="Q4666" t="s">
        <v>9678</v>
      </c>
    </row>
    <row r="4667" spans="1:17" x14ac:dyDescent="0.3">
      <c r="A4667" t="s">
        <v>4729</v>
      </c>
      <c r="B4667" t="str">
        <f>"300880"</f>
        <v>300880</v>
      </c>
      <c r="C4667" t="s">
        <v>9679</v>
      </c>
      <c r="D4667" t="s">
        <v>2180</v>
      </c>
      <c r="F4667">
        <v>288772637</v>
      </c>
      <c r="G4667">
        <v>209727970</v>
      </c>
      <c r="H4667">
        <v>222936045</v>
      </c>
      <c r="I4667">
        <v>243513412</v>
      </c>
      <c r="J4667">
        <v>180669709</v>
      </c>
      <c r="K4667">
        <v>140182490</v>
      </c>
      <c r="P4667">
        <v>55</v>
      </c>
      <c r="Q4667" t="s">
        <v>9680</v>
      </c>
    </row>
    <row r="4668" spans="1:17" x14ac:dyDescent="0.3">
      <c r="A4668" t="s">
        <v>4729</v>
      </c>
      <c r="B4668" t="str">
        <f>"300881"</f>
        <v>300881</v>
      </c>
      <c r="C4668" t="s">
        <v>9681</v>
      </c>
      <c r="D4668" t="s">
        <v>281</v>
      </c>
      <c r="F4668">
        <v>297812716</v>
      </c>
      <c r="G4668">
        <v>279808333</v>
      </c>
      <c r="H4668">
        <v>276494829</v>
      </c>
      <c r="I4668">
        <v>249265639</v>
      </c>
      <c r="J4668">
        <v>212258387</v>
      </c>
      <c r="K4668">
        <v>171671644</v>
      </c>
      <c r="P4668">
        <v>31</v>
      </c>
      <c r="Q4668" t="s">
        <v>9682</v>
      </c>
    </row>
    <row r="4669" spans="1:17" x14ac:dyDescent="0.3">
      <c r="A4669" t="s">
        <v>4729</v>
      </c>
      <c r="B4669" t="str">
        <f>"300882"</f>
        <v>300882</v>
      </c>
      <c r="C4669" t="s">
        <v>9683</v>
      </c>
      <c r="D4669" t="s">
        <v>2180</v>
      </c>
      <c r="F4669">
        <v>215832188</v>
      </c>
      <c r="G4669">
        <v>317376256</v>
      </c>
      <c r="H4669">
        <v>159635940</v>
      </c>
      <c r="I4669">
        <v>255664123</v>
      </c>
      <c r="J4669">
        <v>226346818</v>
      </c>
      <c r="K4669">
        <v>248941433</v>
      </c>
      <c r="P4669">
        <v>41</v>
      </c>
      <c r="Q4669" t="s">
        <v>9684</v>
      </c>
    </row>
    <row r="4670" spans="1:17" x14ac:dyDescent="0.3">
      <c r="A4670" t="s">
        <v>4729</v>
      </c>
      <c r="B4670" t="str">
        <f>"300883"</f>
        <v>300883</v>
      </c>
      <c r="C4670" t="s">
        <v>9685</v>
      </c>
      <c r="D4670" t="s">
        <v>2165</v>
      </c>
      <c r="F4670">
        <v>159760761</v>
      </c>
      <c r="G4670">
        <v>153178126</v>
      </c>
      <c r="H4670">
        <v>133333190</v>
      </c>
      <c r="I4670">
        <v>119040732</v>
      </c>
      <c r="J4670">
        <v>93499353</v>
      </c>
      <c r="K4670">
        <v>0</v>
      </c>
      <c r="P4670">
        <v>37</v>
      </c>
      <c r="Q4670" t="s">
        <v>9686</v>
      </c>
    </row>
    <row r="4671" spans="1:17" x14ac:dyDescent="0.3">
      <c r="A4671" t="s">
        <v>4729</v>
      </c>
      <c r="B4671" t="str">
        <f>"300884"</f>
        <v>300884</v>
      </c>
      <c r="C4671" t="s">
        <v>9687</v>
      </c>
      <c r="D4671" t="s">
        <v>2980</v>
      </c>
      <c r="F4671">
        <v>497112899</v>
      </c>
      <c r="G4671">
        <v>385217691</v>
      </c>
      <c r="H4671">
        <v>315629339</v>
      </c>
      <c r="I4671">
        <v>230920990</v>
      </c>
      <c r="J4671">
        <v>160974182</v>
      </c>
      <c r="K4671">
        <v>104928340</v>
      </c>
      <c r="P4671">
        <v>68</v>
      </c>
      <c r="Q4671" t="s">
        <v>9688</v>
      </c>
    </row>
    <row r="4672" spans="1:17" x14ac:dyDescent="0.3">
      <c r="A4672" t="s">
        <v>4729</v>
      </c>
      <c r="B4672" t="str">
        <f>"300885"</f>
        <v>300885</v>
      </c>
      <c r="C4672" t="s">
        <v>9689</v>
      </c>
      <c r="D4672" t="s">
        <v>274</v>
      </c>
      <c r="F4672">
        <v>88013169</v>
      </c>
      <c r="G4672">
        <v>82197481</v>
      </c>
      <c r="H4672">
        <v>51587408</v>
      </c>
      <c r="I4672">
        <v>56846379</v>
      </c>
      <c r="J4672">
        <v>48230470</v>
      </c>
      <c r="K4672">
        <v>35276080</v>
      </c>
      <c r="P4672">
        <v>45</v>
      </c>
      <c r="Q4672" t="s">
        <v>9690</v>
      </c>
    </row>
    <row r="4673" spans="1:17" x14ac:dyDescent="0.3">
      <c r="A4673" t="s">
        <v>4729</v>
      </c>
      <c r="B4673" t="str">
        <f>"300886"</f>
        <v>300886</v>
      </c>
      <c r="C4673" t="s">
        <v>9691</v>
      </c>
      <c r="D4673" t="s">
        <v>5979</v>
      </c>
      <c r="F4673">
        <v>70609132</v>
      </c>
      <c r="G4673">
        <v>63854832</v>
      </c>
      <c r="H4673">
        <v>59347787</v>
      </c>
      <c r="I4673">
        <v>46791114</v>
      </c>
      <c r="J4673">
        <v>51879173</v>
      </c>
      <c r="K4673">
        <v>37699722</v>
      </c>
      <c r="P4673">
        <v>49</v>
      </c>
      <c r="Q4673" t="s">
        <v>9692</v>
      </c>
    </row>
    <row r="4674" spans="1:17" x14ac:dyDescent="0.3">
      <c r="A4674" t="s">
        <v>4729</v>
      </c>
      <c r="B4674" t="str">
        <f>"300887"</f>
        <v>300887</v>
      </c>
      <c r="C4674" t="s">
        <v>9693</v>
      </c>
      <c r="D4674" t="s">
        <v>2510</v>
      </c>
      <c r="F4674">
        <v>780939163</v>
      </c>
      <c r="G4674">
        <v>379241134</v>
      </c>
      <c r="H4674">
        <v>265332964</v>
      </c>
      <c r="I4674">
        <v>194704649</v>
      </c>
      <c r="J4674">
        <v>175950512</v>
      </c>
      <c r="K4674">
        <v>97048527</v>
      </c>
      <c r="P4674">
        <v>117</v>
      </c>
      <c r="Q4674" t="s">
        <v>9694</v>
      </c>
    </row>
    <row r="4675" spans="1:17" x14ac:dyDescent="0.3">
      <c r="A4675" t="s">
        <v>4729</v>
      </c>
      <c r="B4675" t="str">
        <f>"300888"</f>
        <v>300888</v>
      </c>
      <c r="C4675" t="s">
        <v>9695</v>
      </c>
      <c r="D4675" t="s">
        <v>2751</v>
      </c>
      <c r="F4675">
        <v>775546589</v>
      </c>
      <c r="G4675">
        <v>844317708</v>
      </c>
      <c r="H4675">
        <v>416345676</v>
      </c>
      <c r="I4675">
        <v>421803361</v>
      </c>
      <c r="J4675">
        <v>320062186</v>
      </c>
      <c r="K4675">
        <v>290638383</v>
      </c>
      <c r="P4675">
        <v>457</v>
      </c>
      <c r="Q4675" t="s">
        <v>9696</v>
      </c>
    </row>
    <row r="4676" spans="1:17" x14ac:dyDescent="0.3">
      <c r="A4676" t="s">
        <v>4729</v>
      </c>
      <c r="B4676" t="str">
        <f>"300889"</f>
        <v>300889</v>
      </c>
      <c r="C4676" t="s">
        <v>9697</v>
      </c>
      <c r="D4676" t="s">
        <v>803</v>
      </c>
      <c r="F4676">
        <v>718616742</v>
      </c>
      <c r="G4676">
        <v>662362387</v>
      </c>
      <c r="H4676">
        <v>398835947</v>
      </c>
      <c r="I4676">
        <v>286210396</v>
      </c>
      <c r="J4676">
        <v>203499728</v>
      </c>
      <c r="K4676">
        <v>87792244</v>
      </c>
      <c r="P4676">
        <v>37</v>
      </c>
      <c r="Q4676" t="s">
        <v>9698</v>
      </c>
    </row>
    <row r="4677" spans="1:17" x14ac:dyDescent="0.3">
      <c r="A4677" t="s">
        <v>4729</v>
      </c>
      <c r="B4677" t="str">
        <f>"300890"</f>
        <v>300890</v>
      </c>
      <c r="C4677" t="s">
        <v>9699</v>
      </c>
      <c r="D4677" t="s">
        <v>1790</v>
      </c>
      <c r="F4677">
        <v>348340939</v>
      </c>
      <c r="G4677">
        <v>354580071</v>
      </c>
      <c r="H4677">
        <v>403143361</v>
      </c>
      <c r="I4677">
        <v>227094490</v>
      </c>
      <c r="J4677">
        <v>217355995</v>
      </c>
      <c r="K4677">
        <v>0</v>
      </c>
      <c r="P4677">
        <v>62</v>
      </c>
      <c r="Q4677" t="s">
        <v>9700</v>
      </c>
    </row>
    <row r="4678" spans="1:17" x14ac:dyDescent="0.3">
      <c r="A4678" t="s">
        <v>4729</v>
      </c>
      <c r="B4678" t="str">
        <f>"300891"</f>
        <v>300891</v>
      </c>
      <c r="C4678" t="s">
        <v>9701</v>
      </c>
      <c r="D4678" t="s">
        <v>1474</v>
      </c>
      <c r="F4678">
        <v>91893852</v>
      </c>
      <c r="G4678">
        <v>58844326</v>
      </c>
      <c r="H4678">
        <v>52978727</v>
      </c>
      <c r="I4678">
        <v>55563908</v>
      </c>
      <c r="J4678">
        <v>53205497</v>
      </c>
      <c r="K4678">
        <v>64788920</v>
      </c>
      <c r="P4678">
        <v>59</v>
      </c>
      <c r="Q4678" t="s">
        <v>9702</v>
      </c>
    </row>
    <row r="4679" spans="1:17" x14ac:dyDescent="0.3">
      <c r="A4679" t="s">
        <v>4729</v>
      </c>
      <c r="B4679" t="str">
        <f>"300892"</f>
        <v>300892</v>
      </c>
      <c r="C4679" t="s">
        <v>9703</v>
      </c>
      <c r="D4679" t="s">
        <v>131</v>
      </c>
      <c r="F4679">
        <v>127204524</v>
      </c>
      <c r="G4679">
        <v>127432786</v>
      </c>
      <c r="H4679">
        <v>143154843</v>
      </c>
      <c r="I4679">
        <v>135065787</v>
      </c>
      <c r="J4679">
        <v>121485180</v>
      </c>
      <c r="K4679">
        <v>0</v>
      </c>
      <c r="P4679">
        <v>99</v>
      </c>
      <c r="Q4679" t="s">
        <v>9704</v>
      </c>
    </row>
    <row r="4680" spans="1:17" x14ac:dyDescent="0.3">
      <c r="A4680" t="s">
        <v>4729</v>
      </c>
      <c r="B4680" t="str">
        <f>"300893"</f>
        <v>300893</v>
      </c>
      <c r="C4680" t="s">
        <v>9705</v>
      </c>
      <c r="D4680" t="s">
        <v>985</v>
      </c>
      <c r="F4680">
        <v>277671190</v>
      </c>
      <c r="G4680">
        <v>231133004</v>
      </c>
      <c r="H4680">
        <v>161667850</v>
      </c>
      <c r="I4680">
        <v>146494042</v>
      </c>
      <c r="J4680">
        <v>116514921</v>
      </c>
      <c r="P4680">
        <v>48</v>
      </c>
      <c r="Q4680" t="s">
        <v>9706</v>
      </c>
    </row>
    <row r="4681" spans="1:17" x14ac:dyDescent="0.3">
      <c r="A4681" t="s">
        <v>4729</v>
      </c>
      <c r="B4681" t="str">
        <f>"300894"</f>
        <v>300894</v>
      </c>
      <c r="C4681" t="s">
        <v>9707</v>
      </c>
      <c r="D4681" t="s">
        <v>3707</v>
      </c>
      <c r="F4681">
        <v>66415090</v>
      </c>
      <c r="G4681">
        <v>71761587</v>
      </c>
      <c r="H4681">
        <v>49344582</v>
      </c>
      <c r="I4681">
        <v>10113259</v>
      </c>
      <c r="J4681">
        <v>445261</v>
      </c>
      <c r="K4681">
        <v>1444147</v>
      </c>
      <c r="P4681">
        <v>230</v>
      </c>
      <c r="Q4681" t="s">
        <v>9708</v>
      </c>
    </row>
    <row r="4682" spans="1:17" x14ac:dyDescent="0.3">
      <c r="A4682" t="s">
        <v>4729</v>
      </c>
      <c r="B4682" t="str">
        <f>"300895"</f>
        <v>300895</v>
      </c>
      <c r="C4682" t="s">
        <v>9709</v>
      </c>
      <c r="D4682" t="s">
        <v>316</v>
      </c>
      <c r="F4682">
        <v>137336687</v>
      </c>
      <c r="G4682">
        <v>45456059</v>
      </c>
      <c r="H4682">
        <v>34861187</v>
      </c>
      <c r="I4682">
        <v>33521679</v>
      </c>
      <c r="J4682">
        <v>31509780</v>
      </c>
      <c r="K4682">
        <v>4415015</v>
      </c>
      <c r="P4682">
        <v>48</v>
      </c>
      <c r="Q4682" t="s">
        <v>9710</v>
      </c>
    </row>
    <row r="4683" spans="1:17" x14ac:dyDescent="0.3">
      <c r="A4683" t="s">
        <v>4729</v>
      </c>
      <c r="B4683" t="str">
        <f>"300896"</f>
        <v>300896</v>
      </c>
      <c r="C4683" t="s">
        <v>9711</v>
      </c>
      <c r="D4683" t="s">
        <v>4297</v>
      </c>
      <c r="F4683">
        <v>72352566</v>
      </c>
      <c r="G4683">
        <v>29821541</v>
      </c>
      <c r="H4683">
        <v>14737239</v>
      </c>
      <c r="I4683">
        <v>9115396</v>
      </c>
      <c r="J4683">
        <v>4398204</v>
      </c>
      <c r="K4683">
        <v>5249213</v>
      </c>
      <c r="P4683">
        <v>1332</v>
      </c>
      <c r="Q4683" t="s">
        <v>9712</v>
      </c>
    </row>
    <row r="4684" spans="1:17" x14ac:dyDescent="0.3">
      <c r="A4684" t="s">
        <v>4729</v>
      </c>
      <c r="B4684" t="str">
        <f>"300897"</f>
        <v>300897</v>
      </c>
      <c r="C4684" t="s">
        <v>9713</v>
      </c>
      <c r="D4684" t="s">
        <v>2566</v>
      </c>
      <c r="F4684">
        <v>275792109</v>
      </c>
      <c r="G4684">
        <v>229161339</v>
      </c>
      <c r="H4684">
        <v>171091955</v>
      </c>
      <c r="I4684">
        <v>117992955</v>
      </c>
      <c r="J4684">
        <v>78263472</v>
      </c>
      <c r="K4684">
        <v>64280869</v>
      </c>
      <c r="P4684">
        <v>50</v>
      </c>
      <c r="Q4684" t="s">
        <v>9714</v>
      </c>
    </row>
    <row r="4685" spans="1:17" x14ac:dyDescent="0.3">
      <c r="A4685" t="s">
        <v>4729</v>
      </c>
      <c r="B4685" t="str">
        <f>"300898"</f>
        <v>300898</v>
      </c>
      <c r="C4685" t="s">
        <v>9715</v>
      </c>
      <c r="D4685" t="s">
        <v>900</v>
      </c>
      <c r="F4685">
        <v>27935371</v>
      </c>
      <c r="G4685">
        <v>30184590</v>
      </c>
      <c r="H4685">
        <v>36063760</v>
      </c>
      <c r="I4685">
        <v>35957548</v>
      </c>
      <c r="J4685">
        <v>22640961</v>
      </c>
      <c r="K4685">
        <v>15096960</v>
      </c>
      <c r="P4685">
        <v>73</v>
      </c>
      <c r="Q4685" t="s">
        <v>9716</v>
      </c>
    </row>
    <row r="4686" spans="1:17" x14ac:dyDescent="0.3">
      <c r="A4686" t="s">
        <v>4729</v>
      </c>
      <c r="B4686" t="str">
        <f>"300899"</f>
        <v>300899</v>
      </c>
      <c r="C4686" t="s">
        <v>9717</v>
      </c>
      <c r="D4686" t="s">
        <v>33</v>
      </c>
      <c r="F4686">
        <v>120765312</v>
      </c>
      <c r="G4686">
        <v>113048740</v>
      </c>
      <c r="H4686">
        <v>98783452</v>
      </c>
      <c r="I4686">
        <v>51764303</v>
      </c>
      <c r="J4686">
        <v>41581242</v>
      </c>
      <c r="K4686">
        <v>0</v>
      </c>
      <c r="P4686">
        <v>58</v>
      </c>
      <c r="Q4686" t="s">
        <v>9718</v>
      </c>
    </row>
    <row r="4687" spans="1:17" x14ac:dyDescent="0.3">
      <c r="A4687" t="s">
        <v>4729</v>
      </c>
      <c r="B4687" t="str">
        <f>"300900"</f>
        <v>300900</v>
      </c>
      <c r="C4687" t="s">
        <v>9719</v>
      </c>
      <c r="D4687" t="s">
        <v>98</v>
      </c>
      <c r="F4687">
        <v>415066698</v>
      </c>
      <c r="G4687">
        <v>403081939</v>
      </c>
      <c r="H4687">
        <v>289812296</v>
      </c>
      <c r="I4687">
        <v>202006306</v>
      </c>
      <c r="J4687">
        <v>110639486</v>
      </c>
      <c r="K4687">
        <v>0</v>
      </c>
      <c r="P4687">
        <v>76</v>
      </c>
      <c r="Q4687" t="s">
        <v>9720</v>
      </c>
    </row>
    <row r="4688" spans="1:17" x14ac:dyDescent="0.3">
      <c r="A4688" t="s">
        <v>4729</v>
      </c>
      <c r="B4688" t="str">
        <f>"300901"</f>
        <v>300901</v>
      </c>
      <c r="C4688" t="s">
        <v>9721</v>
      </c>
      <c r="D4688" t="s">
        <v>255</v>
      </c>
      <c r="F4688">
        <v>186234036</v>
      </c>
      <c r="G4688">
        <v>79369246</v>
      </c>
      <c r="H4688">
        <v>67599080</v>
      </c>
      <c r="I4688">
        <v>86287635</v>
      </c>
      <c r="J4688">
        <v>43525439</v>
      </c>
      <c r="K4688">
        <v>0</v>
      </c>
      <c r="P4688">
        <v>45</v>
      </c>
      <c r="Q4688" t="s">
        <v>9722</v>
      </c>
    </row>
    <row r="4689" spans="1:17" x14ac:dyDescent="0.3">
      <c r="A4689" t="s">
        <v>4729</v>
      </c>
      <c r="B4689" t="str">
        <f>"300902"</f>
        <v>300902</v>
      </c>
      <c r="C4689" t="s">
        <v>9723</v>
      </c>
      <c r="D4689" t="s">
        <v>741</v>
      </c>
      <c r="F4689">
        <v>116173752</v>
      </c>
      <c r="G4689">
        <v>142560768</v>
      </c>
      <c r="H4689">
        <v>91305077</v>
      </c>
      <c r="I4689">
        <v>85362136</v>
      </c>
      <c r="J4689">
        <v>58519706</v>
      </c>
      <c r="K4689">
        <v>56712510</v>
      </c>
      <c r="P4689">
        <v>40</v>
      </c>
      <c r="Q4689" t="s">
        <v>9724</v>
      </c>
    </row>
    <row r="4690" spans="1:17" x14ac:dyDescent="0.3">
      <c r="A4690" t="s">
        <v>4729</v>
      </c>
      <c r="B4690" t="str">
        <f>"300903"</f>
        <v>300903</v>
      </c>
      <c r="C4690" t="s">
        <v>9725</v>
      </c>
      <c r="D4690" t="s">
        <v>425</v>
      </c>
      <c r="F4690">
        <v>890137814</v>
      </c>
      <c r="G4690">
        <v>626259398</v>
      </c>
      <c r="H4690">
        <v>508913013</v>
      </c>
      <c r="I4690">
        <v>499287756</v>
      </c>
      <c r="J4690">
        <v>526398123</v>
      </c>
      <c r="K4690">
        <v>360967599</v>
      </c>
      <c r="P4690">
        <v>61</v>
      </c>
      <c r="Q4690" t="s">
        <v>9726</v>
      </c>
    </row>
    <row r="4691" spans="1:17" x14ac:dyDescent="0.3">
      <c r="A4691" t="s">
        <v>4729</v>
      </c>
      <c r="B4691" t="str">
        <f>"300905"</f>
        <v>300905</v>
      </c>
      <c r="C4691" t="s">
        <v>9727</v>
      </c>
      <c r="D4691" t="s">
        <v>779</v>
      </c>
      <c r="F4691">
        <v>60489094</v>
      </c>
      <c r="G4691">
        <v>44582050</v>
      </c>
      <c r="H4691">
        <v>45610517</v>
      </c>
      <c r="I4691">
        <v>42696104</v>
      </c>
      <c r="J4691">
        <v>37795553</v>
      </c>
      <c r="K4691">
        <v>0</v>
      </c>
      <c r="P4691">
        <v>54</v>
      </c>
      <c r="Q4691" t="s">
        <v>9728</v>
      </c>
    </row>
    <row r="4692" spans="1:17" x14ac:dyDescent="0.3">
      <c r="A4692" t="s">
        <v>4729</v>
      </c>
      <c r="B4692" t="str">
        <f>"300906"</f>
        <v>300906</v>
      </c>
      <c r="C4692" t="s">
        <v>9729</v>
      </c>
      <c r="D4692" t="s">
        <v>2566</v>
      </c>
      <c r="F4692">
        <v>134172896</v>
      </c>
      <c r="G4692">
        <v>125243528</v>
      </c>
      <c r="H4692">
        <v>143883470</v>
      </c>
      <c r="I4692">
        <v>130436113</v>
      </c>
      <c r="J4692">
        <v>103736821</v>
      </c>
      <c r="K4692">
        <v>0</v>
      </c>
      <c r="P4692">
        <v>60</v>
      </c>
      <c r="Q4692" t="s">
        <v>9730</v>
      </c>
    </row>
    <row r="4693" spans="1:17" x14ac:dyDescent="0.3">
      <c r="A4693" t="s">
        <v>4729</v>
      </c>
      <c r="B4693" t="str">
        <f>"300907"</f>
        <v>300907</v>
      </c>
      <c r="C4693" t="s">
        <v>9731</v>
      </c>
      <c r="D4693" t="s">
        <v>1171</v>
      </c>
      <c r="F4693">
        <v>206763808</v>
      </c>
      <c r="G4693">
        <v>162083589</v>
      </c>
      <c r="H4693">
        <v>117517671</v>
      </c>
      <c r="I4693">
        <v>126920628</v>
      </c>
      <c r="J4693">
        <v>65316474</v>
      </c>
      <c r="K4693">
        <v>0</v>
      </c>
      <c r="P4693">
        <v>36</v>
      </c>
      <c r="Q4693" t="s">
        <v>9732</v>
      </c>
    </row>
    <row r="4694" spans="1:17" x14ac:dyDescent="0.3">
      <c r="A4694" t="s">
        <v>4729</v>
      </c>
      <c r="B4694" t="str">
        <f>"300908"</f>
        <v>300908</v>
      </c>
      <c r="C4694" t="s">
        <v>9733</v>
      </c>
      <c r="D4694" t="s">
        <v>433</v>
      </c>
      <c r="F4694">
        <v>74078095</v>
      </c>
      <c r="G4694">
        <v>71007995</v>
      </c>
      <c r="H4694">
        <v>71361482</v>
      </c>
      <c r="I4694">
        <v>61782397</v>
      </c>
      <c r="J4694">
        <v>55276899</v>
      </c>
      <c r="K4694">
        <v>0</v>
      </c>
      <c r="P4694">
        <v>173</v>
      </c>
      <c r="Q4694" t="s">
        <v>9734</v>
      </c>
    </row>
    <row r="4695" spans="1:17" x14ac:dyDescent="0.3">
      <c r="A4695" t="s">
        <v>4729</v>
      </c>
      <c r="B4695" t="str">
        <f>"300909"</f>
        <v>300909</v>
      </c>
      <c r="C4695" t="s">
        <v>9735</v>
      </c>
      <c r="D4695" t="s">
        <v>1117</v>
      </c>
      <c r="F4695">
        <v>350436137</v>
      </c>
      <c r="G4695">
        <v>191100546</v>
      </c>
      <c r="H4695">
        <v>200287130</v>
      </c>
      <c r="I4695">
        <v>122178840</v>
      </c>
      <c r="J4695">
        <v>98558096</v>
      </c>
      <c r="K4695">
        <v>77025993</v>
      </c>
      <c r="P4695">
        <v>65</v>
      </c>
      <c r="Q4695" t="s">
        <v>9736</v>
      </c>
    </row>
    <row r="4696" spans="1:17" x14ac:dyDescent="0.3">
      <c r="A4696" t="s">
        <v>4729</v>
      </c>
      <c r="B4696" t="str">
        <f>"300910"</f>
        <v>300910</v>
      </c>
      <c r="C4696" t="s">
        <v>9737</v>
      </c>
      <c r="D4696" t="s">
        <v>386</v>
      </c>
      <c r="F4696">
        <v>164343061</v>
      </c>
      <c r="G4696">
        <v>107113135</v>
      </c>
      <c r="H4696">
        <v>99019161</v>
      </c>
      <c r="I4696">
        <v>70564020</v>
      </c>
      <c r="J4696">
        <v>55843099</v>
      </c>
      <c r="K4696">
        <v>50894300</v>
      </c>
      <c r="P4696">
        <v>116</v>
      </c>
      <c r="Q4696" t="s">
        <v>9738</v>
      </c>
    </row>
    <row r="4697" spans="1:17" x14ac:dyDescent="0.3">
      <c r="A4697" t="s">
        <v>4729</v>
      </c>
      <c r="B4697" t="str">
        <f>"300911"</f>
        <v>300911</v>
      </c>
      <c r="C4697" t="s">
        <v>9739</v>
      </c>
      <c r="D4697" t="s">
        <v>3707</v>
      </c>
      <c r="F4697">
        <v>69064847</v>
      </c>
      <c r="G4697">
        <v>24881444</v>
      </c>
      <c r="H4697">
        <v>0</v>
      </c>
      <c r="I4697">
        <v>3746222</v>
      </c>
      <c r="J4697">
        <v>2379052</v>
      </c>
      <c r="K4697">
        <v>7209967</v>
      </c>
      <c r="P4697">
        <v>151</v>
      </c>
      <c r="Q4697" t="s">
        <v>9740</v>
      </c>
    </row>
    <row r="4698" spans="1:17" x14ac:dyDescent="0.3">
      <c r="A4698" t="s">
        <v>4729</v>
      </c>
      <c r="B4698" t="str">
        <f>"300912"</f>
        <v>300912</v>
      </c>
      <c r="C4698" t="s">
        <v>9741</v>
      </c>
      <c r="D4698" t="s">
        <v>985</v>
      </c>
      <c r="F4698">
        <v>268958420</v>
      </c>
      <c r="G4698">
        <v>447384107</v>
      </c>
      <c r="H4698">
        <v>452220432</v>
      </c>
      <c r="I4698">
        <v>348231868</v>
      </c>
      <c r="J4698">
        <v>417378026</v>
      </c>
      <c r="K4698">
        <v>299489141</v>
      </c>
      <c r="P4698">
        <v>39</v>
      </c>
      <c r="Q4698" t="s">
        <v>9742</v>
      </c>
    </row>
    <row r="4699" spans="1:17" x14ac:dyDescent="0.3">
      <c r="A4699" t="s">
        <v>4729</v>
      </c>
      <c r="B4699" t="str">
        <f>"300913"</f>
        <v>300913</v>
      </c>
      <c r="C4699" t="s">
        <v>9743</v>
      </c>
      <c r="D4699" t="s">
        <v>250</v>
      </c>
      <c r="F4699">
        <v>286230919</v>
      </c>
      <c r="G4699">
        <v>258422061</v>
      </c>
      <c r="H4699">
        <v>251334316</v>
      </c>
      <c r="I4699">
        <v>221119212</v>
      </c>
      <c r="J4699">
        <v>210937331</v>
      </c>
      <c r="K4699">
        <v>141383732</v>
      </c>
      <c r="P4699">
        <v>33</v>
      </c>
      <c r="Q4699" t="s">
        <v>9744</v>
      </c>
    </row>
    <row r="4700" spans="1:17" x14ac:dyDescent="0.3">
      <c r="A4700" t="s">
        <v>4729</v>
      </c>
      <c r="B4700" t="str">
        <f>"300915"</f>
        <v>300915</v>
      </c>
      <c r="C4700" t="s">
        <v>9745</v>
      </c>
      <c r="D4700" t="s">
        <v>900</v>
      </c>
      <c r="F4700">
        <v>34397009</v>
      </c>
      <c r="G4700">
        <v>25040259</v>
      </c>
      <c r="H4700">
        <v>25460409</v>
      </c>
      <c r="I4700">
        <v>24886267</v>
      </c>
      <c r="J4700">
        <v>21736900</v>
      </c>
      <c r="K4700">
        <v>16356856</v>
      </c>
      <c r="P4700">
        <v>101</v>
      </c>
      <c r="Q4700" t="s">
        <v>9746</v>
      </c>
    </row>
    <row r="4701" spans="1:17" x14ac:dyDescent="0.3">
      <c r="A4701" t="s">
        <v>4729</v>
      </c>
      <c r="B4701" t="str">
        <f>"300916"</f>
        <v>300916</v>
      </c>
      <c r="C4701" t="s">
        <v>9747</v>
      </c>
      <c r="D4701" t="s">
        <v>313</v>
      </c>
      <c r="F4701">
        <v>227290827</v>
      </c>
      <c r="G4701">
        <v>238304303</v>
      </c>
      <c r="H4701">
        <v>187162340</v>
      </c>
      <c r="I4701">
        <v>119780791</v>
      </c>
      <c r="J4701">
        <v>73732603</v>
      </c>
      <c r="K4701">
        <v>75701891</v>
      </c>
      <c r="P4701">
        <v>79</v>
      </c>
      <c r="Q4701" t="s">
        <v>9748</v>
      </c>
    </row>
    <row r="4702" spans="1:17" x14ac:dyDescent="0.3">
      <c r="A4702" t="s">
        <v>4729</v>
      </c>
      <c r="B4702" t="str">
        <f>"300917"</f>
        <v>300917</v>
      </c>
      <c r="C4702" t="s">
        <v>9749</v>
      </c>
      <c r="D4702" t="s">
        <v>2975</v>
      </c>
      <c r="F4702">
        <v>382996852</v>
      </c>
      <c r="G4702">
        <v>276038447</v>
      </c>
      <c r="H4702">
        <v>205440623</v>
      </c>
      <c r="I4702">
        <v>151688292</v>
      </c>
      <c r="J4702">
        <v>107088259</v>
      </c>
      <c r="K4702">
        <v>0</v>
      </c>
      <c r="P4702">
        <v>80</v>
      </c>
      <c r="Q4702" t="s">
        <v>9750</v>
      </c>
    </row>
    <row r="4703" spans="1:17" x14ac:dyDescent="0.3">
      <c r="A4703" t="s">
        <v>4729</v>
      </c>
      <c r="B4703" t="str">
        <f>"300918"</f>
        <v>300918</v>
      </c>
      <c r="C4703" t="s">
        <v>9751</v>
      </c>
      <c r="D4703" t="s">
        <v>366</v>
      </c>
      <c r="F4703">
        <v>167006857</v>
      </c>
      <c r="G4703">
        <v>198109329</v>
      </c>
      <c r="H4703">
        <v>230242867</v>
      </c>
      <c r="I4703">
        <v>319108491</v>
      </c>
      <c r="J4703">
        <v>325188972</v>
      </c>
      <c r="K4703">
        <v>219296008</v>
      </c>
      <c r="P4703">
        <v>38</v>
      </c>
      <c r="Q4703" t="s">
        <v>9752</v>
      </c>
    </row>
    <row r="4704" spans="1:17" x14ac:dyDescent="0.3">
      <c r="A4704" t="s">
        <v>4729</v>
      </c>
      <c r="B4704" t="str">
        <f>"300919"</f>
        <v>300919</v>
      </c>
      <c r="C4704" t="s">
        <v>9753</v>
      </c>
      <c r="D4704" t="s">
        <v>1790</v>
      </c>
      <c r="F4704">
        <v>4451798531</v>
      </c>
      <c r="G4704">
        <v>1230559043</v>
      </c>
      <c r="H4704">
        <v>810691033</v>
      </c>
      <c r="I4704">
        <v>460625860</v>
      </c>
      <c r="J4704">
        <v>234409029</v>
      </c>
      <c r="P4704">
        <v>175</v>
      </c>
      <c r="Q4704" t="s">
        <v>9754</v>
      </c>
    </row>
    <row r="4705" spans="1:17" x14ac:dyDescent="0.3">
      <c r="A4705" t="s">
        <v>4729</v>
      </c>
      <c r="B4705" t="str">
        <f>"300920"</f>
        <v>300920</v>
      </c>
      <c r="C4705" t="s">
        <v>9755</v>
      </c>
      <c r="D4705" t="s">
        <v>1192</v>
      </c>
      <c r="F4705">
        <v>120274483</v>
      </c>
      <c r="G4705">
        <v>105376083</v>
      </c>
      <c r="H4705">
        <v>81611803</v>
      </c>
      <c r="I4705">
        <v>72701041</v>
      </c>
      <c r="J4705">
        <v>31867789</v>
      </c>
      <c r="K4705">
        <v>15677200</v>
      </c>
      <c r="P4705">
        <v>46</v>
      </c>
      <c r="Q4705" t="s">
        <v>9756</v>
      </c>
    </row>
    <row r="4706" spans="1:17" x14ac:dyDescent="0.3">
      <c r="A4706" t="s">
        <v>4729</v>
      </c>
      <c r="B4706" t="str">
        <f>"300921"</f>
        <v>300921</v>
      </c>
      <c r="C4706" t="s">
        <v>9757</v>
      </c>
      <c r="D4706" t="s">
        <v>5670</v>
      </c>
      <c r="F4706">
        <v>121881758</v>
      </c>
      <c r="G4706">
        <v>84789335</v>
      </c>
      <c r="H4706">
        <v>99045450</v>
      </c>
      <c r="I4706">
        <v>79971789</v>
      </c>
      <c r="J4706">
        <v>58223610</v>
      </c>
      <c r="K4706">
        <v>56063076</v>
      </c>
      <c r="P4706">
        <v>39</v>
      </c>
      <c r="Q4706" t="s">
        <v>9758</v>
      </c>
    </row>
    <row r="4707" spans="1:17" x14ac:dyDescent="0.3">
      <c r="A4707" t="s">
        <v>4729</v>
      </c>
      <c r="B4707" t="str">
        <f>"300922"</f>
        <v>300922</v>
      </c>
      <c r="C4707" t="s">
        <v>9759</v>
      </c>
      <c r="D4707" t="s">
        <v>428</v>
      </c>
      <c r="F4707">
        <v>82255381</v>
      </c>
      <c r="G4707">
        <v>75369477</v>
      </c>
      <c r="H4707">
        <v>34371170</v>
      </c>
      <c r="I4707">
        <v>48411989</v>
      </c>
      <c r="J4707">
        <v>25412560</v>
      </c>
      <c r="K4707">
        <v>29838512</v>
      </c>
      <c r="P4707">
        <v>83</v>
      </c>
      <c r="Q4707" t="s">
        <v>9760</v>
      </c>
    </row>
    <row r="4708" spans="1:17" x14ac:dyDescent="0.3">
      <c r="A4708" t="s">
        <v>4729</v>
      </c>
      <c r="B4708" t="str">
        <f>"300923"</f>
        <v>300923</v>
      </c>
      <c r="C4708" t="s">
        <v>9761</v>
      </c>
      <c r="D4708" t="s">
        <v>1012</v>
      </c>
      <c r="F4708">
        <v>292864971</v>
      </c>
      <c r="G4708">
        <v>160139441</v>
      </c>
      <c r="H4708">
        <v>270285814</v>
      </c>
      <c r="I4708">
        <v>228458017</v>
      </c>
      <c r="J4708">
        <v>242397183</v>
      </c>
      <c r="K4708">
        <v>271005713</v>
      </c>
      <c r="P4708">
        <v>28</v>
      </c>
      <c r="Q4708" t="s">
        <v>9762</v>
      </c>
    </row>
    <row r="4709" spans="1:17" x14ac:dyDescent="0.3">
      <c r="A4709" t="s">
        <v>4729</v>
      </c>
      <c r="B4709" t="str">
        <f>"300925"</f>
        <v>300925</v>
      </c>
      <c r="C4709" t="s">
        <v>9763</v>
      </c>
      <c r="D4709" t="s">
        <v>945</v>
      </c>
      <c r="F4709">
        <v>916689129</v>
      </c>
      <c r="G4709">
        <v>557399785</v>
      </c>
      <c r="H4709">
        <v>393655454</v>
      </c>
      <c r="I4709">
        <v>246049106</v>
      </c>
      <c r="J4709">
        <v>140674934</v>
      </c>
      <c r="K4709">
        <v>94593991</v>
      </c>
      <c r="P4709">
        <v>72</v>
      </c>
      <c r="Q4709" t="s">
        <v>9764</v>
      </c>
    </row>
    <row r="4710" spans="1:17" x14ac:dyDescent="0.3">
      <c r="A4710" t="s">
        <v>4729</v>
      </c>
      <c r="B4710" t="str">
        <f>"300926"</f>
        <v>300926</v>
      </c>
      <c r="C4710" t="s">
        <v>9765</v>
      </c>
      <c r="D4710" t="s">
        <v>985</v>
      </c>
      <c r="F4710">
        <v>376682424</v>
      </c>
      <c r="G4710">
        <v>243703570</v>
      </c>
      <c r="H4710">
        <v>248725013</v>
      </c>
      <c r="I4710">
        <v>193752051</v>
      </c>
      <c r="J4710">
        <v>188001261</v>
      </c>
      <c r="K4710">
        <v>0</v>
      </c>
      <c r="P4710">
        <v>45</v>
      </c>
      <c r="Q4710" t="s">
        <v>9766</v>
      </c>
    </row>
    <row r="4711" spans="1:17" x14ac:dyDescent="0.3">
      <c r="A4711" t="s">
        <v>4729</v>
      </c>
      <c r="B4711" t="str">
        <f>"300927"</f>
        <v>300927</v>
      </c>
      <c r="C4711" t="s">
        <v>9767</v>
      </c>
      <c r="D4711" t="s">
        <v>1233</v>
      </c>
      <c r="F4711">
        <v>60966737</v>
      </c>
      <c r="G4711">
        <v>57886584</v>
      </c>
      <c r="H4711">
        <v>44274018</v>
      </c>
      <c r="I4711">
        <v>56586057</v>
      </c>
      <c r="J4711">
        <v>54400653</v>
      </c>
      <c r="K4711">
        <v>46663315</v>
      </c>
      <c r="P4711">
        <v>44</v>
      </c>
      <c r="Q4711" t="s">
        <v>9768</v>
      </c>
    </row>
    <row r="4712" spans="1:17" x14ac:dyDescent="0.3">
      <c r="A4712" t="s">
        <v>4729</v>
      </c>
      <c r="B4712" t="str">
        <f>"300928"</f>
        <v>300928</v>
      </c>
      <c r="C4712" t="s">
        <v>9769</v>
      </c>
      <c r="D4712" t="s">
        <v>1415</v>
      </c>
      <c r="F4712">
        <v>386789205</v>
      </c>
      <c r="G4712">
        <v>587424059</v>
      </c>
      <c r="H4712">
        <v>427133359</v>
      </c>
      <c r="I4712">
        <v>320882134</v>
      </c>
      <c r="J4712">
        <v>270668052</v>
      </c>
      <c r="K4712">
        <v>192546151</v>
      </c>
      <c r="P4712">
        <v>27</v>
      </c>
      <c r="Q4712" t="s">
        <v>9770</v>
      </c>
    </row>
    <row r="4713" spans="1:17" x14ac:dyDescent="0.3">
      <c r="A4713" t="s">
        <v>4729</v>
      </c>
      <c r="B4713" t="str">
        <f>"300929"</f>
        <v>300929</v>
      </c>
      <c r="C4713" t="s">
        <v>9771</v>
      </c>
      <c r="D4713" t="s">
        <v>33</v>
      </c>
      <c r="F4713">
        <v>243036879</v>
      </c>
      <c r="G4713">
        <v>231927979</v>
      </c>
      <c r="H4713">
        <v>338410535</v>
      </c>
      <c r="I4713">
        <v>281831510</v>
      </c>
      <c r="J4713">
        <v>84230484</v>
      </c>
      <c r="K4713">
        <v>111096518</v>
      </c>
      <c r="P4713">
        <v>48</v>
      </c>
      <c r="Q4713" t="s">
        <v>9772</v>
      </c>
    </row>
    <row r="4714" spans="1:17" x14ac:dyDescent="0.3">
      <c r="A4714" t="s">
        <v>4729</v>
      </c>
      <c r="B4714" t="str">
        <f>"300930"</f>
        <v>300930</v>
      </c>
      <c r="C4714" t="s">
        <v>9773</v>
      </c>
      <c r="D4714" t="s">
        <v>581</v>
      </c>
      <c r="F4714">
        <v>33030388</v>
      </c>
      <c r="G4714">
        <v>29253465</v>
      </c>
      <c r="H4714">
        <v>39372251</v>
      </c>
      <c r="I4714">
        <v>48938381</v>
      </c>
      <c r="J4714">
        <v>37294534</v>
      </c>
      <c r="K4714">
        <v>0</v>
      </c>
      <c r="P4714">
        <v>75</v>
      </c>
      <c r="Q4714" t="s">
        <v>9774</v>
      </c>
    </row>
    <row r="4715" spans="1:17" x14ac:dyDescent="0.3">
      <c r="A4715" t="s">
        <v>4729</v>
      </c>
      <c r="B4715" t="str">
        <f>"300931"</f>
        <v>300931</v>
      </c>
      <c r="C4715" t="s">
        <v>9775</v>
      </c>
      <c r="D4715" t="s">
        <v>1691</v>
      </c>
      <c r="F4715">
        <v>243013417</v>
      </c>
      <c r="G4715">
        <v>236684319</v>
      </c>
      <c r="H4715">
        <v>224871110</v>
      </c>
      <c r="I4715">
        <v>202926466</v>
      </c>
      <c r="J4715">
        <v>157965951</v>
      </c>
      <c r="K4715">
        <v>149071734</v>
      </c>
      <c r="P4715">
        <v>31</v>
      </c>
      <c r="Q4715" t="s">
        <v>9776</v>
      </c>
    </row>
    <row r="4716" spans="1:17" x14ac:dyDescent="0.3">
      <c r="A4716" t="s">
        <v>4729</v>
      </c>
      <c r="B4716" t="str">
        <f>"300932"</f>
        <v>300932</v>
      </c>
      <c r="C4716" t="s">
        <v>9777</v>
      </c>
      <c r="D4716" t="s">
        <v>657</v>
      </c>
      <c r="F4716">
        <v>581031479</v>
      </c>
      <c r="G4716">
        <v>438113286</v>
      </c>
      <c r="H4716">
        <v>368927977</v>
      </c>
      <c r="I4716">
        <v>303686986</v>
      </c>
      <c r="J4716">
        <v>336030618</v>
      </c>
      <c r="K4716">
        <v>0</v>
      </c>
      <c r="P4716">
        <v>29</v>
      </c>
      <c r="Q4716" t="s">
        <v>9778</v>
      </c>
    </row>
    <row r="4717" spans="1:17" x14ac:dyDescent="0.3">
      <c r="A4717" t="s">
        <v>4729</v>
      </c>
      <c r="B4717" t="str">
        <f>"300933"</f>
        <v>300933</v>
      </c>
      <c r="C4717" t="s">
        <v>9779</v>
      </c>
      <c r="D4717" t="s">
        <v>1164</v>
      </c>
      <c r="F4717">
        <v>951558687</v>
      </c>
      <c r="G4717">
        <v>935158021</v>
      </c>
      <c r="H4717">
        <v>771776199</v>
      </c>
      <c r="I4717">
        <v>639600407</v>
      </c>
      <c r="J4717">
        <v>618630624</v>
      </c>
      <c r="K4717">
        <v>365249852</v>
      </c>
      <c r="P4717">
        <v>30</v>
      </c>
      <c r="Q4717" t="s">
        <v>9780</v>
      </c>
    </row>
    <row r="4718" spans="1:17" x14ac:dyDescent="0.3">
      <c r="A4718" t="s">
        <v>4729</v>
      </c>
      <c r="B4718" t="str">
        <f>"300935"</f>
        <v>300935</v>
      </c>
      <c r="C4718" t="s">
        <v>9781</v>
      </c>
      <c r="D4718" t="s">
        <v>945</v>
      </c>
      <c r="F4718">
        <v>119575935</v>
      </c>
      <c r="G4718">
        <v>47721021</v>
      </c>
      <c r="H4718">
        <v>39516717</v>
      </c>
      <c r="I4718">
        <v>38678667</v>
      </c>
      <c r="J4718">
        <v>27876275</v>
      </c>
      <c r="K4718">
        <v>30148500</v>
      </c>
      <c r="P4718">
        <v>55</v>
      </c>
      <c r="Q4718" t="s">
        <v>9782</v>
      </c>
    </row>
    <row r="4719" spans="1:17" x14ac:dyDescent="0.3">
      <c r="A4719" t="s">
        <v>4729</v>
      </c>
      <c r="B4719" t="str">
        <f>"300936"</f>
        <v>300936</v>
      </c>
      <c r="C4719" t="s">
        <v>9783</v>
      </c>
      <c r="D4719" t="s">
        <v>425</v>
      </c>
      <c r="F4719">
        <v>111823734</v>
      </c>
      <c r="G4719">
        <v>121875578</v>
      </c>
      <c r="H4719">
        <v>70550062</v>
      </c>
      <c r="I4719">
        <v>50741605</v>
      </c>
      <c r="J4719">
        <v>55241880</v>
      </c>
      <c r="K4719">
        <v>54362934</v>
      </c>
      <c r="P4719">
        <v>54</v>
      </c>
      <c r="Q4719" t="s">
        <v>9784</v>
      </c>
    </row>
    <row r="4720" spans="1:17" x14ac:dyDescent="0.3">
      <c r="A4720" t="s">
        <v>4729</v>
      </c>
      <c r="B4720" t="str">
        <f>"300937"</f>
        <v>300937</v>
      </c>
      <c r="C4720" t="s">
        <v>9785</v>
      </c>
      <c r="D4720" t="s">
        <v>125</v>
      </c>
      <c r="F4720">
        <v>27536111</v>
      </c>
      <c r="G4720">
        <v>26876360</v>
      </c>
      <c r="H4720">
        <v>29871617</v>
      </c>
      <c r="I4720">
        <v>20938829</v>
      </c>
      <c r="J4720">
        <v>13640226</v>
      </c>
      <c r="P4720">
        <v>35</v>
      </c>
      <c r="Q4720" t="s">
        <v>9786</v>
      </c>
    </row>
    <row r="4721" spans="1:17" x14ac:dyDescent="0.3">
      <c r="A4721" t="s">
        <v>4729</v>
      </c>
      <c r="B4721" t="str">
        <f>"300938"</f>
        <v>300938</v>
      </c>
      <c r="C4721" t="s">
        <v>9787</v>
      </c>
      <c r="D4721" t="s">
        <v>2510</v>
      </c>
      <c r="F4721">
        <v>148608266</v>
      </c>
      <c r="G4721">
        <v>70532387</v>
      </c>
      <c r="H4721">
        <v>62519340</v>
      </c>
      <c r="I4721">
        <v>38741015</v>
      </c>
      <c r="J4721">
        <v>23079337</v>
      </c>
      <c r="K4721">
        <v>19614400</v>
      </c>
      <c r="P4721">
        <v>43</v>
      </c>
      <c r="Q4721" t="s">
        <v>9788</v>
      </c>
    </row>
    <row r="4722" spans="1:17" x14ac:dyDescent="0.3">
      <c r="A4722" t="s">
        <v>4729</v>
      </c>
      <c r="B4722" t="str">
        <f>"300939"</f>
        <v>300939</v>
      </c>
      <c r="C4722" t="s">
        <v>9789</v>
      </c>
      <c r="D4722" t="s">
        <v>1117</v>
      </c>
      <c r="F4722">
        <v>209270662</v>
      </c>
      <c r="G4722">
        <v>149128785</v>
      </c>
      <c r="H4722">
        <v>152320187</v>
      </c>
      <c r="I4722">
        <v>148639561</v>
      </c>
      <c r="J4722">
        <v>123837985</v>
      </c>
      <c r="K4722">
        <v>109923900</v>
      </c>
      <c r="P4722">
        <v>31</v>
      </c>
      <c r="Q4722" t="s">
        <v>9790</v>
      </c>
    </row>
    <row r="4723" spans="1:17" x14ac:dyDescent="0.3">
      <c r="A4723" t="s">
        <v>4729</v>
      </c>
      <c r="B4723" t="str">
        <f>"300940"</f>
        <v>300940</v>
      </c>
      <c r="C4723" t="s">
        <v>9791</v>
      </c>
      <c r="D4723" t="s">
        <v>803</v>
      </c>
      <c r="F4723">
        <v>302603812</v>
      </c>
      <c r="G4723">
        <v>498252410</v>
      </c>
      <c r="H4723">
        <v>366159926</v>
      </c>
      <c r="I4723">
        <v>369441891</v>
      </c>
      <c r="J4723">
        <v>274539507</v>
      </c>
      <c r="K4723">
        <v>238447493</v>
      </c>
      <c r="P4723">
        <v>39</v>
      </c>
      <c r="Q4723" t="s">
        <v>9792</v>
      </c>
    </row>
    <row r="4724" spans="1:17" x14ac:dyDescent="0.3">
      <c r="A4724" t="s">
        <v>4729</v>
      </c>
      <c r="B4724" t="str">
        <f>"300941"</f>
        <v>300941</v>
      </c>
      <c r="C4724" t="s">
        <v>9793</v>
      </c>
      <c r="D4724" t="s">
        <v>236</v>
      </c>
      <c r="F4724">
        <v>65157666</v>
      </c>
      <c r="G4724">
        <v>57998018</v>
      </c>
      <c r="H4724">
        <v>114415174</v>
      </c>
      <c r="I4724">
        <v>93543468</v>
      </c>
      <c r="J4724">
        <v>84735316</v>
      </c>
      <c r="K4724">
        <v>0</v>
      </c>
      <c r="P4724">
        <v>69</v>
      </c>
      <c r="Q4724" t="s">
        <v>9794</v>
      </c>
    </row>
    <row r="4725" spans="1:17" x14ac:dyDescent="0.3">
      <c r="A4725" t="s">
        <v>4729</v>
      </c>
      <c r="B4725" t="str">
        <f>"300942"</f>
        <v>300942</v>
      </c>
      <c r="C4725" t="s">
        <v>9795</v>
      </c>
      <c r="D4725" t="s">
        <v>1305</v>
      </c>
      <c r="F4725">
        <v>97051673</v>
      </c>
      <c r="G4725">
        <v>62299985</v>
      </c>
      <c r="H4725">
        <v>74180976</v>
      </c>
      <c r="I4725">
        <v>45712085</v>
      </c>
      <c r="J4725">
        <v>25411753</v>
      </c>
      <c r="K4725">
        <v>15705595</v>
      </c>
      <c r="P4725">
        <v>98</v>
      </c>
      <c r="Q4725" t="s">
        <v>9796</v>
      </c>
    </row>
    <row r="4726" spans="1:17" x14ac:dyDescent="0.3">
      <c r="A4726" t="s">
        <v>4729</v>
      </c>
      <c r="B4726" t="str">
        <f>"300943"</f>
        <v>300943</v>
      </c>
      <c r="C4726" t="s">
        <v>9797</v>
      </c>
      <c r="D4726" t="s">
        <v>274</v>
      </c>
      <c r="F4726">
        <v>127864190</v>
      </c>
      <c r="G4726">
        <v>134363601</v>
      </c>
      <c r="H4726">
        <v>144033402</v>
      </c>
      <c r="I4726">
        <v>160896705</v>
      </c>
      <c r="J4726">
        <v>155048551</v>
      </c>
      <c r="P4726">
        <v>35</v>
      </c>
      <c r="Q4726" t="s">
        <v>9798</v>
      </c>
    </row>
    <row r="4727" spans="1:17" x14ac:dyDescent="0.3">
      <c r="A4727" t="s">
        <v>4729</v>
      </c>
      <c r="B4727" t="str">
        <f>"300945"</f>
        <v>300945</v>
      </c>
      <c r="C4727" t="s">
        <v>9799</v>
      </c>
      <c r="D4727" t="s">
        <v>1238</v>
      </c>
      <c r="F4727">
        <v>60168391</v>
      </c>
      <c r="G4727">
        <v>38760073</v>
      </c>
      <c r="H4727">
        <v>43455641</v>
      </c>
      <c r="I4727">
        <v>44959926</v>
      </c>
      <c r="J4727">
        <v>52359758</v>
      </c>
      <c r="K4727">
        <v>0</v>
      </c>
      <c r="P4727">
        <v>36</v>
      </c>
      <c r="Q4727" t="s">
        <v>9800</v>
      </c>
    </row>
    <row r="4728" spans="1:17" x14ac:dyDescent="0.3">
      <c r="A4728" t="s">
        <v>4729</v>
      </c>
      <c r="B4728" t="str">
        <f>"300946"</f>
        <v>300946</v>
      </c>
      <c r="C4728" t="s">
        <v>9801</v>
      </c>
      <c r="D4728" t="s">
        <v>274</v>
      </c>
      <c r="F4728">
        <v>79702055</v>
      </c>
      <c r="G4728">
        <v>57554469</v>
      </c>
      <c r="H4728">
        <v>50301084</v>
      </c>
      <c r="I4728">
        <v>51386939</v>
      </c>
      <c r="J4728">
        <v>49105408</v>
      </c>
      <c r="P4728">
        <v>75</v>
      </c>
      <c r="Q4728" t="s">
        <v>9802</v>
      </c>
    </row>
    <row r="4729" spans="1:17" x14ac:dyDescent="0.3">
      <c r="A4729" t="s">
        <v>4729</v>
      </c>
      <c r="B4729" t="str">
        <f>"300947"</f>
        <v>300947</v>
      </c>
      <c r="C4729" t="s">
        <v>9803</v>
      </c>
      <c r="D4729" t="s">
        <v>271</v>
      </c>
      <c r="F4729">
        <v>5842723</v>
      </c>
      <c r="G4729">
        <v>10520383</v>
      </c>
      <c r="H4729">
        <v>9878005</v>
      </c>
      <c r="I4729">
        <v>3655836</v>
      </c>
      <c r="J4729">
        <v>4881793</v>
      </c>
      <c r="K4729">
        <v>3964846</v>
      </c>
      <c r="P4729">
        <v>28</v>
      </c>
      <c r="Q4729" t="s">
        <v>9804</v>
      </c>
    </row>
    <row r="4730" spans="1:17" x14ac:dyDescent="0.3">
      <c r="A4730" t="s">
        <v>4729</v>
      </c>
      <c r="B4730" t="str">
        <f>"300948"</f>
        <v>300948</v>
      </c>
      <c r="C4730" t="s">
        <v>9805</v>
      </c>
      <c r="D4730" t="s">
        <v>2417</v>
      </c>
      <c r="F4730">
        <v>318096206</v>
      </c>
      <c r="G4730">
        <v>194369987</v>
      </c>
      <c r="H4730">
        <v>187797952</v>
      </c>
      <c r="I4730">
        <v>144365756</v>
      </c>
      <c r="J4730">
        <v>114610821</v>
      </c>
      <c r="K4730">
        <v>89047814</v>
      </c>
      <c r="P4730">
        <v>38</v>
      </c>
      <c r="Q4730" t="s">
        <v>9806</v>
      </c>
    </row>
    <row r="4731" spans="1:17" x14ac:dyDescent="0.3">
      <c r="A4731" t="s">
        <v>4729</v>
      </c>
      <c r="B4731" t="str">
        <f>"300949"</f>
        <v>300949</v>
      </c>
      <c r="C4731" t="s">
        <v>9807</v>
      </c>
      <c r="D4731" t="s">
        <v>2417</v>
      </c>
      <c r="F4731">
        <v>315010958</v>
      </c>
      <c r="G4731">
        <v>194613235</v>
      </c>
      <c r="H4731">
        <v>165148604</v>
      </c>
      <c r="I4731">
        <v>86595475</v>
      </c>
      <c r="J4731">
        <v>64060919</v>
      </c>
      <c r="K4731">
        <v>0</v>
      </c>
      <c r="P4731">
        <v>39</v>
      </c>
      <c r="Q4731" t="s">
        <v>9808</v>
      </c>
    </row>
    <row r="4732" spans="1:17" x14ac:dyDescent="0.3">
      <c r="A4732" t="s">
        <v>4729</v>
      </c>
      <c r="B4732" t="str">
        <f>"300950"</f>
        <v>300950</v>
      </c>
      <c r="C4732" t="s">
        <v>9809</v>
      </c>
      <c r="D4732" t="s">
        <v>395</v>
      </c>
      <c r="F4732">
        <v>69715652</v>
      </c>
      <c r="G4732">
        <v>69038201</v>
      </c>
      <c r="H4732">
        <v>90173379</v>
      </c>
      <c r="I4732">
        <v>102092414</v>
      </c>
      <c r="J4732">
        <v>78237839</v>
      </c>
      <c r="K4732">
        <v>61188988</v>
      </c>
      <c r="P4732">
        <v>58</v>
      </c>
      <c r="Q4732" t="s">
        <v>9810</v>
      </c>
    </row>
    <row r="4733" spans="1:17" x14ac:dyDescent="0.3">
      <c r="A4733" t="s">
        <v>4729</v>
      </c>
      <c r="B4733" t="str">
        <f>"300951"</f>
        <v>300951</v>
      </c>
      <c r="C4733" t="s">
        <v>9811</v>
      </c>
      <c r="D4733" t="s">
        <v>313</v>
      </c>
      <c r="F4733">
        <v>445051197</v>
      </c>
      <c r="G4733">
        <v>460410051</v>
      </c>
      <c r="H4733">
        <v>280337620</v>
      </c>
      <c r="I4733">
        <v>306187528</v>
      </c>
      <c r="J4733">
        <v>173919359</v>
      </c>
      <c r="P4733">
        <v>67</v>
      </c>
      <c r="Q4733" t="s">
        <v>9812</v>
      </c>
    </row>
    <row r="4734" spans="1:17" x14ac:dyDescent="0.3">
      <c r="A4734" t="s">
        <v>4729</v>
      </c>
      <c r="B4734" t="str">
        <f>"300952"</f>
        <v>300952</v>
      </c>
      <c r="C4734" t="s">
        <v>9813</v>
      </c>
      <c r="D4734" t="s">
        <v>330</v>
      </c>
      <c r="F4734">
        <v>160253895</v>
      </c>
      <c r="G4734">
        <v>144200968</v>
      </c>
      <c r="H4734">
        <v>107416919</v>
      </c>
      <c r="I4734">
        <v>83118107</v>
      </c>
      <c r="J4734">
        <v>56316230</v>
      </c>
      <c r="K4734">
        <v>44067662</v>
      </c>
      <c r="P4734">
        <v>38</v>
      </c>
      <c r="Q4734" t="s">
        <v>9814</v>
      </c>
    </row>
    <row r="4735" spans="1:17" x14ac:dyDescent="0.3">
      <c r="A4735" t="s">
        <v>4729</v>
      </c>
      <c r="B4735" t="str">
        <f>"300953"</f>
        <v>300953</v>
      </c>
      <c r="C4735" t="s">
        <v>9815</v>
      </c>
      <c r="D4735" t="s">
        <v>274</v>
      </c>
      <c r="F4735">
        <v>672073279</v>
      </c>
      <c r="G4735">
        <v>406203716</v>
      </c>
      <c r="H4735">
        <v>202963902</v>
      </c>
      <c r="I4735">
        <v>208019218</v>
      </c>
      <c r="J4735">
        <v>116543653</v>
      </c>
      <c r="K4735">
        <v>101642424</v>
      </c>
      <c r="P4735">
        <v>84</v>
      </c>
      <c r="Q4735" t="s">
        <v>9816</v>
      </c>
    </row>
    <row r="4736" spans="1:17" x14ac:dyDescent="0.3">
      <c r="A4736" t="s">
        <v>4729</v>
      </c>
      <c r="B4736" t="str">
        <f>"300955"</f>
        <v>300955</v>
      </c>
      <c r="C4736" t="s">
        <v>9817</v>
      </c>
      <c r="D4736" t="s">
        <v>5979</v>
      </c>
      <c r="F4736">
        <v>285696820</v>
      </c>
      <c r="G4736">
        <v>260030383</v>
      </c>
      <c r="H4736">
        <v>180639584</v>
      </c>
      <c r="I4736">
        <v>240447194</v>
      </c>
      <c r="J4736">
        <v>169665101</v>
      </c>
      <c r="P4736">
        <v>42</v>
      </c>
      <c r="Q4736" t="s">
        <v>9818</v>
      </c>
    </row>
    <row r="4737" spans="1:17" x14ac:dyDescent="0.3">
      <c r="A4737" t="s">
        <v>4729</v>
      </c>
      <c r="B4737" t="str">
        <f>"300956"</f>
        <v>300956</v>
      </c>
      <c r="C4737" t="s">
        <v>9819</v>
      </c>
      <c r="D4737" t="s">
        <v>313</v>
      </c>
      <c r="F4737">
        <v>705301271</v>
      </c>
      <c r="G4737">
        <v>666807425</v>
      </c>
      <c r="H4737">
        <v>557465954</v>
      </c>
      <c r="I4737">
        <v>468464134</v>
      </c>
      <c r="J4737">
        <v>335339693</v>
      </c>
      <c r="P4737">
        <v>45</v>
      </c>
      <c r="Q4737" t="s">
        <v>9820</v>
      </c>
    </row>
    <row r="4738" spans="1:17" x14ac:dyDescent="0.3">
      <c r="A4738" t="s">
        <v>4729</v>
      </c>
      <c r="B4738" t="str">
        <f>"300957"</f>
        <v>300957</v>
      </c>
      <c r="C4738" t="s">
        <v>9821</v>
      </c>
      <c r="D4738" t="s">
        <v>709</v>
      </c>
      <c r="F4738">
        <v>247400932</v>
      </c>
      <c r="G4738">
        <v>186802633</v>
      </c>
      <c r="H4738">
        <v>112140232</v>
      </c>
      <c r="I4738">
        <v>104432446</v>
      </c>
      <c r="J4738">
        <v>54821205</v>
      </c>
      <c r="P4738">
        <v>350</v>
      </c>
      <c r="Q4738" t="s">
        <v>9822</v>
      </c>
    </row>
    <row r="4739" spans="1:17" x14ac:dyDescent="0.3">
      <c r="A4739" t="s">
        <v>4729</v>
      </c>
      <c r="B4739" t="str">
        <f>"300958"</f>
        <v>300958</v>
      </c>
      <c r="C4739" t="s">
        <v>9823</v>
      </c>
      <c r="D4739" t="s">
        <v>3575</v>
      </c>
      <c r="F4739">
        <v>457529565</v>
      </c>
      <c r="G4739">
        <v>475089474</v>
      </c>
      <c r="H4739">
        <v>879319696</v>
      </c>
      <c r="I4739">
        <v>564157621</v>
      </c>
      <c r="J4739">
        <v>590503294</v>
      </c>
      <c r="P4739">
        <v>28</v>
      </c>
      <c r="Q4739" t="s">
        <v>9824</v>
      </c>
    </row>
    <row r="4740" spans="1:17" x14ac:dyDescent="0.3">
      <c r="A4740" t="s">
        <v>4729</v>
      </c>
      <c r="B4740" t="str">
        <f>"300959"</f>
        <v>300959</v>
      </c>
      <c r="C4740" t="s">
        <v>9825</v>
      </c>
      <c r="D4740" t="s">
        <v>5670</v>
      </c>
      <c r="F4740">
        <v>183000050</v>
      </c>
      <c r="G4740">
        <v>190670015</v>
      </c>
      <c r="H4740">
        <v>135716479</v>
      </c>
      <c r="I4740">
        <v>86509183</v>
      </c>
      <c r="J4740">
        <v>31131143</v>
      </c>
      <c r="K4740">
        <v>32440288</v>
      </c>
      <c r="P4740">
        <v>31</v>
      </c>
      <c r="Q4740" t="s">
        <v>9826</v>
      </c>
    </row>
    <row r="4741" spans="1:17" x14ac:dyDescent="0.3">
      <c r="A4741" t="s">
        <v>4729</v>
      </c>
      <c r="B4741" t="str">
        <f>"300960"</f>
        <v>300960</v>
      </c>
      <c r="C4741" t="s">
        <v>9827</v>
      </c>
      <c r="D4741" t="s">
        <v>1012</v>
      </c>
      <c r="F4741">
        <v>194615752</v>
      </c>
      <c r="G4741">
        <v>181309130</v>
      </c>
      <c r="H4741">
        <v>155184750</v>
      </c>
      <c r="I4741">
        <v>133821325</v>
      </c>
      <c r="J4741">
        <v>100823013</v>
      </c>
      <c r="K4741">
        <v>102621680</v>
      </c>
      <c r="P4741">
        <v>26</v>
      </c>
      <c r="Q4741" t="s">
        <v>9828</v>
      </c>
    </row>
    <row r="4742" spans="1:17" x14ac:dyDescent="0.3">
      <c r="A4742" t="s">
        <v>4729</v>
      </c>
      <c r="B4742" t="str">
        <f>"300961"</f>
        <v>300961</v>
      </c>
      <c r="C4742" t="s">
        <v>9829</v>
      </c>
      <c r="D4742" t="s">
        <v>33</v>
      </c>
      <c r="F4742">
        <v>328891638</v>
      </c>
      <c r="G4742">
        <v>185488954</v>
      </c>
      <c r="H4742">
        <v>139235059</v>
      </c>
      <c r="I4742">
        <v>148456585</v>
      </c>
      <c r="J4742">
        <v>62281825</v>
      </c>
      <c r="K4742">
        <v>76513962</v>
      </c>
      <c r="P4742">
        <v>27</v>
      </c>
      <c r="Q4742" t="s">
        <v>9830</v>
      </c>
    </row>
    <row r="4743" spans="1:17" x14ac:dyDescent="0.3">
      <c r="A4743" t="s">
        <v>4729</v>
      </c>
      <c r="B4743" t="str">
        <f>"300962"</f>
        <v>300962</v>
      </c>
      <c r="C4743" t="s">
        <v>9831</v>
      </c>
      <c r="D4743" t="s">
        <v>9832</v>
      </c>
      <c r="F4743">
        <v>15975952</v>
      </c>
      <c r="G4743">
        <v>15618327</v>
      </c>
      <c r="H4743">
        <v>19415073</v>
      </c>
      <c r="I4743">
        <v>13433095</v>
      </c>
      <c r="J4743">
        <v>20502940</v>
      </c>
      <c r="K4743">
        <v>19002074</v>
      </c>
      <c r="P4743">
        <v>32</v>
      </c>
      <c r="Q4743" t="s">
        <v>9833</v>
      </c>
    </row>
    <row r="4744" spans="1:17" x14ac:dyDescent="0.3">
      <c r="A4744" t="s">
        <v>4729</v>
      </c>
      <c r="B4744" t="str">
        <f>"300963"</f>
        <v>300963</v>
      </c>
      <c r="C4744" t="s">
        <v>9834</v>
      </c>
      <c r="D4744" t="s">
        <v>581</v>
      </c>
      <c r="F4744">
        <v>229047843</v>
      </c>
      <c r="G4744">
        <v>213667923</v>
      </c>
      <c r="H4744">
        <v>211924053</v>
      </c>
      <c r="I4744">
        <v>198268593</v>
      </c>
      <c r="J4744">
        <v>179812834</v>
      </c>
      <c r="K4744">
        <v>193880996</v>
      </c>
      <c r="P4744">
        <v>35</v>
      </c>
      <c r="Q4744" t="s">
        <v>9835</v>
      </c>
    </row>
    <row r="4745" spans="1:17" x14ac:dyDescent="0.3">
      <c r="A4745" t="s">
        <v>4729</v>
      </c>
      <c r="B4745" t="str">
        <f>"300964"</f>
        <v>300964</v>
      </c>
      <c r="C4745" t="s">
        <v>9836</v>
      </c>
      <c r="D4745" t="s">
        <v>425</v>
      </c>
      <c r="F4745">
        <v>163117389</v>
      </c>
      <c r="G4745">
        <v>117043915</v>
      </c>
      <c r="H4745">
        <v>166784463</v>
      </c>
      <c r="I4745">
        <v>119025388</v>
      </c>
      <c r="J4745">
        <v>71129001</v>
      </c>
      <c r="P4745">
        <v>20</v>
      </c>
      <c r="Q4745" t="s">
        <v>9837</v>
      </c>
    </row>
    <row r="4746" spans="1:17" x14ac:dyDescent="0.3">
      <c r="A4746" t="s">
        <v>4729</v>
      </c>
      <c r="B4746" t="str">
        <f>"300965"</f>
        <v>300965</v>
      </c>
      <c r="C4746" t="s">
        <v>9838</v>
      </c>
      <c r="D4746" t="s">
        <v>98</v>
      </c>
      <c r="F4746">
        <v>283358311</v>
      </c>
      <c r="G4746">
        <v>278705784</v>
      </c>
      <c r="H4746">
        <v>263046165</v>
      </c>
      <c r="I4746">
        <v>225779874</v>
      </c>
      <c r="J4746">
        <v>237835000</v>
      </c>
      <c r="K4746">
        <v>266842200</v>
      </c>
      <c r="P4746">
        <v>31</v>
      </c>
      <c r="Q4746" t="s">
        <v>9839</v>
      </c>
    </row>
    <row r="4747" spans="1:17" x14ac:dyDescent="0.3">
      <c r="A4747" t="s">
        <v>4729</v>
      </c>
      <c r="B4747" t="str">
        <f>"300966"</f>
        <v>300966</v>
      </c>
      <c r="C4747" t="s">
        <v>9840</v>
      </c>
      <c r="D4747" t="s">
        <v>496</v>
      </c>
      <c r="F4747">
        <v>184261731</v>
      </c>
      <c r="G4747">
        <v>207182891</v>
      </c>
      <c r="H4747">
        <v>172736591</v>
      </c>
      <c r="I4747">
        <v>99470105</v>
      </c>
      <c r="J4747">
        <v>97129707</v>
      </c>
      <c r="P4747">
        <v>32</v>
      </c>
      <c r="Q4747" t="s">
        <v>9841</v>
      </c>
    </row>
    <row r="4748" spans="1:17" x14ac:dyDescent="0.3">
      <c r="A4748" t="s">
        <v>4729</v>
      </c>
      <c r="B4748" t="str">
        <f>"300967"</f>
        <v>300967</v>
      </c>
      <c r="C4748" t="s">
        <v>9842</v>
      </c>
      <c r="D4748" t="s">
        <v>6260</v>
      </c>
      <c r="F4748">
        <v>15005068</v>
      </c>
      <c r="G4748">
        <v>10790348</v>
      </c>
      <c r="H4748">
        <v>12304095</v>
      </c>
      <c r="I4748">
        <v>10382313</v>
      </c>
      <c r="J4748">
        <v>6886518</v>
      </c>
      <c r="P4748">
        <v>34</v>
      </c>
      <c r="Q4748" t="s">
        <v>9843</v>
      </c>
    </row>
    <row r="4749" spans="1:17" x14ac:dyDescent="0.3">
      <c r="A4749" t="s">
        <v>4729</v>
      </c>
      <c r="B4749" t="str">
        <f>"300968"</f>
        <v>300968</v>
      </c>
      <c r="C4749" t="s">
        <v>9844</v>
      </c>
      <c r="D4749" t="s">
        <v>313</v>
      </c>
      <c r="F4749">
        <v>427736398</v>
      </c>
      <c r="G4749">
        <v>558307128</v>
      </c>
      <c r="H4749">
        <v>379316213</v>
      </c>
      <c r="I4749">
        <v>323477351</v>
      </c>
      <c r="J4749">
        <v>281041848</v>
      </c>
      <c r="K4749">
        <v>367672339</v>
      </c>
      <c r="P4749">
        <v>31</v>
      </c>
      <c r="Q4749" t="s">
        <v>9845</v>
      </c>
    </row>
    <row r="4750" spans="1:17" x14ac:dyDescent="0.3">
      <c r="A4750" t="s">
        <v>4729</v>
      </c>
      <c r="B4750" t="str">
        <f>"300969"</f>
        <v>300969</v>
      </c>
      <c r="C4750" t="s">
        <v>9846</v>
      </c>
      <c r="D4750" t="s">
        <v>191</v>
      </c>
      <c r="F4750">
        <v>149399369</v>
      </c>
      <c r="G4750">
        <v>85609794</v>
      </c>
      <c r="H4750">
        <v>63012521</v>
      </c>
      <c r="I4750">
        <v>64631664</v>
      </c>
      <c r="J4750">
        <v>56155964</v>
      </c>
      <c r="P4750">
        <v>42</v>
      </c>
      <c r="Q4750" t="s">
        <v>9847</v>
      </c>
    </row>
    <row r="4751" spans="1:17" x14ac:dyDescent="0.3">
      <c r="A4751" t="s">
        <v>4729</v>
      </c>
      <c r="B4751" t="str">
        <f>"300970"</f>
        <v>300970</v>
      </c>
      <c r="C4751" t="s">
        <v>9848</v>
      </c>
      <c r="D4751" t="s">
        <v>7331</v>
      </c>
      <c r="F4751">
        <v>36945040</v>
      </c>
      <c r="G4751">
        <v>15533316</v>
      </c>
      <c r="H4751">
        <v>8552515</v>
      </c>
      <c r="I4751">
        <v>14815011</v>
      </c>
      <c r="J4751">
        <v>10330291</v>
      </c>
      <c r="K4751">
        <v>7469879</v>
      </c>
      <c r="P4751">
        <v>25</v>
      </c>
      <c r="Q4751" t="s">
        <v>9849</v>
      </c>
    </row>
    <row r="4752" spans="1:17" x14ac:dyDescent="0.3">
      <c r="A4752" t="s">
        <v>4729</v>
      </c>
      <c r="B4752" t="str">
        <f>"300971"</f>
        <v>300971</v>
      </c>
      <c r="C4752" t="s">
        <v>9850</v>
      </c>
      <c r="D4752" t="s">
        <v>741</v>
      </c>
      <c r="F4752">
        <v>174865403</v>
      </c>
      <c r="G4752">
        <v>154571394</v>
      </c>
      <c r="H4752">
        <v>122293390</v>
      </c>
      <c r="I4752">
        <v>95025810</v>
      </c>
      <c r="J4752">
        <v>75220851</v>
      </c>
      <c r="P4752">
        <v>39</v>
      </c>
      <c r="Q4752" t="s">
        <v>9851</v>
      </c>
    </row>
    <row r="4753" spans="1:17" x14ac:dyDescent="0.3">
      <c r="A4753" t="s">
        <v>4729</v>
      </c>
      <c r="B4753" t="str">
        <f>"300972"</f>
        <v>300972</v>
      </c>
      <c r="C4753" t="s">
        <v>9852</v>
      </c>
      <c r="D4753" t="s">
        <v>7331</v>
      </c>
      <c r="F4753">
        <v>8236747</v>
      </c>
      <c r="G4753">
        <v>2367326</v>
      </c>
      <c r="H4753">
        <v>2465594</v>
      </c>
      <c r="I4753">
        <v>8674478</v>
      </c>
      <c r="J4753">
        <v>2328101</v>
      </c>
      <c r="P4753">
        <v>22</v>
      </c>
      <c r="Q4753" t="s">
        <v>9853</v>
      </c>
    </row>
    <row r="4754" spans="1:17" x14ac:dyDescent="0.3">
      <c r="A4754" t="s">
        <v>4729</v>
      </c>
      <c r="B4754" t="str">
        <f>"300973"</f>
        <v>300973</v>
      </c>
      <c r="C4754" t="s">
        <v>9854</v>
      </c>
      <c r="D4754" t="s">
        <v>2488</v>
      </c>
      <c r="F4754">
        <v>200362337</v>
      </c>
      <c r="G4754">
        <v>112731751</v>
      </c>
      <c r="H4754">
        <v>80409385</v>
      </c>
      <c r="I4754">
        <v>61270863</v>
      </c>
      <c r="J4754">
        <v>59001198</v>
      </c>
      <c r="P4754">
        <v>140</v>
      </c>
      <c r="Q4754" t="s">
        <v>9855</v>
      </c>
    </row>
    <row r="4755" spans="1:17" x14ac:dyDescent="0.3">
      <c r="A4755" t="s">
        <v>4729</v>
      </c>
      <c r="B4755" t="str">
        <f>"300975"</f>
        <v>300975</v>
      </c>
      <c r="C4755" t="s">
        <v>9856</v>
      </c>
      <c r="D4755" t="s">
        <v>651</v>
      </c>
      <c r="F4755">
        <v>1648068864</v>
      </c>
      <c r="G4755">
        <v>954341607</v>
      </c>
      <c r="H4755">
        <v>630356890</v>
      </c>
      <c r="I4755">
        <v>715736661</v>
      </c>
      <c r="J4755">
        <v>478804581</v>
      </c>
      <c r="P4755">
        <v>30</v>
      </c>
      <c r="Q4755" t="s">
        <v>9857</v>
      </c>
    </row>
    <row r="4756" spans="1:17" x14ac:dyDescent="0.3">
      <c r="A4756" t="s">
        <v>4729</v>
      </c>
      <c r="B4756" t="str">
        <f>"300976"</f>
        <v>300976</v>
      </c>
      <c r="C4756" t="s">
        <v>9858</v>
      </c>
      <c r="D4756" t="s">
        <v>313</v>
      </c>
      <c r="F4756">
        <v>296496202</v>
      </c>
      <c r="G4756">
        <v>294624711</v>
      </c>
      <c r="H4756">
        <v>149422806</v>
      </c>
      <c r="I4756">
        <v>150497537</v>
      </c>
      <c r="J4756">
        <v>108195816</v>
      </c>
      <c r="P4756">
        <v>35</v>
      </c>
      <c r="Q4756" t="s">
        <v>9859</v>
      </c>
    </row>
    <row r="4757" spans="1:17" x14ac:dyDescent="0.3">
      <c r="A4757" t="s">
        <v>4729</v>
      </c>
      <c r="B4757" t="str">
        <f>"300977"</f>
        <v>300977</v>
      </c>
      <c r="C4757" t="s">
        <v>9860</v>
      </c>
      <c r="D4757" t="s">
        <v>1272</v>
      </c>
      <c r="F4757">
        <v>364442661</v>
      </c>
      <c r="G4757">
        <v>271322009</v>
      </c>
      <c r="H4757">
        <v>219607126</v>
      </c>
      <c r="I4757">
        <v>143351600</v>
      </c>
      <c r="J4757">
        <v>75395507</v>
      </c>
      <c r="K4757">
        <v>45016607</v>
      </c>
      <c r="P4757">
        <v>46</v>
      </c>
      <c r="Q4757" t="s">
        <v>9861</v>
      </c>
    </row>
    <row r="4758" spans="1:17" x14ac:dyDescent="0.3">
      <c r="A4758" t="s">
        <v>4729</v>
      </c>
      <c r="B4758" t="str">
        <f>"300978"</f>
        <v>300978</v>
      </c>
      <c r="C4758" t="s">
        <v>9862</v>
      </c>
      <c r="D4758" t="s">
        <v>191</v>
      </c>
      <c r="F4758">
        <v>461798316</v>
      </c>
      <c r="G4758">
        <v>322299028</v>
      </c>
      <c r="H4758">
        <v>310484703</v>
      </c>
      <c r="I4758">
        <v>373559270</v>
      </c>
      <c r="J4758">
        <v>385606174</v>
      </c>
      <c r="K4758">
        <v>301204527</v>
      </c>
      <c r="P4758">
        <v>37</v>
      </c>
      <c r="Q4758" t="s">
        <v>9863</v>
      </c>
    </row>
    <row r="4759" spans="1:17" x14ac:dyDescent="0.3">
      <c r="A4759" t="s">
        <v>4729</v>
      </c>
      <c r="B4759" t="str">
        <f>"300979"</f>
        <v>300979</v>
      </c>
      <c r="C4759" t="s">
        <v>9864</v>
      </c>
      <c r="D4759" t="s">
        <v>9865</v>
      </c>
      <c r="F4759">
        <v>2487496813</v>
      </c>
      <c r="G4759">
        <v>1769893626</v>
      </c>
      <c r="H4759">
        <v>2230934424</v>
      </c>
      <c r="I4759">
        <v>1722772349</v>
      </c>
      <c r="J4759">
        <v>1333203075</v>
      </c>
      <c r="P4759">
        <v>95</v>
      </c>
      <c r="Q4759" t="s">
        <v>9866</v>
      </c>
    </row>
    <row r="4760" spans="1:17" x14ac:dyDescent="0.3">
      <c r="A4760" t="s">
        <v>4729</v>
      </c>
      <c r="B4760" t="str">
        <f>"300980"</f>
        <v>300980</v>
      </c>
      <c r="C4760" t="s">
        <v>9867</v>
      </c>
      <c r="D4760" t="s">
        <v>1192</v>
      </c>
      <c r="F4760">
        <v>110432234</v>
      </c>
      <c r="G4760">
        <v>71160818</v>
      </c>
      <c r="H4760">
        <v>51211356</v>
      </c>
      <c r="I4760">
        <v>43291408</v>
      </c>
      <c r="J4760">
        <v>29267402</v>
      </c>
      <c r="P4760">
        <v>77</v>
      </c>
      <c r="Q4760" t="s">
        <v>9868</v>
      </c>
    </row>
    <row r="4761" spans="1:17" x14ac:dyDescent="0.3">
      <c r="A4761" t="s">
        <v>4729</v>
      </c>
      <c r="B4761" t="str">
        <f>"300981"</f>
        <v>300981</v>
      </c>
      <c r="C4761" t="s">
        <v>9869</v>
      </c>
      <c r="D4761" t="s">
        <v>1077</v>
      </c>
      <c r="F4761">
        <v>232456059</v>
      </c>
      <c r="G4761">
        <v>376197025</v>
      </c>
      <c r="H4761">
        <v>161061083</v>
      </c>
      <c r="I4761">
        <v>153213684</v>
      </c>
      <c r="J4761">
        <v>133151032</v>
      </c>
      <c r="P4761">
        <v>127</v>
      </c>
      <c r="Q4761" t="s">
        <v>9870</v>
      </c>
    </row>
    <row r="4762" spans="1:17" x14ac:dyDescent="0.3">
      <c r="A4762" t="s">
        <v>4729</v>
      </c>
      <c r="B4762" t="str">
        <f>"300982"</f>
        <v>300982</v>
      </c>
      <c r="C4762" t="s">
        <v>9871</v>
      </c>
      <c r="D4762" t="s">
        <v>101</v>
      </c>
      <c r="F4762">
        <v>931595749</v>
      </c>
      <c r="G4762">
        <v>682819553</v>
      </c>
      <c r="H4762">
        <v>405101765</v>
      </c>
      <c r="I4762">
        <v>234127255</v>
      </c>
      <c r="J4762">
        <v>142664602</v>
      </c>
      <c r="K4762">
        <v>0</v>
      </c>
      <c r="P4762">
        <v>65</v>
      </c>
      <c r="Q4762" t="s">
        <v>9872</v>
      </c>
    </row>
    <row r="4763" spans="1:17" x14ac:dyDescent="0.3">
      <c r="A4763" t="s">
        <v>4729</v>
      </c>
      <c r="B4763" t="str">
        <f>"300983"</f>
        <v>300983</v>
      </c>
      <c r="C4763" t="s">
        <v>9873</v>
      </c>
      <c r="D4763" t="s">
        <v>1272</v>
      </c>
      <c r="F4763">
        <v>771885624</v>
      </c>
      <c r="G4763">
        <v>563794819</v>
      </c>
      <c r="H4763">
        <v>425867303</v>
      </c>
      <c r="I4763">
        <v>365055349</v>
      </c>
      <c r="J4763">
        <v>315373377</v>
      </c>
      <c r="P4763">
        <v>34</v>
      </c>
      <c r="Q4763" t="s">
        <v>9874</v>
      </c>
    </row>
    <row r="4764" spans="1:17" x14ac:dyDescent="0.3">
      <c r="A4764" t="s">
        <v>4729</v>
      </c>
      <c r="B4764" t="str">
        <f>"300984"</f>
        <v>300984</v>
      </c>
      <c r="C4764" t="s">
        <v>9875</v>
      </c>
      <c r="D4764" t="s">
        <v>560</v>
      </c>
      <c r="F4764">
        <v>221196463</v>
      </c>
      <c r="G4764">
        <v>133313896</v>
      </c>
      <c r="H4764">
        <v>129377134</v>
      </c>
      <c r="I4764">
        <v>127541320</v>
      </c>
      <c r="J4764">
        <v>98967701</v>
      </c>
      <c r="P4764">
        <v>18</v>
      </c>
      <c r="Q4764" t="s">
        <v>9876</v>
      </c>
    </row>
    <row r="4765" spans="1:17" x14ac:dyDescent="0.3">
      <c r="A4765" t="s">
        <v>4729</v>
      </c>
      <c r="B4765" t="str">
        <f>"300985"</f>
        <v>300985</v>
      </c>
      <c r="C4765" t="s">
        <v>9877</v>
      </c>
      <c r="D4765" t="s">
        <v>274</v>
      </c>
      <c r="F4765">
        <v>47938147</v>
      </c>
      <c r="G4765">
        <v>227832524</v>
      </c>
      <c r="H4765">
        <v>144211256</v>
      </c>
      <c r="I4765">
        <v>91720420</v>
      </c>
      <c r="J4765">
        <v>9977639</v>
      </c>
      <c r="P4765">
        <v>32</v>
      </c>
      <c r="Q4765" t="s">
        <v>9878</v>
      </c>
    </row>
    <row r="4766" spans="1:17" x14ac:dyDescent="0.3">
      <c r="A4766" t="s">
        <v>4729</v>
      </c>
      <c r="B4766" t="str">
        <f>"300986"</f>
        <v>300986</v>
      </c>
      <c r="C4766" t="s">
        <v>9879</v>
      </c>
      <c r="D4766" t="s">
        <v>504</v>
      </c>
      <c r="F4766">
        <v>490900309</v>
      </c>
      <c r="G4766">
        <v>284838771</v>
      </c>
      <c r="H4766">
        <v>164001838</v>
      </c>
      <c r="I4766">
        <v>94032710</v>
      </c>
      <c r="J4766">
        <v>92737419</v>
      </c>
      <c r="K4766">
        <v>63543600</v>
      </c>
      <c r="P4766">
        <v>34</v>
      </c>
      <c r="Q4766" t="s">
        <v>9880</v>
      </c>
    </row>
    <row r="4767" spans="1:17" x14ac:dyDescent="0.3">
      <c r="A4767" t="s">
        <v>4729</v>
      </c>
      <c r="B4767" t="str">
        <f>"300987"</f>
        <v>300987</v>
      </c>
      <c r="C4767" t="s">
        <v>9881</v>
      </c>
      <c r="D4767" t="s">
        <v>522</v>
      </c>
      <c r="F4767">
        <v>60456381</v>
      </c>
      <c r="G4767">
        <v>51518385</v>
      </c>
      <c r="H4767">
        <v>62827108</v>
      </c>
      <c r="I4767">
        <v>56429408</v>
      </c>
      <c r="J4767">
        <v>41019735</v>
      </c>
      <c r="K4767">
        <v>0</v>
      </c>
      <c r="P4767">
        <v>24</v>
      </c>
      <c r="Q4767" t="s">
        <v>9882</v>
      </c>
    </row>
    <row r="4768" spans="1:17" x14ac:dyDescent="0.3">
      <c r="A4768" t="s">
        <v>4729</v>
      </c>
      <c r="B4768" t="str">
        <f>"300988"</f>
        <v>300988</v>
      </c>
      <c r="C4768" t="s">
        <v>9883</v>
      </c>
      <c r="D4768" t="s">
        <v>741</v>
      </c>
      <c r="F4768">
        <v>247019494</v>
      </c>
      <c r="G4768">
        <v>203696622</v>
      </c>
      <c r="H4768">
        <v>185806556</v>
      </c>
      <c r="I4768">
        <v>142844013</v>
      </c>
      <c r="J4768">
        <v>132816703</v>
      </c>
      <c r="P4768">
        <v>20</v>
      </c>
      <c r="Q4768" t="s">
        <v>9884</v>
      </c>
    </row>
    <row r="4769" spans="1:17" x14ac:dyDescent="0.3">
      <c r="A4769" t="s">
        <v>4729</v>
      </c>
      <c r="B4769" t="str">
        <f>"300989"</f>
        <v>300989</v>
      </c>
      <c r="C4769" t="s">
        <v>9885</v>
      </c>
      <c r="D4769" t="s">
        <v>1272</v>
      </c>
      <c r="F4769">
        <v>110338773</v>
      </c>
      <c r="G4769">
        <v>56883760</v>
      </c>
      <c r="H4769">
        <v>43594745</v>
      </c>
      <c r="I4769">
        <v>19277831</v>
      </c>
      <c r="J4769">
        <v>17383671</v>
      </c>
      <c r="P4769">
        <v>32</v>
      </c>
      <c r="Q4769" t="s">
        <v>9886</v>
      </c>
    </row>
    <row r="4770" spans="1:17" x14ac:dyDescent="0.3">
      <c r="A4770" t="s">
        <v>4729</v>
      </c>
      <c r="B4770" t="str">
        <f>"300990"</f>
        <v>300990</v>
      </c>
      <c r="C4770" t="s">
        <v>9887</v>
      </c>
      <c r="D4770" t="s">
        <v>988</v>
      </c>
      <c r="F4770">
        <v>211265834</v>
      </c>
      <c r="G4770">
        <v>129441932</v>
      </c>
      <c r="H4770">
        <v>108553480</v>
      </c>
      <c r="I4770">
        <v>68861820</v>
      </c>
      <c r="J4770">
        <v>62652389</v>
      </c>
      <c r="P4770">
        <v>42</v>
      </c>
      <c r="Q4770" t="s">
        <v>9888</v>
      </c>
    </row>
    <row r="4771" spans="1:17" x14ac:dyDescent="0.3">
      <c r="A4771" t="s">
        <v>4729</v>
      </c>
      <c r="B4771" t="str">
        <f>"300991"</f>
        <v>300991</v>
      </c>
      <c r="C4771" t="s">
        <v>9889</v>
      </c>
      <c r="D4771" t="s">
        <v>651</v>
      </c>
      <c r="F4771">
        <v>132232117</v>
      </c>
      <c r="G4771">
        <v>145780077</v>
      </c>
      <c r="H4771">
        <v>151293715</v>
      </c>
      <c r="I4771">
        <v>130878899</v>
      </c>
      <c r="J4771">
        <v>117630419</v>
      </c>
      <c r="P4771">
        <v>58</v>
      </c>
      <c r="Q4771" t="s">
        <v>9890</v>
      </c>
    </row>
    <row r="4772" spans="1:17" x14ac:dyDescent="0.3">
      <c r="A4772" t="s">
        <v>4729</v>
      </c>
      <c r="B4772" t="str">
        <f>"300992"</f>
        <v>300992</v>
      </c>
      <c r="C4772" t="s">
        <v>9891</v>
      </c>
      <c r="D4772" t="s">
        <v>560</v>
      </c>
      <c r="F4772">
        <v>116271408</v>
      </c>
      <c r="G4772">
        <v>93180647</v>
      </c>
      <c r="H4772">
        <v>90982913</v>
      </c>
      <c r="I4772">
        <v>70307589</v>
      </c>
      <c r="J4772">
        <v>38859823</v>
      </c>
      <c r="P4772">
        <v>26</v>
      </c>
      <c r="Q4772" t="s">
        <v>9892</v>
      </c>
    </row>
    <row r="4773" spans="1:17" x14ac:dyDescent="0.3">
      <c r="A4773" t="s">
        <v>4729</v>
      </c>
      <c r="B4773" t="str">
        <f>"300993"</f>
        <v>300993</v>
      </c>
      <c r="C4773" t="s">
        <v>9893</v>
      </c>
      <c r="D4773" t="s">
        <v>2445</v>
      </c>
      <c r="F4773">
        <v>42077906</v>
      </c>
      <c r="G4773">
        <v>36109825</v>
      </c>
      <c r="H4773">
        <v>28544079</v>
      </c>
      <c r="I4773">
        <v>40121567</v>
      </c>
      <c r="J4773">
        <v>36676117</v>
      </c>
      <c r="P4773">
        <v>31</v>
      </c>
      <c r="Q4773" t="s">
        <v>9894</v>
      </c>
    </row>
    <row r="4774" spans="1:17" x14ac:dyDescent="0.3">
      <c r="A4774" t="s">
        <v>4729</v>
      </c>
      <c r="B4774" t="str">
        <f>"300994"</f>
        <v>300994</v>
      </c>
      <c r="C4774" t="s">
        <v>9895</v>
      </c>
      <c r="D4774" t="s">
        <v>233</v>
      </c>
      <c r="F4774">
        <v>690034990</v>
      </c>
      <c r="G4774">
        <v>402839239</v>
      </c>
      <c r="H4774">
        <v>330532858</v>
      </c>
      <c r="I4774">
        <v>296208004</v>
      </c>
      <c r="J4774">
        <v>256227939</v>
      </c>
      <c r="P4774">
        <v>21</v>
      </c>
      <c r="Q4774" t="s">
        <v>9896</v>
      </c>
    </row>
    <row r="4775" spans="1:17" x14ac:dyDescent="0.3">
      <c r="A4775" t="s">
        <v>4729</v>
      </c>
      <c r="B4775" t="str">
        <f>"300995"</f>
        <v>300995</v>
      </c>
      <c r="C4775" t="s">
        <v>9897</v>
      </c>
      <c r="D4775" t="s">
        <v>341</v>
      </c>
      <c r="F4775">
        <v>93694175</v>
      </c>
      <c r="G4775">
        <v>74224128</v>
      </c>
      <c r="H4775">
        <v>76444339</v>
      </c>
      <c r="I4775">
        <v>60833145</v>
      </c>
      <c r="J4775">
        <v>50369738</v>
      </c>
      <c r="P4775">
        <v>26</v>
      </c>
      <c r="Q4775" t="s">
        <v>9898</v>
      </c>
    </row>
    <row r="4776" spans="1:17" x14ac:dyDescent="0.3">
      <c r="A4776" t="s">
        <v>4729</v>
      </c>
      <c r="B4776" t="str">
        <f>"300996"</f>
        <v>300996</v>
      </c>
      <c r="C4776" t="s">
        <v>9899</v>
      </c>
      <c r="D4776" t="s">
        <v>945</v>
      </c>
      <c r="F4776">
        <v>228472121</v>
      </c>
      <c r="G4776">
        <v>203245374</v>
      </c>
      <c r="H4776">
        <v>161675403</v>
      </c>
      <c r="I4776">
        <v>141196854</v>
      </c>
      <c r="J4776">
        <v>131742356</v>
      </c>
      <c r="P4776">
        <v>42</v>
      </c>
      <c r="Q4776" t="s">
        <v>9900</v>
      </c>
    </row>
    <row r="4777" spans="1:17" x14ac:dyDescent="0.3">
      <c r="A4777" t="s">
        <v>4729</v>
      </c>
      <c r="B4777" t="str">
        <f>"300997"</f>
        <v>300997</v>
      </c>
      <c r="C4777" t="s">
        <v>9901</v>
      </c>
      <c r="D4777" t="s">
        <v>440</v>
      </c>
      <c r="F4777">
        <v>169998345</v>
      </c>
      <c r="G4777">
        <v>142504793</v>
      </c>
      <c r="H4777">
        <v>81180654</v>
      </c>
      <c r="I4777">
        <v>116532523</v>
      </c>
      <c r="J4777">
        <v>161046433</v>
      </c>
      <c r="P4777">
        <v>39</v>
      </c>
      <c r="Q4777" t="s">
        <v>9902</v>
      </c>
    </row>
    <row r="4778" spans="1:17" x14ac:dyDescent="0.3">
      <c r="A4778" t="s">
        <v>4729</v>
      </c>
      <c r="B4778" t="str">
        <f>"300998"</f>
        <v>300998</v>
      </c>
      <c r="C4778" t="s">
        <v>9903</v>
      </c>
      <c r="D4778" t="s">
        <v>985</v>
      </c>
      <c r="F4778">
        <v>183528605</v>
      </c>
      <c r="G4778">
        <v>154735415</v>
      </c>
      <c r="H4778">
        <v>104444994</v>
      </c>
      <c r="I4778">
        <v>92270404</v>
      </c>
      <c r="J4778">
        <v>61622741</v>
      </c>
      <c r="K4778">
        <v>60945797</v>
      </c>
      <c r="P4778">
        <v>26</v>
      </c>
      <c r="Q4778" t="s">
        <v>9904</v>
      </c>
    </row>
    <row r="4779" spans="1:17" x14ac:dyDescent="0.3">
      <c r="A4779" t="s">
        <v>4729</v>
      </c>
      <c r="B4779" t="str">
        <f>"300999"</f>
        <v>300999</v>
      </c>
      <c r="C4779" t="s">
        <v>9905</v>
      </c>
      <c r="D4779" t="s">
        <v>306</v>
      </c>
      <c r="F4779">
        <v>8803400000</v>
      </c>
      <c r="G4779">
        <v>7133487000</v>
      </c>
      <c r="H4779">
        <v>6188406000</v>
      </c>
      <c r="I4779">
        <v>5144783000</v>
      </c>
      <c r="J4779">
        <v>4864881000</v>
      </c>
      <c r="K4779">
        <v>5669060000</v>
      </c>
      <c r="P4779">
        <v>1181</v>
      </c>
      <c r="Q4779" t="s">
        <v>9906</v>
      </c>
    </row>
    <row r="4780" spans="1:17" x14ac:dyDescent="0.3">
      <c r="A4780" t="s">
        <v>4729</v>
      </c>
      <c r="B4780" t="str">
        <f>"301000"</f>
        <v>301000</v>
      </c>
      <c r="C4780" t="s">
        <v>9907</v>
      </c>
      <c r="D4780" t="s">
        <v>985</v>
      </c>
      <c r="F4780">
        <v>161142545</v>
      </c>
      <c r="G4780">
        <v>180041487</v>
      </c>
      <c r="H4780">
        <v>121163300</v>
      </c>
      <c r="I4780">
        <v>84686213</v>
      </c>
      <c r="J4780">
        <v>75430384</v>
      </c>
      <c r="P4780">
        <v>25</v>
      </c>
      <c r="Q4780" t="s">
        <v>9908</v>
      </c>
    </row>
    <row r="4781" spans="1:17" x14ac:dyDescent="0.3">
      <c r="A4781" t="s">
        <v>4729</v>
      </c>
      <c r="B4781" t="str">
        <f>"301001"</f>
        <v>301001</v>
      </c>
      <c r="C4781" t="s">
        <v>9909</v>
      </c>
      <c r="D4781" t="s">
        <v>3617</v>
      </c>
      <c r="F4781">
        <v>249235191</v>
      </c>
      <c r="G4781">
        <v>202662011</v>
      </c>
      <c r="H4781">
        <v>202347715</v>
      </c>
      <c r="I4781">
        <v>161356989</v>
      </c>
      <c r="J4781">
        <v>146190790</v>
      </c>
      <c r="P4781">
        <v>23</v>
      </c>
      <c r="Q4781" t="s">
        <v>9910</v>
      </c>
    </row>
    <row r="4782" spans="1:17" x14ac:dyDescent="0.3">
      <c r="A4782" t="s">
        <v>4729</v>
      </c>
      <c r="B4782" t="str">
        <f>"301002"</f>
        <v>301002</v>
      </c>
      <c r="C4782" t="s">
        <v>9911</v>
      </c>
      <c r="D4782" t="s">
        <v>210</v>
      </c>
      <c r="F4782">
        <v>381813184</v>
      </c>
      <c r="G4782">
        <v>244117638</v>
      </c>
      <c r="H4782">
        <v>182923466</v>
      </c>
      <c r="I4782">
        <v>148109836</v>
      </c>
      <c r="J4782">
        <v>82756673</v>
      </c>
      <c r="P4782">
        <v>43</v>
      </c>
      <c r="Q4782" t="s">
        <v>9912</v>
      </c>
    </row>
    <row r="4783" spans="1:17" x14ac:dyDescent="0.3">
      <c r="A4783" t="s">
        <v>4729</v>
      </c>
      <c r="B4783" t="str">
        <f>"301003"</f>
        <v>301003</v>
      </c>
      <c r="C4783" t="s">
        <v>9913</v>
      </c>
      <c r="D4783" t="s">
        <v>341</v>
      </c>
      <c r="F4783">
        <v>156607761</v>
      </c>
      <c r="G4783">
        <v>112819065</v>
      </c>
      <c r="H4783">
        <v>82623245</v>
      </c>
      <c r="I4783">
        <v>75479590</v>
      </c>
      <c r="J4783">
        <v>49502923</v>
      </c>
      <c r="P4783">
        <v>31</v>
      </c>
      <c r="Q4783" t="s">
        <v>9914</v>
      </c>
    </row>
    <row r="4784" spans="1:17" x14ac:dyDescent="0.3">
      <c r="A4784" t="s">
        <v>4729</v>
      </c>
      <c r="B4784" t="str">
        <f>"301004"</f>
        <v>301004</v>
      </c>
      <c r="C4784" t="s">
        <v>9915</v>
      </c>
      <c r="D4784" t="s">
        <v>2445</v>
      </c>
      <c r="F4784">
        <v>60560152</v>
      </c>
      <c r="G4784">
        <v>63130833</v>
      </c>
      <c r="H4784">
        <v>49334079</v>
      </c>
      <c r="I4784">
        <v>41998915</v>
      </c>
      <c r="J4784">
        <v>40387311</v>
      </c>
      <c r="P4784">
        <v>25</v>
      </c>
      <c r="Q4784" t="s">
        <v>9916</v>
      </c>
    </row>
    <row r="4785" spans="1:17" x14ac:dyDescent="0.3">
      <c r="A4785" t="s">
        <v>4729</v>
      </c>
      <c r="B4785" t="str">
        <f>"301005"</f>
        <v>301005</v>
      </c>
      <c r="C4785" t="s">
        <v>9917</v>
      </c>
      <c r="D4785" t="s">
        <v>985</v>
      </c>
      <c r="F4785">
        <v>102951708</v>
      </c>
      <c r="G4785">
        <v>105537616</v>
      </c>
      <c r="H4785">
        <v>94057261</v>
      </c>
      <c r="I4785">
        <v>79353006</v>
      </c>
      <c r="J4785">
        <v>78165918</v>
      </c>
      <c r="P4785">
        <v>23</v>
      </c>
      <c r="Q4785" t="s">
        <v>9918</v>
      </c>
    </row>
    <row r="4786" spans="1:17" x14ac:dyDescent="0.3">
      <c r="A4786" t="s">
        <v>4729</v>
      </c>
      <c r="B4786" t="str">
        <f>"301006"</f>
        <v>301006</v>
      </c>
      <c r="C4786" t="s">
        <v>9919</v>
      </c>
      <c r="D4786" t="s">
        <v>2566</v>
      </c>
      <c r="F4786">
        <v>203549957</v>
      </c>
      <c r="G4786">
        <v>179721862</v>
      </c>
      <c r="H4786">
        <v>127483747</v>
      </c>
      <c r="I4786">
        <v>52899387</v>
      </c>
      <c r="J4786">
        <v>48557223</v>
      </c>
      <c r="P4786">
        <v>50</v>
      </c>
      <c r="Q4786" t="s">
        <v>9920</v>
      </c>
    </row>
    <row r="4787" spans="1:17" x14ac:dyDescent="0.3">
      <c r="A4787" t="s">
        <v>4729</v>
      </c>
      <c r="B4787" t="str">
        <f>"301007"</f>
        <v>301007</v>
      </c>
      <c r="C4787" t="s">
        <v>9921</v>
      </c>
      <c r="D4787" t="s">
        <v>348</v>
      </c>
      <c r="F4787">
        <v>132633021</v>
      </c>
      <c r="G4787">
        <v>135988480</v>
      </c>
      <c r="H4787">
        <v>115074068</v>
      </c>
      <c r="I4787">
        <v>105759940</v>
      </c>
      <c r="J4787">
        <v>92800992</v>
      </c>
      <c r="K4787">
        <v>0</v>
      </c>
      <c r="P4787">
        <v>44</v>
      </c>
      <c r="Q4787" t="s">
        <v>9922</v>
      </c>
    </row>
    <row r="4788" spans="1:17" x14ac:dyDescent="0.3">
      <c r="A4788" t="s">
        <v>4729</v>
      </c>
      <c r="B4788" t="str">
        <f>"301008"</f>
        <v>301008</v>
      </c>
      <c r="C4788" t="s">
        <v>9923</v>
      </c>
      <c r="D4788" t="s">
        <v>1253</v>
      </c>
      <c r="F4788">
        <v>301172068</v>
      </c>
      <c r="G4788">
        <v>214209515</v>
      </c>
      <c r="H4788">
        <v>189448693</v>
      </c>
      <c r="I4788">
        <v>129919986</v>
      </c>
      <c r="J4788">
        <v>125665424</v>
      </c>
      <c r="P4788">
        <v>36</v>
      </c>
      <c r="Q4788" t="s">
        <v>9924</v>
      </c>
    </row>
    <row r="4789" spans="1:17" x14ac:dyDescent="0.3">
      <c r="A4789" t="s">
        <v>4729</v>
      </c>
      <c r="B4789" t="str">
        <f>"301009"</f>
        <v>301009</v>
      </c>
      <c r="C4789" t="s">
        <v>9925</v>
      </c>
      <c r="D4789" t="s">
        <v>2751</v>
      </c>
      <c r="F4789">
        <v>176373804</v>
      </c>
      <c r="G4789">
        <v>225300688</v>
      </c>
      <c r="H4789">
        <v>189617691</v>
      </c>
      <c r="I4789">
        <v>191076305</v>
      </c>
      <c r="J4789">
        <v>178891170</v>
      </c>
      <c r="P4789">
        <v>59</v>
      </c>
      <c r="Q4789" t="s">
        <v>9926</v>
      </c>
    </row>
    <row r="4790" spans="1:17" x14ac:dyDescent="0.3">
      <c r="A4790" t="s">
        <v>4729</v>
      </c>
      <c r="B4790" t="str">
        <f>"301010"</f>
        <v>301010</v>
      </c>
      <c r="C4790" t="s">
        <v>9927</v>
      </c>
      <c r="D4790" t="s">
        <v>722</v>
      </c>
      <c r="F4790">
        <v>326800637</v>
      </c>
      <c r="G4790">
        <v>241903104</v>
      </c>
      <c r="H4790">
        <v>271803508</v>
      </c>
      <c r="I4790">
        <v>300398085</v>
      </c>
      <c r="J4790">
        <v>278275133</v>
      </c>
      <c r="K4790">
        <v>255922460</v>
      </c>
      <c r="P4790">
        <v>33</v>
      </c>
      <c r="Q4790" t="s">
        <v>9928</v>
      </c>
    </row>
    <row r="4791" spans="1:17" x14ac:dyDescent="0.3">
      <c r="A4791" t="s">
        <v>4729</v>
      </c>
      <c r="B4791" t="str">
        <f>"301011"</f>
        <v>301011</v>
      </c>
      <c r="C4791" t="s">
        <v>9929</v>
      </c>
      <c r="D4791" t="s">
        <v>741</v>
      </c>
      <c r="F4791">
        <v>276846369</v>
      </c>
      <c r="G4791">
        <v>254810240</v>
      </c>
      <c r="H4791">
        <v>119863051</v>
      </c>
      <c r="I4791">
        <v>100805461</v>
      </c>
      <c r="J4791">
        <v>84767342</v>
      </c>
      <c r="P4791">
        <v>28</v>
      </c>
      <c r="Q4791" t="s">
        <v>9930</v>
      </c>
    </row>
    <row r="4792" spans="1:17" x14ac:dyDescent="0.3">
      <c r="A4792" t="s">
        <v>4729</v>
      </c>
      <c r="B4792" t="str">
        <f>"301012"</f>
        <v>301012</v>
      </c>
      <c r="C4792" t="s">
        <v>9931</v>
      </c>
      <c r="D4792" t="s">
        <v>210</v>
      </c>
      <c r="F4792">
        <v>392465024</v>
      </c>
      <c r="G4792">
        <v>313647214</v>
      </c>
      <c r="H4792">
        <v>284172547</v>
      </c>
      <c r="I4792">
        <v>334020024</v>
      </c>
      <c r="J4792">
        <v>286351116</v>
      </c>
      <c r="P4792">
        <v>23</v>
      </c>
      <c r="Q4792" t="s">
        <v>9932</v>
      </c>
    </row>
    <row r="4793" spans="1:17" x14ac:dyDescent="0.3">
      <c r="A4793" t="s">
        <v>4729</v>
      </c>
      <c r="B4793" t="str">
        <f>"301013"</f>
        <v>301013</v>
      </c>
      <c r="C4793" t="s">
        <v>9933</v>
      </c>
      <c r="D4793" t="s">
        <v>741</v>
      </c>
      <c r="F4793">
        <v>337537094</v>
      </c>
      <c r="G4793">
        <v>173135685</v>
      </c>
      <c r="H4793">
        <v>219990387</v>
      </c>
      <c r="I4793">
        <v>224778035</v>
      </c>
      <c r="J4793">
        <v>91911789</v>
      </c>
      <c r="P4793">
        <v>20</v>
      </c>
      <c r="Q4793" t="s">
        <v>9934</v>
      </c>
    </row>
    <row r="4794" spans="1:17" x14ac:dyDescent="0.3">
      <c r="A4794" t="s">
        <v>4729</v>
      </c>
      <c r="B4794" t="str">
        <f>"301015"</f>
        <v>301015</v>
      </c>
      <c r="C4794" t="s">
        <v>9935</v>
      </c>
      <c r="D4794" t="s">
        <v>125</v>
      </c>
      <c r="F4794">
        <v>1857397287</v>
      </c>
      <c r="G4794">
        <v>1557572712</v>
      </c>
      <c r="H4794">
        <v>1179816589</v>
      </c>
      <c r="I4794">
        <v>881473707</v>
      </c>
      <c r="J4794">
        <v>712664988</v>
      </c>
      <c r="P4794">
        <v>45</v>
      </c>
      <c r="Q4794" t="s">
        <v>9936</v>
      </c>
    </row>
    <row r="4795" spans="1:17" x14ac:dyDescent="0.3">
      <c r="A4795" t="s">
        <v>4729</v>
      </c>
      <c r="B4795" t="str">
        <f>"301016"</f>
        <v>301016</v>
      </c>
      <c r="C4795" t="s">
        <v>9937</v>
      </c>
      <c r="D4795" t="s">
        <v>1012</v>
      </c>
      <c r="F4795">
        <v>78321786</v>
      </c>
      <c r="G4795">
        <v>46249462</v>
      </c>
      <c r="H4795">
        <v>82757548</v>
      </c>
      <c r="I4795">
        <v>120030783</v>
      </c>
      <c r="J4795">
        <v>120159794</v>
      </c>
      <c r="P4795">
        <v>35</v>
      </c>
      <c r="Q4795" t="s">
        <v>9938</v>
      </c>
    </row>
    <row r="4796" spans="1:17" x14ac:dyDescent="0.3">
      <c r="A4796" t="s">
        <v>4729</v>
      </c>
      <c r="B4796" t="str">
        <f>"301017"</f>
        <v>301017</v>
      </c>
      <c r="C4796" t="s">
        <v>9939</v>
      </c>
      <c r="D4796" t="s">
        <v>1686</v>
      </c>
      <c r="F4796">
        <v>310684434</v>
      </c>
      <c r="G4796">
        <v>257721253</v>
      </c>
      <c r="H4796">
        <v>211501391</v>
      </c>
      <c r="I4796">
        <v>170666462</v>
      </c>
      <c r="J4796">
        <v>145951389</v>
      </c>
      <c r="P4796">
        <v>36</v>
      </c>
      <c r="Q4796" t="s">
        <v>9940</v>
      </c>
    </row>
    <row r="4797" spans="1:17" x14ac:dyDescent="0.3">
      <c r="A4797" t="s">
        <v>4729</v>
      </c>
      <c r="B4797" t="str">
        <f>"301018"</f>
        <v>301018</v>
      </c>
      <c r="C4797" t="s">
        <v>9941</v>
      </c>
      <c r="D4797" t="s">
        <v>988</v>
      </c>
      <c r="F4797">
        <v>787471383</v>
      </c>
      <c r="G4797">
        <v>659000951</v>
      </c>
      <c r="H4797">
        <v>752924809</v>
      </c>
      <c r="I4797">
        <v>627260841</v>
      </c>
      <c r="J4797">
        <v>519172708</v>
      </c>
      <c r="P4797">
        <v>37</v>
      </c>
      <c r="Q4797" t="s">
        <v>9942</v>
      </c>
    </row>
    <row r="4798" spans="1:17" x14ac:dyDescent="0.3">
      <c r="A4798" t="s">
        <v>4729</v>
      </c>
      <c r="B4798" t="str">
        <f>"301019"</f>
        <v>301019</v>
      </c>
      <c r="C4798" t="s">
        <v>9943</v>
      </c>
      <c r="D4798" t="s">
        <v>1192</v>
      </c>
      <c r="F4798">
        <v>98942961</v>
      </c>
      <c r="G4798">
        <v>90575551</v>
      </c>
      <c r="H4798">
        <v>95971513</v>
      </c>
      <c r="I4798">
        <v>81773908</v>
      </c>
      <c r="J4798">
        <v>75102194</v>
      </c>
      <c r="P4798">
        <v>39</v>
      </c>
      <c r="Q4798" t="s">
        <v>9944</v>
      </c>
    </row>
    <row r="4799" spans="1:17" x14ac:dyDescent="0.3">
      <c r="A4799" t="s">
        <v>4729</v>
      </c>
      <c r="B4799" t="str">
        <f>"301020"</f>
        <v>301020</v>
      </c>
      <c r="C4799" t="s">
        <v>9945</v>
      </c>
      <c r="D4799" t="s">
        <v>348</v>
      </c>
      <c r="F4799">
        <v>100897498</v>
      </c>
      <c r="G4799">
        <v>158003639</v>
      </c>
      <c r="H4799">
        <v>124472198</v>
      </c>
      <c r="I4799">
        <v>117053481</v>
      </c>
      <c r="J4799">
        <v>120861634</v>
      </c>
      <c r="P4799">
        <v>54</v>
      </c>
      <c r="Q4799" t="s">
        <v>9946</v>
      </c>
    </row>
    <row r="4800" spans="1:17" x14ac:dyDescent="0.3">
      <c r="A4800" t="s">
        <v>4729</v>
      </c>
      <c r="B4800" t="str">
        <f>"301021"</f>
        <v>301021</v>
      </c>
      <c r="C4800" t="s">
        <v>9947</v>
      </c>
      <c r="D4800" t="s">
        <v>3811</v>
      </c>
      <c r="F4800">
        <v>142649607</v>
      </c>
      <c r="G4800">
        <v>165369811</v>
      </c>
      <c r="H4800">
        <v>158083440</v>
      </c>
      <c r="I4800">
        <v>101560111</v>
      </c>
      <c r="J4800">
        <v>59335336</v>
      </c>
      <c r="K4800">
        <v>41539891</v>
      </c>
      <c r="P4800">
        <v>35</v>
      </c>
      <c r="Q4800" t="s">
        <v>9948</v>
      </c>
    </row>
    <row r="4801" spans="1:17" x14ac:dyDescent="0.3">
      <c r="A4801" t="s">
        <v>4729</v>
      </c>
      <c r="B4801" t="str">
        <f>"301022"</f>
        <v>301022</v>
      </c>
      <c r="C4801" t="s">
        <v>9949</v>
      </c>
      <c r="D4801" t="s">
        <v>985</v>
      </c>
      <c r="F4801">
        <v>206808010</v>
      </c>
      <c r="G4801">
        <v>147314013</v>
      </c>
      <c r="H4801">
        <v>106391916</v>
      </c>
      <c r="I4801">
        <v>103010655</v>
      </c>
      <c r="J4801">
        <v>55102185</v>
      </c>
      <c r="P4801">
        <v>24</v>
      </c>
      <c r="Q4801" t="s">
        <v>9950</v>
      </c>
    </row>
    <row r="4802" spans="1:17" x14ac:dyDescent="0.3">
      <c r="A4802" t="s">
        <v>4729</v>
      </c>
      <c r="B4802" t="str">
        <f>"301023"</f>
        <v>301023</v>
      </c>
      <c r="C4802" t="s">
        <v>9951</v>
      </c>
      <c r="D4802" t="s">
        <v>1171</v>
      </c>
      <c r="F4802">
        <v>75640364</v>
      </c>
      <c r="G4802">
        <v>60260061</v>
      </c>
      <c r="H4802">
        <v>59201235</v>
      </c>
      <c r="I4802">
        <v>47120897</v>
      </c>
      <c r="J4802">
        <v>44584672</v>
      </c>
      <c r="P4802">
        <v>22</v>
      </c>
      <c r="Q4802" t="s">
        <v>9952</v>
      </c>
    </row>
    <row r="4803" spans="1:17" x14ac:dyDescent="0.3">
      <c r="A4803" t="s">
        <v>4729</v>
      </c>
      <c r="B4803" t="str">
        <f>"301024"</f>
        <v>301024</v>
      </c>
      <c r="C4803" t="s">
        <v>9953</v>
      </c>
      <c r="D4803" t="s">
        <v>1272</v>
      </c>
      <c r="F4803">
        <v>410676129</v>
      </c>
      <c r="G4803">
        <v>299035310</v>
      </c>
      <c r="H4803">
        <v>199414856</v>
      </c>
      <c r="I4803">
        <v>92172340</v>
      </c>
      <c r="J4803">
        <v>32378912</v>
      </c>
      <c r="K4803">
        <v>43626531</v>
      </c>
      <c r="P4803">
        <v>22</v>
      </c>
      <c r="Q4803" t="s">
        <v>9954</v>
      </c>
    </row>
    <row r="4804" spans="1:17" x14ac:dyDescent="0.3">
      <c r="A4804" t="s">
        <v>4729</v>
      </c>
      <c r="B4804" t="str">
        <f>"301025"</f>
        <v>301025</v>
      </c>
      <c r="C4804" t="s">
        <v>9955</v>
      </c>
      <c r="D4804" t="s">
        <v>525</v>
      </c>
      <c r="F4804">
        <v>94833283</v>
      </c>
      <c r="G4804">
        <v>77941965</v>
      </c>
      <c r="H4804">
        <v>84181892</v>
      </c>
      <c r="I4804">
        <v>63043467</v>
      </c>
      <c r="J4804">
        <v>42237992</v>
      </c>
      <c r="K4804">
        <v>0</v>
      </c>
      <c r="P4804">
        <v>24</v>
      </c>
      <c r="Q4804" t="s">
        <v>9956</v>
      </c>
    </row>
    <row r="4805" spans="1:17" x14ac:dyDescent="0.3">
      <c r="A4805" t="s">
        <v>4729</v>
      </c>
      <c r="B4805" t="str">
        <f>"301026"</f>
        <v>301026</v>
      </c>
      <c r="C4805" t="s">
        <v>9957</v>
      </c>
      <c r="D4805" t="s">
        <v>636</v>
      </c>
      <c r="F4805">
        <v>38924716</v>
      </c>
      <c r="G4805">
        <v>61744413</v>
      </c>
      <c r="H4805">
        <v>21643379</v>
      </c>
      <c r="I4805">
        <v>19147971</v>
      </c>
      <c r="J4805">
        <v>18074490</v>
      </c>
      <c r="K4805">
        <v>40917595</v>
      </c>
      <c r="P4805">
        <v>41</v>
      </c>
      <c r="Q4805" t="s">
        <v>9958</v>
      </c>
    </row>
    <row r="4806" spans="1:17" x14ac:dyDescent="0.3">
      <c r="A4806" t="s">
        <v>4729</v>
      </c>
      <c r="B4806" t="str">
        <f>"301027"</f>
        <v>301027</v>
      </c>
      <c r="C4806" t="s">
        <v>9959</v>
      </c>
      <c r="D4806" t="s">
        <v>1272</v>
      </c>
      <c r="F4806">
        <v>509055444</v>
      </c>
      <c r="G4806">
        <v>280986994</v>
      </c>
      <c r="H4806">
        <v>354857600</v>
      </c>
      <c r="I4806">
        <v>335940537</v>
      </c>
      <c r="J4806">
        <v>331517494</v>
      </c>
      <c r="P4806">
        <v>25</v>
      </c>
      <c r="Q4806" t="s">
        <v>9960</v>
      </c>
    </row>
    <row r="4807" spans="1:17" x14ac:dyDescent="0.3">
      <c r="A4807" t="s">
        <v>4729</v>
      </c>
      <c r="B4807" t="str">
        <f>"301028"</f>
        <v>301028</v>
      </c>
      <c r="C4807" t="s">
        <v>9961</v>
      </c>
      <c r="D4807" t="s">
        <v>560</v>
      </c>
      <c r="F4807">
        <v>96990300</v>
      </c>
      <c r="G4807">
        <v>77137347</v>
      </c>
      <c r="H4807">
        <v>52736254</v>
      </c>
      <c r="I4807">
        <v>51317903</v>
      </c>
      <c r="J4807">
        <v>86488013</v>
      </c>
      <c r="P4807">
        <v>53</v>
      </c>
      <c r="Q4807" t="s">
        <v>9962</v>
      </c>
    </row>
    <row r="4808" spans="1:17" x14ac:dyDescent="0.3">
      <c r="A4808" t="s">
        <v>4729</v>
      </c>
      <c r="B4808" t="str">
        <f>"301029"</f>
        <v>301029</v>
      </c>
      <c r="C4808" t="s">
        <v>9963</v>
      </c>
      <c r="D4808" t="s">
        <v>3477</v>
      </c>
      <c r="F4808">
        <v>375542224</v>
      </c>
      <c r="G4808">
        <v>235969814</v>
      </c>
      <c r="H4808">
        <v>171961789</v>
      </c>
      <c r="I4808">
        <v>136833366</v>
      </c>
      <c r="J4808">
        <v>67139677</v>
      </c>
      <c r="P4808">
        <v>67</v>
      </c>
      <c r="Q4808" t="s">
        <v>9964</v>
      </c>
    </row>
    <row r="4809" spans="1:17" x14ac:dyDescent="0.3">
      <c r="A4809" t="s">
        <v>4729</v>
      </c>
      <c r="B4809" t="str">
        <f>"301030"</f>
        <v>301030</v>
      </c>
      <c r="C4809" t="s">
        <v>9965</v>
      </c>
      <c r="D4809" t="s">
        <v>1070</v>
      </c>
      <c r="F4809">
        <v>876986236</v>
      </c>
      <c r="G4809">
        <v>754444097</v>
      </c>
      <c r="H4809">
        <v>661158091</v>
      </c>
      <c r="I4809">
        <v>482481533</v>
      </c>
      <c r="J4809">
        <v>452038566</v>
      </c>
      <c r="K4809">
        <v>269720900</v>
      </c>
      <c r="P4809">
        <v>19</v>
      </c>
      <c r="Q4809" t="s">
        <v>9966</v>
      </c>
    </row>
    <row r="4810" spans="1:17" x14ac:dyDescent="0.3">
      <c r="A4810" t="s">
        <v>4729</v>
      </c>
      <c r="B4810" t="str">
        <f>"301031"</f>
        <v>301031</v>
      </c>
      <c r="C4810" t="s">
        <v>9967</v>
      </c>
      <c r="D4810" t="s">
        <v>651</v>
      </c>
      <c r="F4810">
        <v>160506599</v>
      </c>
      <c r="G4810">
        <v>123121243</v>
      </c>
      <c r="H4810">
        <v>85862886</v>
      </c>
      <c r="I4810">
        <v>68806083</v>
      </c>
      <c r="J4810">
        <v>56799630</v>
      </c>
      <c r="P4810">
        <v>77</v>
      </c>
      <c r="Q4810" t="s">
        <v>9968</v>
      </c>
    </row>
    <row r="4811" spans="1:17" x14ac:dyDescent="0.3">
      <c r="A4811" t="s">
        <v>4729</v>
      </c>
      <c r="B4811" t="str">
        <f>"301032"</f>
        <v>301032</v>
      </c>
      <c r="C4811" t="s">
        <v>9969</v>
      </c>
      <c r="D4811" t="s">
        <v>560</v>
      </c>
      <c r="F4811">
        <v>150018603</v>
      </c>
      <c r="G4811">
        <v>134706502</v>
      </c>
      <c r="H4811">
        <v>212572329</v>
      </c>
      <c r="I4811">
        <v>152814615</v>
      </c>
      <c r="J4811">
        <v>113958950</v>
      </c>
      <c r="P4811">
        <v>19</v>
      </c>
      <c r="Q4811" t="s">
        <v>9970</v>
      </c>
    </row>
    <row r="4812" spans="1:17" x14ac:dyDescent="0.3">
      <c r="A4812" t="s">
        <v>4729</v>
      </c>
      <c r="B4812" t="str">
        <f>"301033"</f>
        <v>301033</v>
      </c>
      <c r="C4812" t="s">
        <v>9971</v>
      </c>
      <c r="D4812" t="s">
        <v>1077</v>
      </c>
      <c r="F4812">
        <v>5319120</v>
      </c>
      <c r="G4812">
        <v>7745403</v>
      </c>
      <c r="H4812">
        <v>4296928</v>
      </c>
      <c r="I4812">
        <v>4934737</v>
      </c>
      <c r="J4812">
        <v>9552856</v>
      </c>
      <c r="P4812">
        <v>31</v>
      </c>
      <c r="Q4812" t="s">
        <v>9972</v>
      </c>
    </row>
    <row r="4813" spans="1:17" x14ac:dyDescent="0.3">
      <c r="A4813" t="s">
        <v>4729</v>
      </c>
      <c r="B4813" t="str">
        <f>"301035"</f>
        <v>301035</v>
      </c>
      <c r="C4813" t="s">
        <v>9973</v>
      </c>
      <c r="D4813" t="s">
        <v>853</v>
      </c>
      <c r="F4813">
        <v>2328358879</v>
      </c>
      <c r="G4813">
        <v>2143568273</v>
      </c>
      <c r="H4813">
        <v>1755945903</v>
      </c>
      <c r="I4813">
        <v>1753505915</v>
      </c>
      <c r="J4813">
        <v>1570021552</v>
      </c>
      <c r="K4813">
        <v>1476814972</v>
      </c>
      <c r="P4813">
        <v>40</v>
      </c>
      <c r="Q4813" t="s">
        <v>9974</v>
      </c>
    </row>
    <row r="4814" spans="1:17" x14ac:dyDescent="0.3">
      <c r="A4814" t="s">
        <v>4729</v>
      </c>
      <c r="B4814" t="str">
        <f>"301036"</f>
        <v>301036</v>
      </c>
      <c r="C4814" t="s">
        <v>9975</v>
      </c>
      <c r="D4814" t="s">
        <v>2585</v>
      </c>
      <c r="F4814">
        <v>162863875</v>
      </c>
      <c r="G4814">
        <v>136318893</v>
      </c>
      <c r="H4814">
        <v>148882919</v>
      </c>
      <c r="I4814">
        <v>121042449</v>
      </c>
      <c r="J4814">
        <v>120182842</v>
      </c>
      <c r="P4814">
        <v>20</v>
      </c>
      <c r="Q4814" t="s">
        <v>9976</v>
      </c>
    </row>
    <row r="4815" spans="1:17" x14ac:dyDescent="0.3">
      <c r="A4815" t="s">
        <v>4729</v>
      </c>
      <c r="B4815" t="str">
        <f>"301037"</f>
        <v>301037</v>
      </c>
      <c r="C4815" t="s">
        <v>9977</v>
      </c>
      <c r="D4815" t="s">
        <v>2585</v>
      </c>
      <c r="F4815">
        <v>785912216</v>
      </c>
      <c r="G4815">
        <v>637989862</v>
      </c>
      <c r="H4815">
        <v>525207147</v>
      </c>
      <c r="I4815">
        <v>318635190</v>
      </c>
      <c r="J4815">
        <v>360708166</v>
      </c>
      <c r="P4815">
        <v>13</v>
      </c>
      <c r="Q4815" t="s">
        <v>9978</v>
      </c>
    </row>
    <row r="4816" spans="1:17" x14ac:dyDescent="0.3">
      <c r="A4816" t="s">
        <v>4729</v>
      </c>
      <c r="B4816" t="str">
        <f>"301038"</f>
        <v>301038</v>
      </c>
      <c r="C4816" t="s">
        <v>9979</v>
      </c>
      <c r="D4816" t="s">
        <v>1272</v>
      </c>
      <c r="F4816">
        <v>43266210</v>
      </c>
      <c r="G4816">
        <v>32541421</v>
      </c>
      <c r="H4816">
        <v>611027083</v>
      </c>
      <c r="I4816">
        <v>536681062</v>
      </c>
      <c r="J4816">
        <v>452860529</v>
      </c>
      <c r="P4816">
        <v>21</v>
      </c>
      <c r="Q4816" t="s">
        <v>9980</v>
      </c>
    </row>
    <row r="4817" spans="1:17" x14ac:dyDescent="0.3">
      <c r="A4817" t="s">
        <v>4729</v>
      </c>
      <c r="B4817" t="str">
        <f>"301039"</f>
        <v>301039</v>
      </c>
      <c r="C4817" t="s">
        <v>9981</v>
      </c>
      <c r="D4817" t="s">
        <v>27</v>
      </c>
      <c r="F4817">
        <v>2781330860</v>
      </c>
      <c r="G4817">
        <v>2805150945</v>
      </c>
      <c r="H4817">
        <v>2290731934</v>
      </c>
      <c r="I4817">
        <v>2644404281</v>
      </c>
      <c r="J4817">
        <v>2139714156</v>
      </c>
      <c r="P4817">
        <v>35</v>
      </c>
      <c r="Q4817" t="s">
        <v>9982</v>
      </c>
    </row>
    <row r="4818" spans="1:17" x14ac:dyDescent="0.3">
      <c r="A4818" t="s">
        <v>4729</v>
      </c>
      <c r="B4818" t="str">
        <f>"301040"</f>
        <v>301040</v>
      </c>
      <c r="C4818" t="s">
        <v>9983</v>
      </c>
      <c r="D4818" t="s">
        <v>950</v>
      </c>
      <c r="F4818">
        <v>352171001</v>
      </c>
      <c r="G4818">
        <v>279898748</v>
      </c>
      <c r="H4818">
        <v>306218414</v>
      </c>
      <c r="I4818">
        <v>273907647</v>
      </c>
      <c r="J4818">
        <v>238707826</v>
      </c>
      <c r="P4818">
        <v>22</v>
      </c>
      <c r="Q4818" t="s">
        <v>9984</v>
      </c>
    </row>
    <row r="4819" spans="1:17" x14ac:dyDescent="0.3">
      <c r="A4819" t="s">
        <v>4729</v>
      </c>
      <c r="B4819" t="str">
        <f>"301041"</f>
        <v>301041</v>
      </c>
      <c r="C4819" t="s">
        <v>9985</v>
      </c>
      <c r="D4819" t="s">
        <v>425</v>
      </c>
      <c r="F4819">
        <v>211997861</v>
      </c>
      <c r="G4819">
        <v>176995071</v>
      </c>
      <c r="H4819">
        <v>171014307</v>
      </c>
      <c r="I4819">
        <v>146805986</v>
      </c>
      <c r="J4819">
        <v>135070111</v>
      </c>
      <c r="P4819">
        <v>31</v>
      </c>
      <c r="Q4819" t="s">
        <v>9986</v>
      </c>
    </row>
    <row r="4820" spans="1:17" x14ac:dyDescent="0.3">
      <c r="A4820" t="s">
        <v>4729</v>
      </c>
      <c r="B4820" t="str">
        <f>"301042"</f>
        <v>301042</v>
      </c>
      <c r="C4820" t="s">
        <v>9987</v>
      </c>
      <c r="D4820" t="s">
        <v>2980</v>
      </c>
      <c r="F4820">
        <v>154494776</v>
      </c>
      <c r="G4820">
        <v>189423915</v>
      </c>
      <c r="H4820">
        <v>107553877</v>
      </c>
      <c r="I4820">
        <v>142546630</v>
      </c>
      <c r="J4820">
        <v>112253869</v>
      </c>
      <c r="K4820">
        <v>87719644</v>
      </c>
      <c r="P4820">
        <v>14</v>
      </c>
      <c r="Q4820" t="s">
        <v>9988</v>
      </c>
    </row>
    <row r="4821" spans="1:17" x14ac:dyDescent="0.3">
      <c r="A4821" t="s">
        <v>4729</v>
      </c>
      <c r="B4821" t="str">
        <f>"301043"</f>
        <v>301043</v>
      </c>
      <c r="C4821" t="s">
        <v>9989</v>
      </c>
      <c r="D4821" t="s">
        <v>560</v>
      </c>
      <c r="F4821">
        <v>25070016</v>
      </c>
      <c r="G4821">
        <v>11280494</v>
      </c>
      <c r="H4821">
        <v>13831212</v>
      </c>
      <c r="I4821">
        <v>12864773</v>
      </c>
      <c r="J4821">
        <v>2495192</v>
      </c>
      <c r="P4821">
        <v>18</v>
      </c>
      <c r="Q4821" t="s">
        <v>9990</v>
      </c>
    </row>
    <row r="4822" spans="1:17" x14ac:dyDescent="0.3">
      <c r="A4822" t="s">
        <v>4729</v>
      </c>
      <c r="B4822" t="str">
        <f>"301045"</f>
        <v>301045</v>
      </c>
      <c r="C4822" t="s">
        <v>9991</v>
      </c>
      <c r="D4822" t="s">
        <v>164</v>
      </c>
      <c r="F4822">
        <v>225567647</v>
      </c>
      <c r="G4822">
        <v>197503072</v>
      </c>
      <c r="H4822">
        <v>164831768</v>
      </c>
      <c r="I4822">
        <v>182098887</v>
      </c>
      <c r="J4822">
        <v>96340446</v>
      </c>
      <c r="P4822">
        <v>17</v>
      </c>
      <c r="Q4822" t="s">
        <v>9992</v>
      </c>
    </row>
    <row r="4823" spans="1:17" x14ac:dyDescent="0.3">
      <c r="A4823" t="s">
        <v>4729</v>
      </c>
      <c r="B4823" t="str">
        <f>"301046"</f>
        <v>301046</v>
      </c>
      <c r="C4823" t="s">
        <v>9993</v>
      </c>
      <c r="D4823" t="s">
        <v>1992</v>
      </c>
      <c r="F4823">
        <v>258616320</v>
      </c>
      <c r="G4823">
        <v>167857429</v>
      </c>
      <c r="H4823">
        <v>99811507</v>
      </c>
      <c r="I4823">
        <v>169317576</v>
      </c>
      <c r="J4823">
        <v>100683613</v>
      </c>
      <c r="P4823">
        <v>33</v>
      </c>
      <c r="Q4823" t="s">
        <v>9994</v>
      </c>
    </row>
    <row r="4824" spans="1:17" x14ac:dyDescent="0.3">
      <c r="A4824" t="s">
        <v>4729</v>
      </c>
      <c r="B4824" t="str">
        <f>"301047"</f>
        <v>301047</v>
      </c>
      <c r="C4824" t="s">
        <v>9995</v>
      </c>
      <c r="D4824" t="s">
        <v>1461</v>
      </c>
      <c r="F4824">
        <v>153449381</v>
      </c>
      <c r="G4824">
        <v>194302922</v>
      </c>
      <c r="H4824">
        <v>45747205</v>
      </c>
      <c r="I4824">
        <v>28005395</v>
      </c>
      <c r="J4824">
        <v>17569003</v>
      </c>
      <c r="P4824">
        <v>71</v>
      </c>
      <c r="Q4824" t="s">
        <v>9996</v>
      </c>
    </row>
    <row r="4825" spans="1:17" x14ac:dyDescent="0.3">
      <c r="A4825" t="s">
        <v>4729</v>
      </c>
      <c r="B4825" t="str">
        <f>"301048"</f>
        <v>301048</v>
      </c>
      <c r="C4825" t="s">
        <v>9997</v>
      </c>
      <c r="D4825" t="s">
        <v>1012</v>
      </c>
      <c r="F4825">
        <v>1187459706</v>
      </c>
      <c r="G4825">
        <v>755728511</v>
      </c>
      <c r="H4825">
        <v>840931977</v>
      </c>
      <c r="I4825">
        <v>892824751</v>
      </c>
      <c r="J4825">
        <v>768882398</v>
      </c>
      <c r="P4825">
        <v>16</v>
      </c>
      <c r="Q4825" t="s">
        <v>9998</v>
      </c>
    </row>
    <row r="4826" spans="1:17" x14ac:dyDescent="0.3">
      <c r="A4826" t="s">
        <v>4729</v>
      </c>
      <c r="B4826" t="str">
        <f>"301049"</f>
        <v>301049</v>
      </c>
      <c r="C4826" t="s">
        <v>9999</v>
      </c>
      <c r="D4826" t="s">
        <v>499</v>
      </c>
      <c r="F4826">
        <v>175195343</v>
      </c>
      <c r="G4826">
        <v>268495855</v>
      </c>
      <c r="H4826">
        <v>197143330</v>
      </c>
      <c r="I4826">
        <v>143277272</v>
      </c>
      <c r="J4826">
        <v>111172432</v>
      </c>
      <c r="P4826">
        <v>26</v>
      </c>
      <c r="Q4826" t="s">
        <v>10000</v>
      </c>
    </row>
    <row r="4827" spans="1:17" x14ac:dyDescent="0.3">
      <c r="A4827" t="s">
        <v>4729</v>
      </c>
      <c r="B4827" t="str">
        <f>"301050"</f>
        <v>301050</v>
      </c>
      <c r="C4827" t="s">
        <v>10001</v>
      </c>
      <c r="D4827" t="s">
        <v>1136</v>
      </c>
      <c r="F4827">
        <v>235458975</v>
      </c>
      <c r="G4827">
        <v>315909246</v>
      </c>
      <c r="H4827">
        <v>238741981</v>
      </c>
      <c r="I4827">
        <v>66962085</v>
      </c>
      <c r="J4827">
        <v>98301998</v>
      </c>
      <c r="P4827">
        <v>31</v>
      </c>
      <c r="Q4827" t="s">
        <v>10002</v>
      </c>
    </row>
    <row r="4828" spans="1:17" x14ac:dyDescent="0.3">
      <c r="A4828" t="s">
        <v>4729</v>
      </c>
      <c r="B4828" t="str">
        <f>"301051"</f>
        <v>301051</v>
      </c>
      <c r="C4828" t="s">
        <v>10003</v>
      </c>
      <c r="D4828" t="s">
        <v>313</v>
      </c>
      <c r="F4828">
        <v>460468626</v>
      </c>
      <c r="G4828">
        <v>478300288</v>
      </c>
      <c r="H4828">
        <v>375560703</v>
      </c>
      <c r="I4828">
        <v>276127635</v>
      </c>
      <c r="J4828">
        <v>134468272</v>
      </c>
      <c r="K4828">
        <v>163664827</v>
      </c>
      <c r="P4828">
        <v>18</v>
      </c>
      <c r="Q4828" t="s">
        <v>10004</v>
      </c>
    </row>
    <row r="4829" spans="1:17" x14ac:dyDescent="0.3">
      <c r="A4829" t="s">
        <v>4729</v>
      </c>
      <c r="B4829" t="str">
        <f>"301052"</f>
        <v>301052</v>
      </c>
      <c r="C4829" t="s">
        <v>10005</v>
      </c>
      <c r="D4829" t="s">
        <v>525</v>
      </c>
      <c r="F4829">
        <v>79417701</v>
      </c>
      <c r="G4829">
        <v>54144067</v>
      </c>
      <c r="H4829">
        <v>34935279</v>
      </c>
      <c r="I4829">
        <v>35495991</v>
      </c>
      <c r="J4829">
        <v>20338319</v>
      </c>
      <c r="P4829">
        <v>16</v>
      </c>
      <c r="Q4829" t="s">
        <v>10006</v>
      </c>
    </row>
    <row r="4830" spans="1:17" x14ac:dyDescent="0.3">
      <c r="A4830" t="s">
        <v>4729</v>
      </c>
      <c r="B4830" t="str">
        <f>"301053"</f>
        <v>301053</v>
      </c>
      <c r="C4830" t="s">
        <v>10007</v>
      </c>
      <c r="D4830" t="s">
        <v>534</v>
      </c>
      <c r="F4830">
        <v>99118426</v>
      </c>
      <c r="G4830">
        <v>69238872</v>
      </c>
      <c r="H4830">
        <v>59675629</v>
      </c>
      <c r="I4830">
        <v>49353571</v>
      </c>
      <c r="J4830">
        <v>39463408</v>
      </c>
      <c r="P4830">
        <v>24</v>
      </c>
      <c r="Q4830" t="s">
        <v>10008</v>
      </c>
    </row>
    <row r="4831" spans="1:17" x14ac:dyDescent="0.3">
      <c r="A4831" t="s">
        <v>4729</v>
      </c>
      <c r="B4831" t="str">
        <f>"301055"</f>
        <v>301055</v>
      </c>
      <c r="C4831" t="s">
        <v>10009</v>
      </c>
      <c r="D4831" t="s">
        <v>2445</v>
      </c>
      <c r="F4831">
        <v>36309069</v>
      </c>
      <c r="G4831">
        <v>25757692</v>
      </c>
      <c r="H4831">
        <v>22413967</v>
      </c>
      <c r="I4831">
        <v>29278113</v>
      </c>
      <c r="J4831">
        <v>25242661</v>
      </c>
      <c r="P4831">
        <v>28</v>
      </c>
      <c r="Q4831" t="s">
        <v>10010</v>
      </c>
    </row>
    <row r="4832" spans="1:17" x14ac:dyDescent="0.3">
      <c r="A4832" t="s">
        <v>4729</v>
      </c>
      <c r="B4832" t="str">
        <f>"301056"</f>
        <v>301056</v>
      </c>
      <c r="C4832" t="s">
        <v>10011</v>
      </c>
      <c r="D4832" t="s">
        <v>1691</v>
      </c>
      <c r="F4832">
        <v>142194504</v>
      </c>
      <c r="G4832">
        <v>100481187</v>
      </c>
      <c r="H4832">
        <v>135818267</v>
      </c>
      <c r="I4832">
        <v>130008415</v>
      </c>
      <c r="J4832">
        <v>173884381</v>
      </c>
      <c r="P4832">
        <v>16</v>
      </c>
      <c r="Q4832" t="s">
        <v>10012</v>
      </c>
    </row>
    <row r="4833" spans="1:17" x14ac:dyDescent="0.3">
      <c r="A4833" t="s">
        <v>4729</v>
      </c>
      <c r="B4833" t="str">
        <f>"301057"</f>
        <v>301057</v>
      </c>
      <c r="C4833" t="s">
        <v>10013</v>
      </c>
      <c r="D4833" t="s">
        <v>2731</v>
      </c>
      <c r="F4833">
        <v>21481426</v>
      </c>
      <c r="G4833">
        <v>26024821</v>
      </c>
      <c r="H4833">
        <v>31111062</v>
      </c>
      <c r="I4833">
        <v>29133209</v>
      </c>
      <c r="J4833">
        <v>19062625</v>
      </c>
      <c r="P4833">
        <v>16</v>
      </c>
      <c r="Q4833" t="s">
        <v>10014</v>
      </c>
    </row>
    <row r="4834" spans="1:17" x14ac:dyDescent="0.3">
      <c r="A4834" t="s">
        <v>4729</v>
      </c>
      <c r="B4834" t="str">
        <f>"301058"</f>
        <v>301058</v>
      </c>
      <c r="C4834" t="s">
        <v>10015</v>
      </c>
      <c r="D4834" t="s">
        <v>1272</v>
      </c>
      <c r="F4834">
        <v>533014037</v>
      </c>
      <c r="G4834">
        <v>491178550</v>
      </c>
      <c r="H4834">
        <v>429582920</v>
      </c>
      <c r="I4834">
        <v>399081114</v>
      </c>
      <c r="J4834">
        <v>314035064</v>
      </c>
      <c r="P4834">
        <v>24</v>
      </c>
      <c r="Q4834" t="s">
        <v>10016</v>
      </c>
    </row>
    <row r="4835" spans="1:17" x14ac:dyDescent="0.3">
      <c r="A4835" t="s">
        <v>4729</v>
      </c>
      <c r="B4835" t="str">
        <f>"301059"</f>
        <v>301059</v>
      </c>
      <c r="C4835" t="s">
        <v>10017</v>
      </c>
      <c r="D4835" t="s">
        <v>386</v>
      </c>
      <c r="F4835">
        <v>55415625</v>
      </c>
      <c r="G4835">
        <v>52518455</v>
      </c>
      <c r="H4835">
        <v>55513208</v>
      </c>
      <c r="I4835">
        <v>41933839</v>
      </c>
      <c r="J4835">
        <v>31422529</v>
      </c>
      <c r="P4835">
        <v>21</v>
      </c>
      <c r="Q4835" t="s">
        <v>10018</v>
      </c>
    </row>
    <row r="4836" spans="1:17" x14ac:dyDescent="0.3">
      <c r="A4836" t="s">
        <v>4729</v>
      </c>
      <c r="B4836" t="str">
        <f>"301060"</f>
        <v>301060</v>
      </c>
      <c r="C4836" t="s">
        <v>10019</v>
      </c>
      <c r="D4836" t="s">
        <v>2580</v>
      </c>
      <c r="F4836">
        <v>794330940</v>
      </c>
      <c r="G4836">
        <v>515838743</v>
      </c>
      <c r="H4836">
        <v>447889566</v>
      </c>
      <c r="I4836">
        <v>395613606</v>
      </c>
      <c r="J4836">
        <v>369296620</v>
      </c>
      <c r="P4836">
        <v>41</v>
      </c>
      <c r="Q4836" t="s">
        <v>10020</v>
      </c>
    </row>
    <row r="4837" spans="1:17" x14ac:dyDescent="0.3">
      <c r="A4837" t="s">
        <v>4729</v>
      </c>
      <c r="B4837" t="str">
        <f>"301061"</f>
        <v>301061</v>
      </c>
      <c r="C4837" t="s">
        <v>10021</v>
      </c>
      <c r="D4837" t="s">
        <v>757</v>
      </c>
      <c r="F4837">
        <v>178442731</v>
      </c>
      <c r="G4837">
        <v>172154672</v>
      </c>
      <c r="H4837">
        <v>178512812</v>
      </c>
      <c r="I4837">
        <v>135947568</v>
      </c>
      <c r="J4837">
        <v>118056452</v>
      </c>
      <c r="P4837">
        <v>28</v>
      </c>
      <c r="Q4837" t="s">
        <v>10022</v>
      </c>
    </row>
    <row r="4838" spans="1:17" x14ac:dyDescent="0.3">
      <c r="A4838" t="s">
        <v>4729</v>
      </c>
      <c r="B4838" t="str">
        <f>"301062"</f>
        <v>301062</v>
      </c>
      <c r="C4838" t="s">
        <v>10023</v>
      </c>
      <c r="D4838" t="s">
        <v>2165</v>
      </c>
      <c r="F4838">
        <v>207609965</v>
      </c>
      <c r="G4838">
        <v>226504666</v>
      </c>
      <c r="H4838">
        <v>156360983</v>
      </c>
      <c r="I4838">
        <v>162406301</v>
      </c>
      <c r="J4838">
        <v>119212939</v>
      </c>
      <c r="P4838">
        <v>13</v>
      </c>
      <c r="Q4838" t="s">
        <v>10024</v>
      </c>
    </row>
    <row r="4839" spans="1:17" x14ac:dyDescent="0.3">
      <c r="A4839" t="s">
        <v>4729</v>
      </c>
      <c r="B4839" t="str">
        <f>"301063"</f>
        <v>301063</v>
      </c>
      <c r="C4839" t="s">
        <v>10025</v>
      </c>
      <c r="D4839" t="s">
        <v>274</v>
      </c>
      <c r="F4839">
        <v>361925620</v>
      </c>
      <c r="G4839">
        <v>249080269</v>
      </c>
      <c r="H4839">
        <v>202046431</v>
      </c>
      <c r="I4839">
        <v>188495705</v>
      </c>
      <c r="J4839">
        <v>119479117</v>
      </c>
      <c r="P4839">
        <v>17</v>
      </c>
      <c r="Q4839" t="s">
        <v>10026</v>
      </c>
    </row>
    <row r="4840" spans="1:17" x14ac:dyDescent="0.3">
      <c r="A4840" t="s">
        <v>4729</v>
      </c>
      <c r="B4840" t="str">
        <f>"301065"</f>
        <v>301065</v>
      </c>
      <c r="C4840" t="s">
        <v>10027</v>
      </c>
      <c r="D4840" t="s">
        <v>386</v>
      </c>
      <c r="F4840">
        <v>47987149</v>
      </c>
      <c r="G4840">
        <v>38940567</v>
      </c>
      <c r="H4840">
        <v>32150816</v>
      </c>
      <c r="I4840">
        <v>26708960</v>
      </c>
      <c r="J4840">
        <v>16214904</v>
      </c>
      <c r="P4840">
        <v>12</v>
      </c>
      <c r="Q4840" t="s">
        <v>10028</v>
      </c>
    </row>
    <row r="4841" spans="1:17" x14ac:dyDescent="0.3">
      <c r="A4841" t="s">
        <v>4729</v>
      </c>
      <c r="B4841" t="str">
        <f>"301066"</f>
        <v>301066</v>
      </c>
      <c r="C4841" t="s">
        <v>10029</v>
      </c>
      <c r="D4841" t="s">
        <v>330</v>
      </c>
      <c r="F4841">
        <v>123691571</v>
      </c>
      <c r="G4841">
        <v>88089624</v>
      </c>
      <c r="H4841">
        <v>135672593</v>
      </c>
      <c r="I4841">
        <v>140609257</v>
      </c>
      <c r="J4841">
        <v>130275346</v>
      </c>
      <c r="P4841">
        <v>21</v>
      </c>
      <c r="Q4841" t="s">
        <v>10030</v>
      </c>
    </row>
    <row r="4842" spans="1:17" x14ac:dyDescent="0.3">
      <c r="A4842" t="s">
        <v>4729</v>
      </c>
      <c r="B4842" t="str">
        <f>"301067"</f>
        <v>301067</v>
      </c>
      <c r="C4842" t="s">
        <v>10031</v>
      </c>
      <c r="D4842" t="s">
        <v>313</v>
      </c>
      <c r="F4842">
        <v>155758049</v>
      </c>
      <c r="G4842">
        <v>142716142</v>
      </c>
      <c r="H4842">
        <v>90787764</v>
      </c>
      <c r="I4842">
        <v>97749360</v>
      </c>
      <c r="J4842">
        <v>54570897</v>
      </c>
      <c r="P4842">
        <v>18</v>
      </c>
      <c r="Q4842" t="s">
        <v>10032</v>
      </c>
    </row>
    <row r="4843" spans="1:17" x14ac:dyDescent="0.3">
      <c r="A4843" t="s">
        <v>4729</v>
      </c>
      <c r="B4843" t="str">
        <f>"301068"</f>
        <v>301068</v>
      </c>
      <c r="C4843" t="s">
        <v>10033</v>
      </c>
      <c r="D4843" t="s">
        <v>499</v>
      </c>
      <c r="F4843">
        <v>441768873</v>
      </c>
      <c r="G4843">
        <v>431603944</v>
      </c>
      <c r="H4843">
        <v>358166410</v>
      </c>
      <c r="I4843">
        <v>269295420</v>
      </c>
      <c r="J4843">
        <v>258059887</v>
      </c>
      <c r="P4843">
        <v>14</v>
      </c>
      <c r="Q4843" t="s">
        <v>10034</v>
      </c>
    </row>
    <row r="4844" spans="1:17" x14ac:dyDescent="0.3">
      <c r="A4844" t="s">
        <v>4729</v>
      </c>
      <c r="B4844" t="str">
        <f>"301069"</f>
        <v>301069</v>
      </c>
      <c r="C4844" t="s">
        <v>10035</v>
      </c>
      <c r="D4844" t="s">
        <v>1233</v>
      </c>
      <c r="F4844">
        <v>66528251</v>
      </c>
      <c r="G4844">
        <v>56731306</v>
      </c>
      <c r="H4844">
        <v>61354861</v>
      </c>
      <c r="I4844">
        <v>68934483</v>
      </c>
      <c r="J4844">
        <v>56205611</v>
      </c>
      <c r="P4844">
        <v>29</v>
      </c>
      <c r="Q4844" t="s">
        <v>10036</v>
      </c>
    </row>
    <row r="4845" spans="1:17" x14ac:dyDescent="0.3">
      <c r="A4845" t="s">
        <v>4729</v>
      </c>
      <c r="B4845" t="str">
        <f>"301070"</f>
        <v>301070</v>
      </c>
      <c r="C4845" t="s">
        <v>10037</v>
      </c>
      <c r="D4845" t="s">
        <v>560</v>
      </c>
      <c r="F4845">
        <v>55292304</v>
      </c>
      <c r="G4845">
        <v>57933779</v>
      </c>
      <c r="H4845">
        <v>67845488</v>
      </c>
      <c r="I4845">
        <v>67188299</v>
      </c>
      <c r="J4845">
        <v>46349433</v>
      </c>
      <c r="P4845">
        <v>19</v>
      </c>
      <c r="Q4845" t="s">
        <v>10038</v>
      </c>
    </row>
    <row r="4846" spans="1:17" x14ac:dyDescent="0.3">
      <c r="A4846" t="s">
        <v>4729</v>
      </c>
      <c r="B4846" t="str">
        <f>"301071"</f>
        <v>301071</v>
      </c>
      <c r="C4846" t="s">
        <v>10039</v>
      </c>
      <c r="D4846" t="s">
        <v>404</v>
      </c>
      <c r="F4846">
        <v>60965955</v>
      </c>
      <c r="G4846">
        <v>60063418</v>
      </c>
      <c r="H4846">
        <v>55669410</v>
      </c>
      <c r="I4846">
        <v>30281245</v>
      </c>
      <c r="J4846">
        <v>27001843</v>
      </c>
      <c r="P4846">
        <v>76</v>
      </c>
      <c r="Q4846" t="s">
        <v>10040</v>
      </c>
    </row>
    <row r="4847" spans="1:17" x14ac:dyDescent="0.3">
      <c r="A4847" t="s">
        <v>4729</v>
      </c>
      <c r="B4847" t="str">
        <f>"301072"</f>
        <v>301072</v>
      </c>
      <c r="C4847" t="s">
        <v>10041</v>
      </c>
      <c r="D4847" t="s">
        <v>348</v>
      </c>
      <c r="F4847">
        <v>185787866</v>
      </c>
      <c r="G4847">
        <v>162383410</v>
      </c>
      <c r="H4847">
        <v>156054791</v>
      </c>
      <c r="I4847">
        <v>166082312</v>
      </c>
      <c r="J4847">
        <v>155967119</v>
      </c>
      <c r="P4847">
        <v>17</v>
      </c>
      <c r="Q4847" t="s">
        <v>10042</v>
      </c>
    </row>
    <row r="4848" spans="1:17" x14ac:dyDescent="0.3">
      <c r="A4848" t="s">
        <v>4729</v>
      </c>
      <c r="B4848" t="str">
        <f>"301073"</f>
        <v>301073</v>
      </c>
      <c r="C4848" t="s">
        <v>10043</v>
      </c>
      <c r="D4848" t="s">
        <v>590</v>
      </c>
      <c r="F4848">
        <v>28564606</v>
      </c>
      <c r="G4848">
        <v>24195379</v>
      </c>
      <c r="H4848">
        <v>26625397</v>
      </c>
      <c r="I4848">
        <v>25092069</v>
      </c>
      <c r="J4848">
        <v>19401207</v>
      </c>
      <c r="K4848">
        <v>16772840</v>
      </c>
      <c r="P4848">
        <v>22</v>
      </c>
      <c r="Q4848" t="s">
        <v>10044</v>
      </c>
    </row>
    <row r="4849" spans="1:17" x14ac:dyDescent="0.3">
      <c r="A4849" t="s">
        <v>4729</v>
      </c>
      <c r="B4849" t="str">
        <f>"301075"</f>
        <v>301075</v>
      </c>
      <c r="C4849" t="s">
        <v>10045</v>
      </c>
      <c r="D4849" t="s">
        <v>143</v>
      </c>
      <c r="F4849">
        <v>98290746</v>
      </c>
      <c r="G4849">
        <v>99369795</v>
      </c>
      <c r="H4849">
        <v>89757048</v>
      </c>
      <c r="I4849">
        <v>87080893</v>
      </c>
      <c r="J4849">
        <v>29753170</v>
      </c>
      <c r="P4849">
        <v>22</v>
      </c>
      <c r="Q4849" t="s">
        <v>10046</v>
      </c>
    </row>
    <row r="4850" spans="1:17" x14ac:dyDescent="0.3">
      <c r="A4850" t="s">
        <v>4729</v>
      </c>
      <c r="B4850" t="str">
        <f>"301076"</f>
        <v>301076</v>
      </c>
      <c r="C4850" t="s">
        <v>10047</v>
      </c>
      <c r="D4850" t="s">
        <v>386</v>
      </c>
      <c r="F4850">
        <v>62920066</v>
      </c>
      <c r="G4850">
        <v>50727998</v>
      </c>
      <c r="H4850">
        <v>49594047</v>
      </c>
      <c r="I4850">
        <v>64329326</v>
      </c>
      <c r="J4850">
        <v>31224280</v>
      </c>
      <c r="P4850">
        <v>20</v>
      </c>
      <c r="Q4850" t="s">
        <v>10048</v>
      </c>
    </row>
    <row r="4851" spans="1:17" x14ac:dyDescent="0.3">
      <c r="A4851" t="s">
        <v>4729</v>
      </c>
      <c r="B4851" t="str">
        <f>"301077"</f>
        <v>301077</v>
      </c>
      <c r="C4851" t="s">
        <v>10049</v>
      </c>
      <c r="D4851" t="s">
        <v>386</v>
      </c>
      <c r="F4851">
        <v>95357513</v>
      </c>
      <c r="G4851">
        <v>73085212</v>
      </c>
      <c r="H4851">
        <v>66405754</v>
      </c>
      <c r="I4851">
        <v>56478738</v>
      </c>
      <c r="J4851">
        <v>47002206</v>
      </c>
      <c r="P4851">
        <v>30</v>
      </c>
      <c r="Q4851" t="s">
        <v>10050</v>
      </c>
    </row>
    <row r="4852" spans="1:17" x14ac:dyDescent="0.3">
      <c r="A4852" t="s">
        <v>4729</v>
      </c>
      <c r="B4852" t="str">
        <f>"301078"</f>
        <v>301078</v>
      </c>
      <c r="C4852" t="s">
        <v>10051</v>
      </c>
      <c r="D4852" t="s">
        <v>295</v>
      </c>
      <c r="F4852">
        <v>75785731</v>
      </c>
      <c r="G4852">
        <v>60728851</v>
      </c>
      <c r="H4852">
        <v>46114483</v>
      </c>
      <c r="I4852">
        <v>32391385</v>
      </c>
      <c r="J4852">
        <v>24724217</v>
      </c>
      <c r="P4852">
        <v>23</v>
      </c>
      <c r="Q4852" t="s">
        <v>10052</v>
      </c>
    </row>
    <row r="4853" spans="1:17" x14ac:dyDescent="0.3">
      <c r="A4853" t="s">
        <v>4729</v>
      </c>
      <c r="B4853" t="str">
        <f>"301079"</f>
        <v>301079</v>
      </c>
      <c r="C4853" t="s">
        <v>10053</v>
      </c>
      <c r="D4853" t="s">
        <v>2007</v>
      </c>
      <c r="F4853">
        <v>157132270</v>
      </c>
      <c r="G4853">
        <v>113482639</v>
      </c>
      <c r="H4853">
        <v>120706320</v>
      </c>
      <c r="I4853">
        <v>85658152</v>
      </c>
      <c r="J4853">
        <v>71352413</v>
      </c>
      <c r="P4853">
        <v>22</v>
      </c>
      <c r="Q4853" t="s">
        <v>10054</v>
      </c>
    </row>
    <row r="4854" spans="1:17" x14ac:dyDescent="0.3">
      <c r="A4854" t="s">
        <v>4729</v>
      </c>
      <c r="B4854" t="str">
        <f>"301080"</f>
        <v>301080</v>
      </c>
      <c r="C4854" t="s">
        <v>10055</v>
      </c>
      <c r="D4854" t="s">
        <v>1461</v>
      </c>
      <c r="F4854">
        <v>49898462</v>
      </c>
      <c r="G4854">
        <v>31280454</v>
      </c>
      <c r="H4854">
        <v>16170427</v>
      </c>
      <c r="I4854">
        <v>9135770</v>
      </c>
      <c r="J4854">
        <v>4747476</v>
      </c>
      <c r="P4854">
        <v>52</v>
      </c>
      <c r="Q4854" t="s">
        <v>10056</v>
      </c>
    </row>
    <row r="4855" spans="1:17" x14ac:dyDescent="0.3">
      <c r="A4855" t="s">
        <v>4729</v>
      </c>
      <c r="B4855" t="str">
        <f>"301081"</f>
        <v>301081</v>
      </c>
      <c r="C4855" t="s">
        <v>10057</v>
      </c>
      <c r="D4855" t="s">
        <v>1070</v>
      </c>
      <c r="F4855">
        <v>256580616</v>
      </c>
      <c r="G4855">
        <v>183953473</v>
      </c>
      <c r="H4855">
        <v>169568388</v>
      </c>
      <c r="I4855">
        <v>125305511</v>
      </c>
      <c r="J4855">
        <v>74838739</v>
      </c>
      <c r="K4855">
        <v>43984215</v>
      </c>
      <c r="P4855">
        <v>21</v>
      </c>
      <c r="Q4855" t="s">
        <v>10058</v>
      </c>
    </row>
    <row r="4856" spans="1:17" x14ac:dyDescent="0.3">
      <c r="A4856" t="s">
        <v>4729</v>
      </c>
      <c r="B4856" t="str">
        <f>"301082"</f>
        <v>301082</v>
      </c>
      <c r="C4856" t="s">
        <v>10059</v>
      </c>
      <c r="D4856" t="s">
        <v>1164</v>
      </c>
      <c r="F4856">
        <v>1196650535</v>
      </c>
      <c r="G4856">
        <v>757598578</v>
      </c>
      <c r="H4856">
        <v>785564653</v>
      </c>
      <c r="I4856">
        <v>715604255</v>
      </c>
      <c r="J4856">
        <v>606549757</v>
      </c>
      <c r="P4856">
        <v>17</v>
      </c>
      <c r="Q4856" t="s">
        <v>10060</v>
      </c>
    </row>
    <row r="4857" spans="1:17" x14ac:dyDescent="0.3">
      <c r="A4857" t="s">
        <v>4729</v>
      </c>
      <c r="B4857" t="str">
        <f>"301083"</f>
        <v>301083</v>
      </c>
      <c r="C4857" t="s">
        <v>10061</v>
      </c>
      <c r="D4857" t="s">
        <v>741</v>
      </c>
      <c r="F4857">
        <v>64541935</v>
      </c>
      <c r="G4857">
        <v>59327760</v>
      </c>
      <c r="H4857">
        <v>65191629</v>
      </c>
      <c r="I4857">
        <v>65507274</v>
      </c>
      <c r="J4857">
        <v>41391712</v>
      </c>
      <c r="P4857">
        <v>16</v>
      </c>
      <c r="Q4857" t="s">
        <v>10062</v>
      </c>
    </row>
    <row r="4858" spans="1:17" x14ac:dyDescent="0.3">
      <c r="A4858" t="s">
        <v>4729</v>
      </c>
      <c r="B4858" t="str">
        <f>"301085"</f>
        <v>301085</v>
      </c>
      <c r="C4858" t="s">
        <v>10063</v>
      </c>
      <c r="D4858" t="s">
        <v>316</v>
      </c>
      <c r="F4858">
        <v>508519103</v>
      </c>
      <c r="G4858">
        <v>305131016</v>
      </c>
      <c r="H4858">
        <v>405299511</v>
      </c>
      <c r="I4858">
        <v>154922378</v>
      </c>
      <c r="J4858">
        <v>140952734</v>
      </c>
      <c r="P4858">
        <v>16</v>
      </c>
      <c r="Q4858" t="s">
        <v>10064</v>
      </c>
    </row>
    <row r="4859" spans="1:17" x14ac:dyDescent="0.3">
      <c r="A4859" t="s">
        <v>4729</v>
      </c>
      <c r="B4859" t="str">
        <f>"301086"</f>
        <v>301086</v>
      </c>
      <c r="C4859" t="s">
        <v>10065</v>
      </c>
      <c r="D4859" t="s">
        <v>313</v>
      </c>
      <c r="F4859">
        <v>264889478</v>
      </c>
      <c r="G4859">
        <v>257821206</v>
      </c>
      <c r="H4859">
        <v>154510468</v>
      </c>
      <c r="I4859">
        <v>172519209</v>
      </c>
      <c r="J4859">
        <v>147065801</v>
      </c>
      <c r="P4859">
        <v>28</v>
      </c>
      <c r="Q4859" t="s">
        <v>10066</v>
      </c>
    </row>
    <row r="4860" spans="1:17" x14ac:dyDescent="0.3">
      <c r="A4860" t="s">
        <v>4729</v>
      </c>
      <c r="B4860" t="str">
        <f>"301087"</f>
        <v>301087</v>
      </c>
      <c r="C4860" t="s">
        <v>10067</v>
      </c>
      <c r="D4860" t="s">
        <v>1305</v>
      </c>
      <c r="F4860">
        <v>346196707</v>
      </c>
      <c r="G4860">
        <v>192053664</v>
      </c>
      <c r="H4860">
        <v>165061155</v>
      </c>
      <c r="I4860">
        <v>155562296</v>
      </c>
      <c r="J4860">
        <v>81732537</v>
      </c>
      <c r="P4860">
        <v>33</v>
      </c>
      <c r="Q4860" t="s">
        <v>10068</v>
      </c>
    </row>
    <row r="4861" spans="1:17" x14ac:dyDescent="0.3">
      <c r="A4861" t="s">
        <v>4729</v>
      </c>
      <c r="B4861" t="str">
        <f>"301088"</f>
        <v>301088</v>
      </c>
      <c r="C4861" t="s">
        <v>10069</v>
      </c>
      <c r="D4861" t="s">
        <v>255</v>
      </c>
      <c r="F4861">
        <v>0</v>
      </c>
      <c r="G4861">
        <v>0</v>
      </c>
      <c r="H4861">
        <v>0</v>
      </c>
      <c r="I4861">
        <v>0</v>
      </c>
      <c r="J4861">
        <v>0</v>
      </c>
      <c r="P4861">
        <v>28</v>
      </c>
      <c r="Q4861" t="s">
        <v>10070</v>
      </c>
    </row>
    <row r="4862" spans="1:17" x14ac:dyDescent="0.3">
      <c r="A4862" t="s">
        <v>4729</v>
      </c>
      <c r="B4862" t="str">
        <f>"301089"</f>
        <v>301089</v>
      </c>
      <c r="C4862" t="s">
        <v>10071</v>
      </c>
      <c r="D4862" t="s">
        <v>496</v>
      </c>
      <c r="F4862">
        <v>57414968</v>
      </c>
      <c r="G4862">
        <v>37348969</v>
      </c>
      <c r="H4862">
        <v>26543030</v>
      </c>
      <c r="I4862">
        <v>56286978</v>
      </c>
      <c r="J4862">
        <v>54013867</v>
      </c>
      <c r="P4862">
        <v>37</v>
      </c>
      <c r="Q4862" t="s">
        <v>10072</v>
      </c>
    </row>
    <row r="4863" spans="1:17" x14ac:dyDescent="0.3">
      <c r="A4863" t="s">
        <v>4729</v>
      </c>
      <c r="B4863" t="str">
        <f>"301090"</f>
        <v>301090</v>
      </c>
      <c r="C4863" t="s">
        <v>10073</v>
      </c>
      <c r="D4863" t="s">
        <v>528</v>
      </c>
      <c r="F4863">
        <v>759447931</v>
      </c>
      <c r="G4863">
        <v>350365291</v>
      </c>
      <c r="H4863">
        <v>478468698</v>
      </c>
      <c r="I4863">
        <v>910520130</v>
      </c>
      <c r="J4863">
        <v>711445692</v>
      </c>
      <c r="P4863">
        <v>18</v>
      </c>
      <c r="Q4863" t="s">
        <v>10074</v>
      </c>
    </row>
    <row r="4864" spans="1:17" x14ac:dyDescent="0.3">
      <c r="A4864" t="s">
        <v>4729</v>
      </c>
      <c r="B4864" t="str">
        <f>"301091"</f>
        <v>301091</v>
      </c>
      <c r="C4864" t="s">
        <v>10075</v>
      </c>
      <c r="D4864" t="s">
        <v>1272</v>
      </c>
      <c r="F4864">
        <v>553941805</v>
      </c>
      <c r="G4864">
        <v>300659262</v>
      </c>
      <c r="H4864">
        <v>151143062</v>
      </c>
      <c r="I4864">
        <v>74763566</v>
      </c>
      <c r="J4864">
        <v>51666557</v>
      </c>
      <c r="P4864">
        <v>25</v>
      </c>
      <c r="Q4864" t="s">
        <v>10076</v>
      </c>
    </row>
    <row r="4865" spans="1:17" x14ac:dyDescent="0.3">
      <c r="A4865" t="s">
        <v>4729</v>
      </c>
      <c r="B4865" t="str">
        <f>"301092"</f>
        <v>301092</v>
      </c>
      <c r="C4865" t="s">
        <v>10077</v>
      </c>
      <c r="D4865" t="s">
        <v>3377</v>
      </c>
      <c r="F4865">
        <v>63850710</v>
      </c>
      <c r="G4865">
        <v>76899669</v>
      </c>
      <c r="H4865">
        <v>71862155</v>
      </c>
      <c r="I4865">
        <v>73931372</v>
      </c>
      <c r="J4865">
        <v>86081290</v>
      </c>
      <c r="P4865">
        <v>22</v>
      </c>
      <c r="Q4865" t="s">
        <v>10078</v>
      </c>
    </row>
    <row r="4866" spans="1:17" x14ac:dyDescent="0.3">
      <c r="A4866" t="s">
        <v>4729</v>
      </c>
      <c r="B4866" t="str">
        <f>"301093"</f>
        <v>301093</v>
      </c>
      <c r="C4866" t="s">
        <v>10079</v>
      </c>
      <c r="D4866" t="s">
        <v>1077</v>
      </c>
      <c r="F4866">
        <v>159837212</v>
      </c>
      <c r="G4866">
        <v>125388773</v>
      </c>
      <c r="H4866">
        <v>108744788</v>
      </c>
      <c r="I4866">
        <v>112919507</v>
      </c>
      <c r="J4866">
        <v>125419716</v>
      </c>
      <c r="P4866">
        <v>30</v>
      </c>
      <c r="Q4866" t="s">
        <v>10080</v>
      </c>
    </row>
    <row r="4867" spans="1:17" x14ac:dyDescent="0.3">
      <c r="A4867" t="s">
        <v>4729</v>
      </c>
      <c r="B4867" t="str">
        <f>"301096"</f>
        <v>301096</v>
      </c>
      <c r="C4867" t="s">
        <v>10081</v>
      </c>
      <c r="D4867" t="s">
        <v>1461</v>
      </c>
      <c r="F4867">
        <v>76755729</v>
      </c>
      <c r="G4867">
        <v>34514090</v>
      </c>
      <c r="H4867">
        <v>26808056</v>
      </c>
      <c r="I4867">
        <v>13580749</v>
      </c>
      <c r="J4867">
        <v>3172389</v>
      </c>
      <c r="P4867">
        <v>26</v>
      </c>
      <c r="Q4867" t="s">
        <v>10082</v>
      </c>
    </row>
    <row r="4868" spans="1:17" x14ac:dyDescent="0.3">
      <c r="A4868" t="s">
        <v>4729</v>
      </c>
      <c r="B4868" t="str">
        <f>"301097"</f>
        <v>301097</v>
      </c>
      <c r="C4868" t="s">
        <v>10083</v>
      </c>
      <c r="F4868">
        <v>32027481</v>
      </c>
      <c r="G4868">
        <v>26083825</v>
      </c>
      <c r="H4868">
        <v>35751819</v>
      </c>
      <c r="I4868">
        <v>17855733</v>
      </c>
      <c r="J4868">
        <v>18990595</v>
      </c>
      <c r="P4868">
        <v>2</v>
      </c>
      <c r="Q4868" t="s">
        <v>10084</v>
      </c>
    </row>
    <row r="4869" spans="1:17" x14ac:dyDescent="0.3">
      <c r="A4869" t="s">
        <v>4729</v>
      </c>
      <c r="B4869" t="str">
        <f>"301098"</f>
        <v>301098</v>
      </c>
      <c r="C4869" t="s">
        <v>10085</v>
      </c>
      <c r="D4869" t="s">
        <v>2417</v>
      </c>
      <c r="F4869">
        <v>923072733</v>
      </c>
      <c r="G4869">
        <v>973197580</v>
      </c>
      <c r="H4869">
        <v>811504815</v>
      </c>
      <c r="I4869">
        <v>504466735</v>
      </c>
      <c r="J4869">
        <v>393086052</v>
      </c>
      <c r="K4869">
        <v>238238100</v>
      </c>
      <c r="P4869">
        <v>13</v>
      </c>
      <c r="Q4869" t="s">
        <v>10086</v>
      </c>
    </row>
    <row r="4870" spans="1:17" x14ac:dyDescent="0.3">
      <c r="A4870" t="s">
        <v>4729</v>
      </c>
      <c r="B4870" t="str">
        <f>"301099"</f>
        <v>301099</v>
      </c>
      <c r="C4870" t="s">
        <v>10087</v>
      </c>
      <c r="D4870" t="s">
        <v>546</v>
      </c>
      <c r="F4870">
        <v>523869745</v>
      </c>
      <c r="G4870">
        <v>431548229</v>
      </c>
      <c r="H4870">
        <v>417464869</v>
      </c>
      <c r="I4870">
        <v>349680956</v>
      </c>
      <c r="J4870">
        <v>292910037</v>
      </c>
      <c r="P4870">
        <v>16</v>
      </c>
      <c r="Q4870" t="s">
        <v>10088</v>
      </c>
    </row>
    <row r="4871" spans="1:17" x14ac:dyDescent="0.3">
      <c r="A4871" t="s">
        <v>4729</v>
      </c>
      <c r="B4871" t="str">
        <f>"301100"</f>
        <v>301100</v>
      </c>
      <c r="C4871" t="s">
        <v>10089</v>
      </c>
      <c r="D4871" t="s">
        <v>386</v>
      </c>
      <c r="F4871">
        <v>236892397</v>
      </c>
      <c r="G4871">
        <v>230716154</v>
      </c>
      <c r="H4871">
        <v>252306117</v>
      </c>
      <c r="I4871">
        <v>206130199</v>
      </c>
      <c r="J4871">
        <v>228798465</v>
      </c>
      <c r="P4871">
        <v>11</v>
      </c>
      <c r="Q4871" t="s">
        <v>10090</v>
      </c>
    </row>
    <row r="4872" spans="1:17" x14ac:dyDescent="0.3">
      <c r="A4872" t="s">
        <v>4729</v>
      </c>
      <c r="B4872" t="str">
        <f>"301101"</f>
        <v>301101</v>
      </c>
      <c r="C4872" t="s">
        <v>10091</v>
      </c>
      <c r="D4872" t="s">
        <v>3410</v>
      </c>
      <c r="F4872">
        <v>109645761</v>
      </c>
      <c r="G4872">
        <v>128459974</v>
      </c>
      <c r="H4872">
        <v>120305032</v>
      </c>
      <c r="I4872">
        <v>103758311</v>
      </c>
      <c r="J4872">
        <v>102043526</v>
      </c>
      <c r="P4872">
        <v>19</v>
      </c>
      <c r="Q4872" t="s">
        <v>10092</v>
      </c>
    </row>
    <row r="4873" spans="1:17" x14ac:dyDescent="0.3">
      <c r="A4873" t="s">
        <v>4729</v>
      </c>
      <c r="B4873" t="str">
        <f>"301102"</f>
        <v>301102</v>
      </c>
      <c r="C4873" t="s">
        <v>10093</v>
      </c>
      <c r="F4873">
        <v>210155933</v>
      </c>
      <c r="G4873">
        <v>166933712</v>
      </c>
      <c r="H4873">
        <v>159281854</v>
      </c>
      <c r="I4873">
        <v>145982285</v>
      </c>
      <c r="J4873">
        <v>141885039</v>
      </c>
      <c r="P4873">
        <v>4</v>
      </c>
      <c r="Q4873" t="s">
        <v>10094</v>
      </c>
    </row>
    <row r="4874" spans="1:17" x14ac:dyDescent="0.3">
      <c r="A4874" t="s">
        <v>4729</v>
      </c>
      <c r="B4874" t="str">
        <f>"301103"</f>
        <v>301103</v>
      </c>
      <c r="C4874" t="s">
        <v>10095</v>
      </c>
      <c r="F4874">
        <v>30756641</v>
      </c>
      <c r="G4874">
        <v>28033551</v>
      </c>
      <c r="H4874">
        <v>25773231</v>
      </c>
      <c r="I4874">
        <v>23398435</v>
      </c>
      <c r="J4874">
        <v>25609270</v>
      </c>
      <c r="P4874">
        <v>5</v>
      </c>
      <c r="Q4874" t="s">
        <v>10096</v>
      </c>
    </row>
    <row r="4875" spans="1:17" x14ac:dyDescent="0.3">
      <c r="A4875" t="s">
        <v>4729</v>
      </c>
      <c r="B4875" t="str">
        <f>"301106"</f>
        <v>301106</v>
      </c>
      <c r="C4875" t="s">
        <v>10097</v>
      </c>
      <c r="F4875">
        <v>184892531</v>
      </c>
      <c r="G4875">
        <v>147067912</v>
      </c>
      <c r="H4875">
        <v>130830309</v>
      </c>
      <c r="I4875">
        <v>102763277</v>
      </c>
      <c r="J4875">
        <v>107210169</v>
      </c>
      <c r="P4875">
        <v>8</v>
      </c>
      <c r="Q4875" t="s">
        <v>10098</v>
      </c>
    </row>
    <row r="4876" spans="1:17" x14ac:dyDescent="0.3">
      <c r="A4876" t="s">
        <v>4729</v>
      </c>
      <c r="B4876" t="str">
        <f>"301108"</f>
        <v>301108</v>
      </c>
      <c r="C4876" t="s">
        <v>10099</v>
      </c>
      <c r="D4876" t="s">
        <v>2751</v>
      </c>
      <c r="F4876">
        <v>161971458</v>
      </c>
      <c r="G4876">
        <v>155421219</v>
      </c>
      <c r="H4876">
        <v>74041984</v>
      </c>
      <c r="I4876">
        <v>88011182</v>
      </c>
      <c r="J4876">
        <v>69337430</v>
      </c>
      <c r="P4876">
        <v>24</v>
      </c>
      <c r="Q4876" t="s">
        <v>10100</v>
      </c>
    </row>
    <row r="4877" spans="1:17" x14ac:dyDescent="0.3">
      <c r="A4877" t="s">
        <v>4729</v>
      </c>
      <c r="B4877" t="str">
        <f>"301109"</f>
        <v>301109</v>
      </c>
      <c r="C4877" t="s">
        <v>10101</v>
      </c>
      <c r="F4877">
        <v>295106986</v>
      </c>
      <c r="G4877">
        <v>177517682</v>
      </c>
      <c r="H4877">
        <v>126383190</v>
      </c>
      <c r="I4877">
        <v>107126576</v>
      </c>
      <c r="J4877">
        <v>18175623</v>
      </c>
      <c r="P4877">
        <v>3</v>
      </c>
      <c r="Q4877" t="s">
        <v>10102</v>
      </c>
    </row>
    <row r="4878" spans="1:17" x14ac:dyDescent="0.3">
      <c r="A4878" t="s">
        <v>4729</v>
      </c>
      <c r="B4878" t="str">
        <f>"301110"</f>
        <v>301110</v>
      </c>
      <c r="C4878" t="s">
        <v>10103</v>
      </c>
      <c r="F4878">
        <v>179891431</v>
      </c>
      <c r="G4878">
        <v>121715263</v>
      </c>
      <c r="H4878">
        <v>88240091</v>
      </c>
      <c r="I4878">
        <v>63942388</v>
      </c>
      <c r="J4878">
        <v>65571548</v>
      </c>
      <c r="P4878">
        <v>9</v>
      </c>
      <c r="Q4878" t="s">
        <v>10104</v>
      </c>
    </row>
    <row r="4879" spans="1:17" x14ac:dyDescent="0.3">
      <c r="A4879" t="s">
        <v>4729</v>
      </c>
      <c r="B4879" t="str">
        <f>"301111"</f>
        <v>301111</v>
      </c>
      <c r="C4879" t="s">
        <v>10105</v>
      </c>
      <c r="D4879" t="s">
        <v>143</v>
      </c>
      <c r="F4879">
        <v>70352007</v>
      </c>
      <c r="G4879">
        <v>46554737</v>
      </c>
      <c r="H4879">
        <v>50445516</v>
      </c>
      <c r="I4879">
        <v>50884314</v>
      </c>
      <c r="J4879">
        <v>22773187</v>
      </c>
      <c r="P4879">
        <v>28</v>
      </c>
      <c r="Q4879" t="s">
        <v>10106</v>
      </c>
    </row>
    <row r="4880" spans="1:17" x14ac:dyDescent="0.3">
      <c r="A4880" t="s">
        <v>4729</v>
      </c>
      <c r="B4880" t="str">
        <f>"301113"</f>
        <v>301113</v>
      </c>
      <c r="C4880" t="s">
        <v>10107</v>
      </c>
      <c r="D4880" t="s">
        <v>2445</v>
      </c>
      <c r="F4880">
        <v>78441168</v>
      </c>
      <c r="G4880">
        <v>82614375</v>
      </c>
      <c r="H4880">
        <v>28425132</v>
      </c>
      <c r="I4880">
        <v>35950379</v>
      </c>
      <c r="J4880">
        <v>29644342</v>
      </c>
      <c r="P4880">
        <v>27</v>
      </c>
      <c r="Q4880" t="s">
        <v>10108</v>
      </c>
    </row>
    <row r="4881" spans="1:17" x14ac:dyDescent="0.3">
      <c r="A4881" t="s">
        <v>4729</v>
      </c>
      <c r="B4881" t="str">
        <f>"301116"</f>
        <v>301116</v>
      </c>
      <c r="C4881" t="s">
        <v>10109</v>
      </c>
      <c r="D4881" t="s">
        <v>6260</v>
      </c>
      <c r="F4881">
        <v>385055037</v>
      </c>
      <c r="G4881">
        <v>152023333</v>
      </c>
      <c r="H4881">
        <v>157158620</v>
      </c>
      <c r="I4881">
        <v>181121305</v>
      </c>
      <c r="J4881">
        <v>64546355</v>
      </c>
      <c r="K4881">
        <v>16498674</v>
      </c>
      <c r="P4881">
        <v>11</v>
      </c>
      <c r="Q4881" t="s">
        <v>10110</v>
      </c>
    </row>
    <row r="4882" spans="1:17" x14ac:dyDescent="0.3">
      <c r="A4882" t="s">
        <v>4729</v>
      </c>
      <c r="B4882" t="str">
        <f>"301117"</f>
        <v>301117</v>
      </c>
      <c r="C4882" t="s">
        <v>10111</v>
      </c>
      <c r="D4882" t="s">
        <v>2980</v>
      </c>
      <c r="F4882">
        <v>259741733</v>
      </c>
      <c r="G4882">
        <v>131767659</v>
      </c>
      <c r="H4882">
        <v>130344877</v>
      </c>
      <c r="I4882">
        <v>101276647</v>
      </c>
      <c r="J4882">
        <v>44239612</v>
      </c>
      <c r="P4882">
        <v>9</v>
      </c>
      <c r="Q4882" t="s">
        <v>10112</v>
      </c>
    </row>
    <row r="4883" spans="1:17" x14ac:dyDescent="0.3">
      <c r="A4883" t="s">
        <v>4729</v>
      </c>
      <c r="B4883" t="str">
        <f>"301118"</f>
        <v>301118</v>
      </c>
      <c r="C4883" t="s">
        <v>10113</v>
      </c>
      <c r="D4883" t="s">
        <v>1233</v>
      </c>
      <c r="F4883">
        <v>17083944</v>
      </c>
      <c r="G4883">
        <v>14044210</v>
      </c>
      <c r="H4883">
        <v>25005858</v>
      </c>
      <c r="I4883">
        <v>16416780</v>
      </c>
      <c r="J4883">
        <v>28929154</v>
      </c>
      <c r="P4883">
        <v>16</v>
      </c>
      <c r="Q4883" t="s">
        <v>10114</v>
      </c>
    </row>
    <row r="4884" spans="1:17" x14ac:dyDescent="0.3">
      <c r="A4884" t="s">
        <v>4729</v>
      </c>
      <c r="B4884" t="str">
        <f>"301119"</f>
        <v>301119</v>
      </c>
      <c r="C4884" t="s">
        <v>10115</v>
      </c>
      <c r="D4884" t="s">
        <v>348</v>
      </c>
      <c r="F4884">
        <v>108784614</v>
      </c>
      <c r="G4884">
        <v>94688501</v>
      </c>
      <c r="H4884">
        <v>86723701</v>
      </c>
      <c r="I4884">
        <v>99339913</v>
      </c>
      <c r="J4884">
        <v>91403493</v>
      </c>
      <c r="P4884">
        <v>12</v>
      </c>
      <c r="Q4884" t="s">
        <v>10116</v>
      </c>
    </row>
    <row r="4885" spans="1:17" x14ac:dyDescent="0.3">
      <c r="A4885" t="s">
        <v>4729</v>
      </c>
      <c r="B4885" t="str">
        <f>"301120"</f>
        <v>301120</v>
      </c>
      <c r="C4885" t="s">
        <v>10117</v>
      </c>
      <c r="F4885">
        <v>197697011</v>
      </c>
      <c r="G4885">
        <v>171119369</v>
      </c>
      <c r="H4885">
        <v>150518884</v>
      </c>
      <c r="I4885">
        <v>129065319</v>
      </c>
      <c r="J4885">
        <v>110285330</v>
      </c>
      <c r="P4885">
        <v>7</v>
      </c>
      <c r="Q4885" t="s">
        <v>10118</v>
      </c>
    </row>
    <row r="4886" spans="1:17" x14ac:dyDescent="0.3">
      <c r="A4886" t="s">
        <v>4729</v>
      </c>
      <c r="B4886" t="str">
        <f>"301122"</f>
        <v>301122</v>
      </c>
      <c r="C4886" t="s">
        <v>10119</v>
      </c>
      <c r="F4886">
        <v>61940618</v>
      </c>
      <c r="G4886">
        <v>55417241</v>
      </c>
      <c r="H4886">
        <v>16157730</v>
      </c>
      <c r="I4886">
        <v>29426596</v>
      </c>
      <c r="J4886">
        <v>18206050</v>
      </c>
      <c r="P4886">
        <v>14</v>
      </c>
      <c r="Q4886" t="s">
        <v>10120</v>
      </c>
    </row>
    <row r="4887" spans="1:17" x14ac:dyDescent="0.3">
      <c r="A4887" t="s">
        <v>4729</v>
      </c>
      <c r="B4887" t="str">
        <f>"301123"</f>
        <v>301123</v>
      </c>
      <c r="C4887" t="s">
        <v>10121</v>
      </c>
      <c r="F4887">
        <v>548614496</v>
      </c>
      <c r="G4887">
        <v>457128001</v>
      </c>
      <c r="H4887">
        <v>372185829</v>
      </c>
      <c r="I4887">
        <v>384733137</v>
      </c>
      <c r="J4887">
        <v>342752758</v>
      </c>
      <c r="P4887">
        <v>6</v>
      </c>
      <c r="Q4887" t="s">
        <v>10122</v>
      </c>
    </row>
    <row r="4888" spans="1:17" x14ac:dyDescent="0.3">
      <c r="A4888" t="s">
        <v>4729</v>
      </c>
      <c r="B4888" t="str">
        <f>"301126"</f>
        <v>301126</v>
      </c>
      <c r="C4888" t="s">
        <v>10123</v>
      </c>
      <c r="D4888" t="s">
        <v>125</v>
      </c>
      <c r="F4888">
        <v>1308427198</v>
      </c>
      <c r="G4888">
        <v>1099762464</v>
      </c>
      <c r="H4888">
        <v>1118777041</v>
      </c>
      <c r="I4888">
        <v>1169821676</v>
      </c>
      <c r="J4888">
        <v>1085983294</v>
      </c>
      <c r="P4888">
        <v>14</v>
      </c>
      <c r="Q4888" t="s">
        <v>10124</v>
      </c>
    </row>
    <row r="4889" spans="1:17" x14ac:dyDescent="0.3">
      <c r="A4889" t="s">
        <v>4729</v>
      </c>
      <c r="B4889" t="str">
        <f>"301127"</f>
        <v>301127</v>
      </c>
      <c r="C4889" t="s">
        <v>10125</v>
      </c>
      <c r="D4889" t="s">
        <v>33</v>
      </c>
      <c r="F4889">
        <v>371504630</v>
      </c>
      <c r="G4889">
        <v>241529526</v>
      </c>
      <c r="H4889">
        <v>221091198</v>
      </c>
      <c r="I4889">
        <v>103621194</v>
      </c>
      <c r="J4889">
        <v>68187891</v>
      </c>
      <c r="P4889">
        <v>13</v>
      </c>
      <c r="Q4889" t="s">
        <v>10126</v>
      </c>
    </row>
    <row r="4890" spans="1:17" x14ac:dyDescent="0.3">
      <c r="A4890" t="s">
        <v>4729</v>
      </c>
      <c r="B4890" t="str">
        <f>"301128"</f>
        <v>301128</v>
      </c>
      <c r="C4890" t="s">
        <v>10127</v>
      </c>
      <c r="D4890" t="s">
        <v>741</v>
      </c>
      <c r="F4890">
        <v>155256773</v>
      </c>
      <c r="G4890">
        <v>139185892</v>
      </c>
      <c r="H4890">
        <v>112776113</v>
      </c>
      <c r="I4890">
        <v>94290510</v>
      </c>
      <c r="J4890">
        <v>44467708</v>
      </c>
      <c r="P4890">
        <v>12</v>
      </c>
      <c r="Q4890" t="s">
        <v>10128</v>
      </c>
    </row>
    <row r="4891" spans="1:17" x14ac:dyDescent="0.3">
      <c r="A4891" t="s">
        <v>4729</v>
      </c>
      <c r="B4891" t="str">
        <f>"301129"</f>
        <v>301129</v>
      </c>
      <c r="C4891" t="s">
        <v>10129</v>
      </c>
      <c r="D4891" t="s">
        <v>2566</v>
      </c>
      <c r="F4891">
        <v>294988097</v>
      </c>
      <c r="G4891">
        <v>193273924</v>
      </c>
      <c r="H4891">
        <v>165723260</v>
      </c>
      <c r="I4891">
        <v>130817324</v>
      </c>
      <c r="J4891">
        <v>97787244</v>
      </c>
      <c r="P4891">
        <v>22</v>
      </c>
      <c r="Q4891" t="s">
        <v>10130</v>
      </c>
    </row>
    <row r="4892" spans="1:17" x14ac:dyDescent="0.3">
      <c r="A4892" t="s">
        <v>4729</v>
      </c>
      <c r="B4892" t="str">
        <f>"301130"</f>
        <v>301130</v>
      </c>
      <c r="C4892" t="s">
        <v>10131</v>
      </c>
      <c r="F4892">
        <v>37076209</v>
      </c>
      <c r="G4892">
        <v>34904915</v>
      </c>
      <c r="H4892">
        <v>38558523</v>
      </c>
      <c r="I4892">
        <v>36878415</v>
      </c>
      <c r="J4892">
        <v>37073380</v>
      </c>
      <c r="P4892">
        <v>7</v>
      </c>
      <c r="Q4892" t="s">
        <v>10132</v>
      </c>
    </row>
    <row r="4893" spans="1:17" x14ac:dyDescent="0.3">
      <c r="A4893" t="s">
        <v>4729</v>
      </c>
      <c r="B4893" t="str">
        <f>"301131"</f>
        <v>301131</v>
      </c>
      <c r="C4893" t="s">
        <v>10133</v>
      </c>
      <c r="F4893">
        <v>325045207</v>
      </c>
      <c r="G4893">
        <v>317621467</v>
      </c>
      <c r="H4893">
        <v>260254444</v>
      </c>
      <c r="I4893">
        <v>245852012</v>
      </c>
      <c r="J4893">
        <v>191204032</v>
      </c>
      <c r="P4893">
        <v>4</v>
      </c>
      <c r="Q4893" t="s">
        <v>10134</v>
      </c>
    </row>
    <row r="4894" spans="1:17" x14ac:dyDescent="0.3">
      <c r="A4894" t="s">
        <v>4729</v>
      </c>
      <c r="B4894" t="str">
        <f>"301133"</f>
        <v>301133</v>
      </c>
      <c r="C4894" t="s">
        <v>10135</v>
      </c>
      <c r="D4894" t="s">
        <v>191</v>
      </c>
      <c r="F4894">
        <v>197819973</v>
      </c>
      <c r="G4894">
        <v>141488972</v>
      </c>
      <c r="H4894">
        <v>92882910</v>
      </c>
      <c r="I4894">
        <v>87152287</v>
      </c>
      <c r="J4894">
        <v>70978600</v>
      </c>
      <c r="P4894">
        <v>15</v>
      </c>
      <c r="Q4894" t="s">
        <v>10136</v>
      </c>
    </row>
    <row r="4895" spans="1:17" x14ac:dyDescent="0.3">
      <c r="A4895" t="s">
        <v>4729</v>
      </c>
      <c r="B4895" t="str">
        <f>"301135"</f>
        <v>301135</v>
      </c>
      <c r="C4895" t="s">
        <v>10137</v>
      </c>
      <c r="F4895">
        <v>354429745</v>
      </c>
      <c r="G4895">
        <v>267682368</v>
      </c>
      <c r="H4895">
        <v>244889159</v>
      </c>
      <c r="I4895">
        <v>257235192</v>
      </c>
      <c r="J4895">
        <v>216871757</v>
      </c>
      <c r="P4895">
        <v>1</v>
      </c>
      <c r="Q4895" t="s">
        <v>10138</v>
      </c>
    </row>
    <row r="4896" spans="1:17" x14ac:dyDescent="0.3">
      <c r="A4896" t="s">
        <v>4729</v>
      </c>
      <c r="B4896" t="str">
        <f>"301136"</f>
        <v>301136</v>
      </c>
      <c r="C4896" t="s">
        <v>10139</v>
      </c>
      <c r="D4896" t="s">
        <v>1272</v>
      </c>
      <c r="F4896">
        <v>177994053</v>
      </c>
      <c r="G4896">
        <v>154031124</v>
      </c>
      <c r="H4896">
        <v>258215137</v>
      </c>
      <c r="I4896">
        <v>165534762</v>
      </c>
      <c r="J4896">
        <v>103653197</v>
      </c>
      <c r="P4896">
        <v>9</v>
      </c>
      <c r="Q4896" t="s">
        <v>10140</v>
      </c>
    </row>
    <row r="4897" spans="1:17" x14ac:dyDescent="0.3">
      <c r="A4897" t="s">
        <v>4729</v>
      </c>
      <c r="B4897" t="str">
        <f>"301137"</f>
        <v>301137</v>
      </c>
      <c r="C4897" t="s">
        <v>10141</v>
      </c>
      <c r="F4897">
        <v>259701016</v>
      </c>
      <c r="G4897">
        <v>220512723</v>
      </c>
      <c r="H4897">
        <v>169218318</v>
      </c>
      <c r="I4897">
        <v>196816128</v>
      </c>
      <c r="J4897">
        <v>213045822</v>
      </c>
      <c r="P4897">
        <v>3</v>
      </c>
      <c r="Q4897" t="s">
        <v>10142</v>
      </c>
    </row>
    <row r="4898" spans="1:17" x14ac:dyDescent="0.3">
      <c r="A4898" t="s">
        <v>4729</v>
      </c>
      <c r="B4898" t="str">
        <f>"301138"</f>
        <v>301138</v>
      </c>
      <c r="C4898" t="s">
        <v>10143</v>
      </c>
      <c r="D4898" t="s">
        <v>741</v>
      </c>
      <c r="F4898">
        <v>89410236</v>
      </c>
      <c r="G4898">
        <v>77158029</v>
      </c>
      <c r="H4898">
        <v>67074949</v>
      </c>
      <c r="I4898">
        <v>78703820</v>
      </c>
      <c r="J4898">
        <v>71042102</v>
      </c>
      <c r="P4898">
        <v>16</v>
      </c>
      <c r="Q4898" t="s">
        <v>10144</v>
      </c>
    </row>
    <row r="4899" spans="1:17" x14ac:dyDescent="0.3">
      <c r="A4899" t="s">
        <v>4729</v>
      </c>
      <c r="B4899" t="str">
        <f>"301148"</f>
        <v>301148</v>
      </c>
      <c r="C4899" t="s">
        <v>10145</v>
      </c>
      <c r="F4899">
        <v>326861660</v>
      </c>
      <c r="G4899">
        <v>178503022</v>
      </c>
      <c r="H4899">
        <v>160434732</v>
      </c>
      <c r="I4899">
        <v>60063785</v>
      </c>
      <c r="J4899">
        <v>23033501</v>
      </c>
      <c r="P4899">
        <v>1</v>
      </c>
      <c r="Q4899" t="s">
        <v>10146</v>
      </c>
    </row>
    <row r="4900" spans="1:17" x14ac:dyDescent="0.3">
      <c r="A4900" t="s">
        <v>4729</v>
      </c>
      <c r="B4900" t="str">
        <f>"301149"</f>
        <v>301149</v>
      </c>
      <c r="C4900" t="s">
        <v>10147</v>
      </c>
      <c r="D4900" t="s">
        <v>386</v>
      </c>
      <c r="F4900">
        <v>64938932</v>
      </c>
      <c r="G4900">
        <v>27068441</v>
      </c>
      <c r="H4900">
        <v>11349012</v>
      </c>
      <c r="I4900">
        <v>14758922</v>
      </c>
      <c r="J4900">
        <v>7074766</v>
      </c>
      <c r="P4900">
        <v>17</v>
      </c>
      <c r="Q4900" t="s">
        <v>10148</v>
      </c>
    </row>
    <row r="4901" spans="1:17" x14ac:dyDescent="0.3">
      <c r="A4901" t="s">
        <v>4729</v>
      </c>
      <c r="B4901" t="str">
        <f>"301150"</f>
        <v>301150</v>
      </c>
      <c r="C4901" t="s">
        <v>10149</v>
      </c>
      <c r="F4901">
        <v>296658479</v>
      </c>
      <c r="G4901">
        <v>233677281</v>
      </c>
      <c r="H4901">
        <v>206927997</v>
      </c>
      <c r="I4901">
        <v>96003483</v>
      </c>
      <c r="J4901">
        <v>36459624</v>
      </c>
      <c r="P4901">
        <v>7</v>
      </c>
      <c r="Q4901" t="s">
        <v>10150</v>
      </c>
    </row>
    <row r="4902" spans="1:17" x14ac:dyDescent="0.3">
      <c r="A4902" t="s">
        <v>4729</v>
      </c>
      <c r="B4902" t="str">
        <f>"301151"</f>
        <v>301151</v>
      </c>
      <c r="C4902" t="s">
        <v>10151</v>
      </c>
      <c r="F4902">
        <v>442804502</v>
      </c>
      <c r="G4902">
        <v>474188922</v>
      </c>
      <c r="H4902">
        <v>443612518</v>
      </c>
      <c r="I4902">
        <v>404230809</v>
      </c>
      <c r="J4902">
        <v>314259014</v>
      </c>
      <c r="P4902">
        <v>5</v>
      </c>
      <c r="Q4902" t="s">
        <v>10152</v>
      </c>
    </row>
    <row r="4903" spans="1:17" x14ac:dyDescent="0.3">
      <c r="A4903" t="s">
        <v>4729</v>
      </c>
      <c r="B4903" t="str">
        <f>"301153"</f>
        <v>301153</v>
      </c>
      <c r="C4903" t="s">
        <v>10153</v>
      </c>
      <c r="F4903">
        <v>162665537</v>
      </c>
      <c r="G4903">
        <v>144481533</v>
      </c>
      <c r="H4903">
        <v>124383415</v>
      </c>
      <c r="I4903">
        <v>147464344</v>
      </c>
      <c r="J4903">
        <v>149931645</v>
      </c>
      <c r="Q4903" t="s">
        <v>10154</v>
      </c>
    </row>
    <row r="4904" spans="1:17" x14ac:dyDescent="0.3">
      <c r="A4904" t="s">
        <v>4729</v>
      </c>
      <c r="B4904" t="str">
        <f>"301155"</f>
        <v>301155</v>
      </c>
      <c r="C4904" t="s">
        <v>10155</v>
      </c>
      <c r="D4904" t="s">
        <v>950</v>
      </c>
      <c r="F4904">
        <v>1342457826</v>
      </c>
      <c r="G4904">
        <v>516275371</v>
      </c>
      <c r="H4904">
        <v>449684429</v>
      </c>
      <c r="I4904">
        <v>423419140</v>
      </c>
      <c r="J4904">
        <v>328072152</v>
      </c>
      <c r="P4904">
        <v>40</v>
      </c>
      <c r="Q4904" t="s">
        <v>10156</v>
      </c>
    </row>
    <row r="4905" spans="1:17" x14ac:dyDescent="0.3">
      <c r="A4905" t="s">
        <v>4729</v>
      </c>
      <c r="B4905" t="str">
        <f>"301158"</f>
        <v>301158</v>
      </c>
      <c r="C4905" t="s">
        <v>10157</v>
      </c>
      <c r="D4905" t="s">
        <v>395</v>
      </c>
      <c r="F4905">
        <v>317693235</v>
      </c>
      <c r="G4905">
        <v>251946480</v>
      </c>
      <c r="H4905">
        <v>224533295</v>
      </c>
      <c r="I4905">
        <v>208460650</v>
      </c>
      <c r="J4905">
        <v>179321262</v>
      </c>
      <c r="P4905">
        <v>12</v>
      </c>
      <c r="Q4905" t="s">
        <v>10158</v>
      </c>
    </row>
    <row r="4906" spans="1:17" x14ac:dyDescent="0.3">
      <c r="A4906" t="s">
        <v>4729</v>
      </c>
      <c r="B4906" t="str">
        <f>"301159"</f>
        <v>301159</v>
      </c>
      <c r="C4906" t="s">
        <v>10159</v>
      </c>
      <c r="D4906" t="s">
        <v>945</v>
      </c>
      <c r="F4906">
        <v>211239556</v>
      </c>
      <c r="G4906">
        <v>166496661</v>
      </c>
      <c r="H4906">
        <v>112440622</v>
      </c>
      <c r="I4906">
        <v>65781937</v>
      </c>
      <c r="J4906">
        <v>36127588</v>
      </c>
      <c r="P4906">
        <v>10</v>
      </c>
      <c r="Q4906" t="s">
        <v>10160</v>
      </c>
    </row>
    <row r="4907" spans="1:17" x14ac:dyDescent="0.3">
      <c r="A4907" t="s">
        <v>4729</v>
      </c>
      <c r="B4907" t="str">
        <f>"301162"</f>
        <v>301162</v>
      </c>
      <c r="C4907" t="s">
        <v>10161</v>
      </c>
      <c r="F4907">
        <v>173719266</v>
      </c>
      <c r="G4907">
        <v>139786818</v>
      </c>
      <c r="H4907">
        <v>88585280</v>
      </c>
      <c r="I4907">
        <v>70433841</v>
      </c>
      <c r="J4907">
        <v>54043976</v>
      </c>
      <c r="P4907">
        <v>2</v>
      </c>
      <c r="Q4907" t="s">
        <v>10162</v>
      </c>
    </row>
    <row r="4908" spans="1:17" x14ac:dyDescent="0.3">
      <c r="A4908" t="s">
        <v>4729</v>
      </c>
      <c r="B4908" t="str">
        <f>"301163"</f>
        <v>301163</v>
      </c>
      <c r="C4908" t="s">
        <v>10163</v>
      </c>
      <c r="F4908">
        <v>173596500</v>
      </c>
      <c r="G4908">
        <v>170311805</v>
      </c>
      <c r="H4908">
        <v>172891997</v>
      </c>
      <c r="I4908">
        <v>156915359</v>
      </c>
      <c r="J4908">
        <v>108502489</v>
      </c>
      <c r="P4908">
        <v>3</v>
      </c>
      <c r="Q4908" t="s">
        <v>10164</v>
      </c>
    </row>
    <row r="4909" spans="1:17" x14ac:dyDescent="0.3">
      <c r="A4909" t="s">
        <v>4729</v>
      </c>
      <c r="B4909" t="str">
        <f>"301166"</f>
        <v>301166</v>
      </c>
      <c r="C4909" t="s">
        <v>10165</v>
      </c>
      <c r="D4909" t="s">
        <v>1379</v>
      </c>
      <c r="F4909">
        <v>264361719</v>
      </c>
      <c r="G4909">
        <v>238366187</v>
      </c>
      <c r="H4909">
        <v>214060931</v>
      </c>
      <c r="I4909">
        <v>148514926</v>
      </c>
      <c r="J4909">
        <v>89874252</v>
      </c>
      <c r="P4909">
        <v>21</v>
      </c>
      <c r="Q4909" t="s">
        <v>10166</v>
      </c>
    </row>
    <row r="4910" spans="1:17" x14ac:dyDescent="0.3">
      <c r="A4910" t="s">
        <v>4729</v>
      </c>
      <c r="B4910" t="str">
        <f>"301167"</f>
        <v>301167</v>
      </c>
      <c r="C4910" t="s">
        <v>10167</v>
      </c>
      <c r="D4910" t="s">
        <v>1272</v>
      </c>
      <c r="F4910">
        <v>214325303</v>
      </c>
      <c r="G4910">
        <v>153851581</v>
      </c>
      <c r="H4910">
        <v>120941034</v>
      </c>
      <c r="I4910">
        <v>81532981</v>
      </c>
      <c r="J4910">
        <v>74603161</v>
      </c>
      <c r="P4910">
        <v>17</v>
      </c>
      <c r="Q4910" t="s">
        <v>10168</v>
      </c>
    </row>
    <row r="4911" spans="1:17" x14ac:dyDescent="0.3">
      <c r="A4911" t="s">
        <v>4729</v>
      </c>
      <c r="B4911" t="str">
        <f>"301168"</f>
        <v>301168</v>
      </c>
      <c r="C4911" t="s">
        <v>10169</v>
      </c>
      <c r="D4911" t="s">
        <v>478</v>
      </c>
      <c r="F4911">
        <v>418582174</v>
      </c>
      <c r="G4911">
        <v>360320064</v>
      </c>
      <c r="H4911">
        <v>307056575</v>
      </c>
      <c r="I4911">
        <v>255271566</v>
      </c>
      <c r="J4911">
        <v>290451556</v>
      </c>
      <c r="P4911">
        <v>14</v>
      </c>
      <c r="Q4911" t="s">
        <v>10170</v>
      </c>
    </row>
    <row r="4912" spans="1:17" x14ac:dyDescent="0.3">
      <c r="A4912" t="s">
        <v>4729</v>
      </c>
      <c r="B4912" t="str">
        <f>"301169"</f>
        <v>301169</v>
      </c>
      <c r="C4912" t="s">
        <v>10171</v>
      </c>
      <c r="D4912" t="s">
        <v>9832</v>
      </c>
      <c r="F4912">
        <v>86258377</v>
      </c>
      <c r="G4912">
        <v>79431071</v>
      </c>
      <c r="H4912">
        <v>77297274</v>
      </c>
      <c r="I4912">
        <v>52725492</v>
      </c>
      <c r="J4912">
        <v>43290855</v>
      </c>
      <c r="P4912">
        <v>15</v>
      </c>
      <c r="Q4912" t="s">
        <v>10172</v>
      </c>
    </row>
    <row r="4913" spans="1:17" x14ac:dyDescent="0.3">
      <c r="A4913" t="s">
        <v>4729</v>
      </c>
      <c r="B4913" t="str">
        <f>"301177"</f>
        <v>301177</v>
      </c>
      <c r="C4913" t="s">
        <v>10173</v>
      </c>
      <c r="D4913" t="s">
        <v>1238</v>
      </c>
      <c r="F4913">
        <v>174880677</v>
      </c>
      <c r="G4913">
        <v>166193819</v>
      </c>
      <c r="H4913">
        <v>83358185</v>
      </c>
      <c r="I4913">
        <v>63251154</v>
      </c>
      <c r="J4913">
        <v>26188875</v>
      </c>
      <c r="P4913">
        <v>30</v>
      </c>
      <c r="Q4913" t="s">
        <v>10174</v>
      </c>
    </row>
    <row r="4914" spans="1:17" x14ac:dyDescent="0.3">
      <c r="A4914" t="s">
        <v>4729</v>
      </c>
      <c r="B4914" t="str">
        <f>"301178"</f>
        <v>301178</v>
      </c>
      <c r="C4914" t="s">
        <v>10175</v>
      </c>
      <c r="D4914" t="s">
        <v>316</v>
      </c>
      <c r="F4914">
        <v>180394347</v>
      </c>
      <c r="G4914">
        <v>113560403</v>
      </c>
      <c r="H4914">
        <v>125472016</v>
      </c>
      <c r="I4914">
        <v>85777952</v>
      </c>
      <c r="J4914">
        <v>65822722</v>
      </c>
      <c r="P4914">
        <v>15</v>
      </c>
      <c r="Q4914" t="s">
        <v>10176</v>
      </c>
    </row>
    <row r="4915" spans="1:17" x14ac:dyDescent="0.3">
      <c r="A4915" t="s">
        <v>4729</v>
      </c>
      <c r="B4915" t="str">
        <f>"301179"</f>
        <v>301179</v>
      </c>
      <c r="C4915" t="s">
        <v>10177</v>
      </c>
      <c r="D4915" t="s">
        <v>610</v>
      </c>
      <c r="F4915">
        <v>45984544</v>
      </c>
      <c r="G4915">
        <v>39307839</v>
      </c>
      <c r="H4915">
        <v>43623345</v>
      </c>
      <c r="I4915">
        <v>71419932</v>
      </c>
      <c r="J4915">
        <v>38777098</v>
      </c>
      <c r="P4915">
        <v>17</v>
      </c>
      <c r="Q4915" t="s">
        <v>10178</v>
      </c>
    </row>
    <row r="4916" spans="1:17" x14ac:dyDescent="0.3">
      <c r="A4916" t="s">
        <v>4729</v>
      </c>
      <c r="B4916" t="str">
        <f>"301180"</f>
        <v>301180</v>
      </c>
      <c r="C4916" t="s">
        <v>10179</v>
      </c>
      <c r="D4916" t="s">
        <v>313</v>
      </c>
      <c r="F4916">
        <v>445448618</v>
      </c>
      <c r="G4916">
        <v>440348498</v>
      </c>
      <c r="H4916">
        <v>256779297</v>
      </c>
      <c r="I4916">
        <v>263399164</v>
      </c>
      <c r="J4916">
        <v>181626741</v>
      </c>
      <c r="P4916">
        <v>15</v>
      </c>
      <c r="Q4916" t="s">
        <v>10180</v>
      </c>
    </row>
    <row r="4917" spans="1:17" x14ac:dyDescent="0.3">
      <c r="A4917" t="s">
        <v>4729</v>
      </c>
      <c r="B4917" t="str">
        <f>"301181"</f>
        <v>301181</v>
      </c>
      <c r="C4917" t="s">
        <v>10181</v>
      </c>
      <c r="F4917">
        <v>68967945</v>
      </c>
      <c r="G4917">
        <v>68159785</v>
      </c>
      <c r="H4917">
        <v>83142185</v>
      </c>
      <c r="I4917">
        <v>46607321</v>
      </c>
      <c r="J4917">
        <v>39989149</v>
      </c>
      <c r="P4917">
        <v>5</v>
      </c>
      <c r="Q4917" t="s">
        <v>10182</v>
      </c>
    </row>
    <row r="4918" spans="1:17" x14ac:dyDescent="0.3">
      <c r="A4918" t="s">
        <v>4729</v>
      </c>
      <c r="B4918" t="str">
        <f>"301182"</f>
        <v>301182</v>
      </c>
      <c r="C4918" t="s">
        <v>10183</v>
      </c>
      <c r="D4918" t="s">
        <v>313</v>
      </c>
      <c r="F4918">
        <v>151164066</v>
      </c>
      <c r="G4918">
        <v>166409355</v>
      </c>
      <c r="H4918">
        <v>131538110</v>
      </c>
      <c r="I4918">
        <v>149736163</v>
      </c>
      <c r="J4918">
        <v>126988017</v>
      </c>
      <c r="P4918">
        <v>11</v>
      </c>
      <c r="Q4918" t="s">
        <v>10184</v>
      </c>
    </row>
    <row r="4919" spans="1:17" x14ac:dyDescent="0.3">
      <c r="A4919" t="s">
        <v>4729</v>
      </c>
      <c r="B4919" t="str">
        <f>"301185"</f>
        <v>301185</v>
      </c>
      <c r="C4919" t="s">
        <v>10185</v>
      </c>
      <c r="D4919" t="s">
        <v>316</v>
      </c>
      <c r="F4919">
        <v>40764863</v>
      </c>
      <c r="G4919">
        <v>13497146</v>
      </c>
      <c r="H4919">
        <v>26958675</v>
      </c>
      <c r="I4919">
        <v>20390037</v>
      </c>
      <c r="J4919">
        <v>3972298</v>
      </c>
      <c r="P4919">
        <v>20</v>
      </c>
      <c r="Q4919" t="s">
        <v>10186</v>
      </c>
    </row>
    <row r="4920" spans="1:17" x14ac:dyDescent="0.3">
      <c r="A4920" t="s">
        <v>4729</v>
      </c>
      <c r="B4920" t="str">
        <f>"301186"</f>
        <v>301186</v>
      </c>
      <c r="C4920" t="s">
        <v>10187</v>
      </c>
      <c r="D4920" t="s">
        <v>985</v>
      </c>
      <c r="F4920">
        <v>189414159</v>
      </c>
      <c r="G4920">
        <v>151667086</v>
      </c>
      <c r="H4920">
        <v>129232140</v>
      </c>
      <c r="I4920">
        <v>136226568</v>
      </c>
      <c r="J4920">
        <v>104227381</v>
      </c>
      <c r="P4920">
        <v>10</v>
      </c>
      <c r="Q4920" t="s">
        <v>10188</v>
      </c>
    </row>
    <row r="4921" spans="1:17" x14ac:dyDescent="0.3">
      <c r="A4921" t="s">
        <v>4729</v>
      </c>
      <c r="B4921" t="str">
        <f>"301187"</f>
        <v>301187</v>
      </c>
      <c r="C4921" t="s">
        <v>10189</v>
      </c>
      <c r="F4921">
        <v>166318613</v>
      </c>
      <c r="G4921">
        <v>108462611</v>
      </c>
      <c r="H4921">
        <v>63579982</v>
      </c>
      <c r="I4921">
        <v>98378456</v>
      </c>
      <c r="J4921">
        <v>90975472</v>
      </c>
      <c r="P4921">
        <v>1</v>
      </c>
      <c r="Q4921" t="s">
        <v>10190</v>
      </c>
    </row>
    <row r="4922" spans="1:17" x14ac:dyDescent="0.3">
      <c r="A4922" t="s">
        <v>4729</v>
      </c>
      <c r="B4922" t="str">
        <f>"301188"</f>
        <v>301188</v>
      </c>
      <c r="C4922" t="s">
        <v>10191</v>
      </c>
      <c r="D4922" t="s">
        <v>2445</v>
      </c>
      <c r="F4922">
        <v>149571478</v>
      </c>
      <c r="G4922">
        <v>105082717</v>
      </c>
      <c r="H4922">
        <v>94861403</v>
      </c>
      <c r="I4922">
        <v>81600937</v>
      </c>
      <c r="J4922">
        <v>70829086</v>
      </c>
      <c r="P4922">
        <v>18</v>
      </c>
      <c r="Q4922" t="s">
        <v>10192</v>
      </c>
    </row>
    <row r="4923" spans="1:17" x14ac:dyDescent="0.3">
      <c r="A4923" t="s">
        <v>4729</v>
      </c>
      <c r="B4923" t="str">
        <f>"301189"</f>
        <v>301189</v>
      </c>
      <c r="C4923" t="s">
        <v>10193</v>
      </c>
      <c r="D4923" t="s">
        <v>3526</v>
      </c>
      <c r="F4923">
        <v>198337149</v>
      </c>
      <c r="G4923">
        <v>105088544</v>
      </c>
      <c r="H4923">
        <v>59009841</v>
      </c>
      <c r="I4923">
        <v>61306453</v>
      </c>
      <c r="J4923">
        <v>57195615</v>
      </c>
      <c r="P4923">
        <v>10</v>
      </c>
      <c r="Q4923" t="s">
        <v>10194</v>
      </c>
    </row>
    <row r="4924" spans="1:17" x14ac:dyDescent="0.3">
      <c r="A4924" t="s">
        <v>4729</v>
      </c>
      <c r="B4924" t="str">
        <f>"301190"</f>
        <v>301190</v>
      </c>
      <c r="C4924" t="s">
        <v>10195</v>
      </c>
      <c r="D4924" t="s">
        <v>779</v>
      </c>
      <c r="F4924">
        <v>4360342</v>
      </c>
      <c r="G4924">
        <v>5401034</v>
      </c>
      <c r="H4924">
        <v>4284759</v>
      </c>
      <c r="I4924">
        <v>6239264</v>
      </c>
      <c r="J4924">
        <v>16930363</v>
      </c>
      <c r="P4924">
        <v>11</v>
      </c>
      <c r="Q4924" t="s">
        <v>10196</v>
      </c>
    </row>
    <row r="4925" spans="1:17" x14ac:dyDescent="0.3">
      <c r="A4925" t="s">
        <v>4729</v>
      </c>
      <c r="B4925" t="str">
        <f>"301193"</f>
        <v>301193</v>
      </c>
      <c r="C4925" t="s">
        <v>10197</v>
      </c>
      <c r="D4925" t="s">
        <v>2445</v>
      </c>
      <c r="F4925">
        <v>148319792</v>
      </c>
      <c r="G4925">
        <v>153940625</v>
      </c>
      <c r="H4925">
        <v>127103683</v>
      </c>
      <c r="I4925">
        <v>117516911</v>
      </c>
      <c r="J4925">
        <v>100863771</v>
      </c>
      <c r="P4925">
        <v>15</v>
      </c>
      <c r="Q4925" t="s">
        <v>10198</v>
      </c>
    </row>
    <row r="4926" spans="1:17" x14ac:dyDescent="0.3">
      <c r="A4926" t="s">
        <v>4729</v>
      </c>
      <c r="B4926" t="str">
        <f>"301196"</f>
        <v>301196</v>
      </c>
      <c r="C4926" t="s">
        <v>10199</v>
      </c>
      <c r="D4926" t="s">
        <v>1192</v>
      </c>
      <c r="F4926">
        <v>206924412</v>
      </c>
      <c r="G4926">
        <v>224054479</v>
      </c>
      <c r="H4926">
        <v>178117686</v>
      </c>
      <c r="I4926">
        <v>178604954</v>
      </c>
      <c r="J4926">
        <v>126659415</v>
      </c>
      <c r="P4926">
        <v>7</v>
      </c>
      <c r="Q4926" t="s">
        <v>10200</v>
      </c>
    </row>
    <row r="4927" spans="1:17" x14ac:dyDescent="0.3">
      <c r="A4927" t="s">
        <v>4729</v>
      </c>
      <c r="B4927" t="str">
        <f>"301198"</f>
        <v>301198</v>
      </c>
      <c r="C4927" t="s">
        <v>10201</v>
      </c>
      <c r="D4927" t="s">
        <v>485</v>
      </c>
      <c r="F4927">
        <v>187063550</v>
      </c>
      <c r="G4927">
        <v>128892673</v>
      </c>
      <c r="H4927">
        <v>92367604</v>
      </c>
      <c r="I4927">
        <v>146493742</v>
      </c>
      <c r="J4927">
        <v>103294073</v>
      </c>
      <c r="P4927">
        <v>16</v>
      </c>
      <c r="Q4927" t="s">
        <v>10202</v>
      </c>
    </row>
    <row r="4928" spans="1:17" x14ac:dyDescent="0.3">
      <c r="A4928" t="s">
        <v>4729</v>
      </c>
      <c r="B4928" t="str">
        <f>"301199"</f>
        <v>301199</v>
      </c>
      <c r="C4928" t="s">
        <v>10203</v>
      </c>
      <c r="D4928" t="s">
        <v>2938</v>
      </c>
      <c r="F4928">
        <v>298904364</v>
      </c>
      <c r="G4928">
        <v>326230927</v>
      </c>
      <c r="H4928">
        <v>253411530</v>
      </c>
      <c r="I4928">
        <v>180372321</v>
      </c>
      <c r="J4928">
        <v>76551335</v>
      </c>
      <c r="K4928">
        <v>46799220</v>
      </c>
      <c r="P4928">
        <v>10</v>
      </c>
      <c r="Q4928" t="s">
        <v>10204</v>
      </c>
    </row>
    <row r="4929" spans="1:17" x14ac:dyDescent="0.3">
      <c r="A4929" t="s">
        <v>4729</v>
      </c>
      <c r="B4929" t="str">
        <f>"301200"</f>
        <v>301200</v>
      </c>
      <c r="C4929" t="s">
        <v>10205</v>
      </c>
      <c r="F4929">
        <v>2026383950</v>
      </c>
      <c r="G4929">
        <v>1097429832</v>
      </c>
      <c r="H4929">
        <v>861083800</v>
      </c>
      <c r="I4929">
        <v>934804209</v>
      </c>
      <c r="P4929">
        <v>13</v>
      </c>
      <c r="Q4929" t="s">
        <v>10206</v>
      </c>
    </row>
    <row r="4930" spans="1:17" x14ac:dyDescent="0.3">
      <c r="A4930" t="s">
        <v>4729</v>
      </c>
      <c r="B4930" t="str">
        <f>"301201"</f>
        <v>301201</v>
      </c>
      <c r="C4930" t="s">
        <v>10207</v>
      </c>
      <c r="D4930" t="s">
        <v>1461</v>
      </c>
      <c r="F4930">
        <v>89179518</v>
      </c>
      <c r="G4930">
        <v>62203163</v>
      </c>
      <c r="H4930">
        <v>69315585</v>
      </c>
      <c r="I4930">
        <v>35757648</v>
      </c>
      <c r="J4930">
        <v>56947020</v>
      </c>
      <c r="P4930">
        <v>18</v>
      </c>
      <c r="Q4930" t="s">
        <v>10208</v>
      </c>
    </row>
    <row r="4931" spans="1:17" x14ac:dyDescent="0.3">
      <c r="A4931" t="s">
        <v>4729</v>
      </c>
      <c r="B4931" t="str">
        <f>"301206"</f>
        <v>301206</v>
      </c>
      <c r="C4931" t="s">
        <v>10209</v>
      </c>
      <c r="F4931">
        <v>141359629</v>
      </c>
      <c r="G4931">
        <v>70925283</v>
      </c>
      <c r="H4931">
        <v>36097370</v>
      </c>
      <c r="I4931">
        <v>27787495</v>
      </c>
      <c r="J4931">
        <v>13177507</v>
      </c>
      <c r="P4931">
        <v>24</v>
      </c>
      <c r="Q4931" t="s">
        <v>10210</v>
      </c>
    </row>
    <row r="4932" spans="1:17" x14ac:dyDescent="0.3">
      <c r="A4932" t="s">
        <v>4729</v>
      </c>
      <c r="B4932" t="str">
        <f>"301207"</f>
        <v>301207</v>
      </c>
      <c r="C4932" t="s">
        <v>10211</v>
      </c>
      <c r="F4932">
        <v>1438966175</v>
      </c>
      <c r="G4932">
        <v>1529806830</v>
      </c>
      <c r="H4932">
        <v>689446820</v>
      </c>
      <c r="I4932">
        <v>539962006</v>
      </c>
      <c r="J4932">
        <v>171779826</v>
      </c>
      <c r="P4932">
        <v>19</v>
      </c>
      <c r="Q4932" t="s">
        <v>10212</v>
      </c>
    </row>
    <row r="4933" spans="1:17" x14ac:dyDescent="0.3">
      <c r="A4933" t="s">
        <v>4729</v>
      </c>
      <c r="B4933" t="str">
        <f>"301211"</f>
        <v>301211</v>
      </c>
      <c r="C4933" t="s">
        <v>10213</v>
      </c>
      <c r="D4933" t="s">
        <v>496</v>
      </c>
      <c r="F4933">
        <v>130708638</v>
      </c>
      <c r="G4933">
        <v>87413441</v>
      </c>
      <c r="H4933">
        <v>82417658</v>
      </c>
      <c r="I4933">
        <v>59804742</v>
      </c>
      <c r="J4933">
        <v>53770781</v>
      </c>
      <c r="P4933">
        <v>14</v>
      </c>
      <c r="Q4933" t="s">
        <v>10214</v>
      </c>
    </row>
    <row r="4934" spans="1:17" x14ac:dyDescent="0.3">
      <c r="A4934" t="s">
        <v>4729</v>
      </c>
      <c r="B4934" t="str">
        <f>"301212"</f>
        <v>301212</v>
      </c>
      <c r="C4934" t="s">
        <v>10215</v>
      </c>
      <c r="F4934">
        <v>132356217</v>
      </c>
      <c r="G4934">
        <v>120897449</v>
      </c>
      <c r="H4934">
        <v>127219105</v>
      </c>
      <c r="I4934">
        <v>89322055</v>
      </c>
      <c r="J4934">
        <v>65118326</v>
      </c>
      <c r="P4934">
        <v>3</v>
      </c>
      <c r="Q4934" t="s">
        <v>10216</v>
      </c>
    </row>
    <row r="4935" spans="1:17" x14ac:dyDescent="0.3">
      <c r="A4935" t="s">
        <v>4729</v>
      </c>
      <c r="B4935" t="str">
        <f>"301213"</f>
        <v>301213</v>
      </c>
      <c r="C4935" t="s">
        <v>10217</v>
      </c>
      <c r="D4935" t="s">
        <v>1136</v>
      </c>
      <c r="F4935">
        <v>235664872</v>
      </c>
      <c r="G4935">
        <v>172211151</v>
      </c>
      <c r="H4935">
        <v>130764508</v>
      </c>
      <c r="I4935">
        <v>62692104</v>
      </c>
      <c r="J4935">
        <v>21408705</v>
      </c>
      <c r="P4935">
        <v>16</v>
      </c>
      <c r="Q4935" t="s">
        <v>10218</v>
      </c>
    </row>
    <row r="4936" spans="1:17" x14ac:dyDescent="0.3">
      <c r="A4936" t="s">
        <v>4729</v>
      </c>
      <c r="B4936" t="str">
        <f>"301215"</f>
        <v>301215</v>
      </c>
      <c r="C4936" t="s">
        <v>10219</v>
      </c>
      <c r="F4936">
        <v>103298528</v>
      </c>
      <c r="G4936">
        <v>132797836</v>
      </c>
      <c r="H4936">
        <v>233469978</v>
      </c>
      <c r="I4936">
        <v>204383772</v>
      </c>
      <c r="J4936">
        <v>98425461</v>
      </c>
      <c r="P4936">
        <v>7</v>
      </c>
      <c r="Q4936" t="s">
        <v>10220</v>
      </c>
    </row>
    <row r="4937" spans="1:17" x14ac:dyDescent="0.3">
      <c r="A4937" t="s">
        <v>4729</v>
      </c>
      <c r="B4937" t="str">
        <f>"301216"</f>
        <v>301216</v>
      </c>
      <c r="C4937" t="s">
        <v>10221</v>
      </c>
      <c r="F4937">
        <v>858365630</v>
      </c>
      <c r="G4937">
        <v>408967010</v>
      </c>
      <c r="H4937">
        <v>343312415</v>
      </c>
      <c r="I4937">
        <v>636800005</v>
      </c>
      <c r="J4937">
        <v>304118069</v>
      </c>
      <c r="P4937">
        <v>6</v>
      </c>
      <c r="Q4937" t="s">
        <v>10222</v>
      </c>
    </row>
    <row r="4938" spans="1:17" x14ac:dyDescent="0.3">
      <c r="A4938" t="s">
        <v>4729</v>
      </c>
      <c r="B4938" t="str">
        <f>"301217"</f>
        <v>301217</v>
      </c>
      <c r="C4938" t="s">
        <v>10223</v>
      </c>
      <c r="F4938">
        <v>671092558</v>
      </c>
      <c r="G4938">
        <v>410954392</v>
      </c>
      <c r="H4938">
        <v>336190638</v>
      </c>
      <c r="I4938">
        <v>300967861</v>
      </c>
      <c r="J4938">
        <v>367444002</v>
      </c>
      <c r="P4938">
        <v>16</v>
      </c>
      <c r="Q4938" t="s">
        <v>10224</v>
      </c>
    </row>
    <row r="4939" spans="1:17" x14ac:dyDescent="0.3">
      <c r="A4939" t="s">
        <v>4729</v>
      </c>
      <c r="B4939" t="str">
        <f>"301218"</f>
        <v>301218</v>
      </c>
      <c r="C4939" t="s">
        <v>10225</v>
      </c>
      <c r="F4939">
        <v>286856849</v>
      </c>
      <c r="G4939">
        <v>190087873</v>
      </c>
      <c r="H4939">
        <v>158433852</v>
      </c>
      <c r="I4939">
        <v>110190385</v>
      </c>
      <c r="J4939">
        <v>95211665</v>
      </c>
      <c r="P4939">
        <v>8</v>
      </c>
      <c r="Q4939" t="s">
        <v>10226</v>
      </c>
    </row>
    <row r="4940" spans="1:17" x14ac:dyDescent="0.3">
      <c r="A4940" t="s">
        <v>4729</v>
      </c>
      <c r="B4940" t="str">
        <f>"301219"</f>
        <v>301219</v>
      </c>
      <c r="C4940" t="s">
        <v>10227</v>
      </c>
      <c r="F4940">
        <v>279143649</v>
      </c>
      <c r="G4940">
        <v>50263515</v>
      </c>
      <c r="H4940">
        <v>45294638</v>
      </c>
      <c r="I4940">
        <v>79155175</v>
      </c>
      <c r="J4940">
        <v>40521991</v>
      </c>
      <c r="P4940">
        <v>8</v>
      </c>
      <c r="Q4940" t="s">
        <v>10228</v>
      </c>
    </row>
    <row r="4941" spans="1:17" x14ac:dyDescent="0.3">
      <c r="A4941" t="s">
        <v>4729</v>
      </c>
      <c r="B4941" t="str">
        <f>"301221"</f>
        <v>301221</v>
      </c>
      <c r="C4941" t="s">
        <v>10229</v>
      </c>
      <c r="D4941" t="s">
        <v>1415</v>
      </c>
      <c r="F4941">
        <v>167962295</v>
      </c>
      <c r="G4941">
        <v>92309365</v>
      </c>
      <c r="H4941">
        <v>98905619</v>
      </c>
      <c r="I4941">
        <v>112707057</v>
      </c>
      <c r="J4941">
        <v>58581990</v>
      </c>
      <c r="P4941">
        <v>16</v>
      </c>
      <c r="Q4941" t="s">
        <v>10230</v>
      </c>
    </row>
    <row r="4942" spans="1:17" x14ac:dyDescent="0.3">
      <c r="A4942" t="s">
        <v>4729</v>
      </c>
      <c r="B4942" t="str">
        <f>"301222"</f>
        <v>301222</v>
      </c>
      <c r="C4942" t="s">
        <v>10231</v>
      </c>
      <c r="F4942">
        <v>71375041</v>
      </c>
      <c r="G4942">
        <v>55113870</v>
      </c>
      <c r="H4942">
        <v>49560787</v>
      </c>
      <c r="I4942">
        <v>52106464</v>
      </c>
      <c r="J4942">
        <v>54277138</v>
      </c>
      <c r="P4942">
        <v>4</v>
      </c>
      <c r="Q4942" t="s">
        <v>10232</v>
      </c>
    </row>
    <row r="4943" spans="1:17" x14ac:dyDescent="0.3">
      <c r="A4943" t="s">
        <v>4729</v>
      </c>
      <c r="B4943" t="str">
        <f>"301226"</f>
        <v>301226</v>
      </c>
      <c r="C4943" t="s">
        <v>10233</v>
      </c>
      <c r="F4943">
        <v>163532929</v>
      </c>
      <c r="G4943">
        <v>138601866</v>
      </c>
      <c r="H4943">
        <v>122433271</v>
      </c>
      <c r="I4943">
        <v>119072476</v>
      </c>
      <c r="J4943">
        <v>103073852</v>
      </c>
      <c r="P4943">
        <v>4</v>
      </c>
      <c r="Q4943" t="s">
        <v>10234</v>
      </c>
    </row>
    <row r="4944" spans="1:17" x14ac:dyDescent="0.3">
      <c r="A4944" t="s">
        <v>4729</v>
      </c>
      <c r="B4944" t="str">
        <f>"301228"</f>
        <v>301228</v>
      </c>
      <c r="C4944" t="s">
        <v>10235</v>
      </c>
      <c r="F4944">
        <v>268585207</v>
      </c>
      <c r="G4944">
        <v>213830526</v>
      </c>
      <c r="H4944">
        <v>162237241</v>
      </c>
      <c r="I4944">
        <v>73950851</v>
      </c>
      <c r="J4944">
        <v>40414120</v>
      </c>
      <c r="P4944">
        <v>11</v>
      </c>
      <c r="Q4944" t="s">
        <v>10236</v>
      </c>
    </row>
    <row r="4945" spans="1:17" x14ac:dyDescent="0.3">
      <c r="A4945" t="s">
        <v>4729</v>
      </c>
      <c r="B4945" t="str">
        <f>"301229"</f>
        <v>301229</v>
      </c>
      <c r="C4945" t="s">
        <v>10237</v>
      </c>
      <c r="F4945">
        <v>180835881</v>
      </c>
      <c r="G4945">
        <v>166387976</v>
      </c>
      <c r="H4945">
        <v>111258241</v>
      </c>
      <c r="I4945">
        <v>81062765</v>
      </c>
      <c r="J4945">
        <v>64131305</v>
      </c>
      <c r="P4945">
        <v>6</v>
      </c>
      <c r="Q4945" t="s">
        <v>10238</v>
      </c>
    </row>
    <row r="4946" spans="1:17" x14ac:dyDescent="0.3">
      <c r="A4946" t="s">
        <v>4729</v>
      </c>
      <c r="B4946" t="str">
        <f>"301235"</f>
        <v>301235</v>
      </c>
      <c r="C4946" t="s">
        <v>10239</v>
      </c>
      <c r="F4946">
        <v>680393045</v>
      </c>
      <c r="G4946">
        <v>470101985</v>
      </c>
      <c r="H4946">
        <v>513141619</v>
      </c>
      <c r="I4946">
        <v>360186747</v>
      </c>
      <c r="J4946">
        <v>211013475</v>
      </c>
      <c r="P4946">
        <v>11</v>
      </c>
      <c r="Q4946" t="s">
        <v>10240</v>
      </c>
    </row>
    <row r="4947" spans="1:17" x14ac:dyDescent="0.3">
      <c r="A4947" t="s">
        <v>4729</v>
      </c>
      <c r="B4947" t="str">
        <f>"301236"</f>
        <v>301236</v>
      </c>
      <c r="C4947" t="s">
        <v>10241</v>
      </c>
      <c r="F4947">
        <v>4646284905</v>
      </c>
      <c r="G4947">
        <v>3307239161</v>
      </c>
      <c r="H4947">
        <v>3095296080</v>
      </c>
      <c r="I4947">
        <v>3193554116</v>
      </c>
      <c r="J4947">
        <v>2508628167</v>
      </c>
      <c r="P4947">
        <v>4</v>
      </c>
      <c r="Q4947" t="s">
        <v>10242</v>
      </c>
    </row>
    <row r="4948" spans="1:17" x14ac:dyDescent="0.3">
      <c r="A4948" t="s">
        <v>4729</v>
      </c>
      <c r="B4948" t="str">
        <f>"301237"</f>
        <v>301237</v>
      </c>
      <c r="C4948" t="s">
        <v>10243</v>
      </c>
      <c r="F4948">
        <v>60049348</v>
      </c>
      <c r="G4948">
        <v>40544879</v>
      </c>
      <c r="H4948">
        <v>30271636</v>
      </c>
      <c r="I4948">
        <v>27322727</v>
      </c>
      <c r="J4948">
        <v>28573514</v>
      </c>
      <c r="P4948">
        <v>6</v>
      </c>
      <c r="Q4948" t="s">
        <v>10244</v>
      </c>
    </row>
    <row r="4949" spans="1:17" x14ac:dyDescent="0.3">
      <c r="A4949" t="s">
        <v>4729</v>
      </c>
      <c r="B4949" t="str">
        <f>"301248"</f>
        <v>301248</v>
      </c>
      <c r="C4949" t="s">
        <v>10245</v>
      </c>
      <c r="F4949">
        <v>279809937</v>
      </c>
      <c r="G4949">
        <v>174974907</v>
      </c>
      <c r="H4949">
        <v>147199846</v>
      </c>
      <c r="I4949">
        <v>123223878</v>
      </c>
      <c r="J4949">
        <v>50511579</v>
      </c>
      <c r="P4949">
        <v>2</v>
      </c>
      <c r="Q4949" t="s">
        <v>10246</v>
      </c>
    </row>
    <row r="4950" spans="1:17" x14ac:dyDescent="0.3">
      <c r="A4950" t="s">
        <v>4729</v>
      </c>
      <c r="B4950" t="str">
        <f>"301256"</f>
        <v>301256</v>
      </c>
      <c r="C4950" t="s">
        <v>10247</v>
      </c>
      <c r="F4950">
        <v>29155550</v>
      </c>
      <c r="G4950">
        <v>14172984</v>
      </c>
      <c r="H4950">
        <v>17686814</v>
      </c>
      <c r="I4950">
        <v>21935685</v>
      </c>
      <c r="J4950">
        <v>15454942</v>
      </c>
      <c r="P4950">
        <v>3</v>
      </c>
      <c r="Q4950" t="s">
        <v>10248</v>
      </c>
    </row>
    <row r="4951" spans="1:17" x14ac:dyDescent="0.3">
      <c r="A4951" t="s">
        <v>4729</v>
      </c>
      <c r="B4951" t="str">
        <f>"301257"</f>
        <v>301257</v>
      </c>
      <c r="C4951" t="s">
        <v>10249</v>
      </c>
      <c r="F4951">
        <v>60163529</v>
      </c>
      <c r="G4951">
        <v>34020629</v>
      </c>
      <c r="H4951">
        <v>92219959</v>
      </c>
      <c r="I4951">
        <v>73577416</v>
      </c>
      <c r="J4951">
        <v>42839509</v>
      </c>
      <c r="Q4951" t="s">
        <v>10250</v>
      </c>
    </row>
    <row r="4952" spans="1:17" x14ac:dyDescent="0.3">
      <c r="A4952" t="s">
        <v>4729</v>
      </c>
      <c r="B4952" t="str">
        <f>"301258"</f>
        <v>301258</v>
      </c>
      <c r="C4952" t="s">
        <v>10251</v>
      </c>
      <c r="F4952">
        <v>85459928</v>
      </c>
      <c r="G4952">
        <v>79732639</v>
      </c>
      <c r="H4952">
        <v>89398537</v>
      </c>
      <c r="I4952">
        <v>82875399</v>
      </c>
      <c r="J4952">
        <v>69316300</v>
      </c>
      <c r="P4952">
        <v>4</v>
      </c>
      <c r="Q4952" t="s">
        <v>10252</v>
      </c>
    </row>
    <row r="4953" spans="1:17" x14ac:dyDescent="0.3">
      <c r="A4953" t="s">
        <v>4729</v>
      </c>
      <c r="B4953" t="str">
        <f>"301259"</f>
        <v>301259</v>
      </c>
      <c r="C4953" t="s">
        <v>10253</v>
      </c>
      <c r="F4953">
        <v>431842640</v>
      </c>
      <c r="G4953">
        <v>309605862</v>
      </c>
      <c r="H4953">
        <v>270365410</v>
      </c>
      <c r="I4953">
        <v>145177032</v>
      </c>
      <c r="J4953">
        <v>111873766</v>
      </c>
      <c r="P4953">
        <v>0</v>
      </c>
      <c r="Q4953" t="s">
        <v>10254</v>
      </c>
    </row>
    <row r="4954" spans="1:17" x14ac:dyDescent="0.3">
      <c r="A4954" t="s">
        <v>4729</v>
      </c>
      <c r="B4954" t="str">
        <f>"301263"</f>
        <v>301263</v>
      </c>
      <c r="C4954" t="s">
        <v>10255</v>
      </c>
      <c r="F4954">
        <v>239701444</v>
      </c>
      <c r="G4954">
        <v>196114869</v>
      </c>
      <c r="H4954">
        <v>184040931</v>
      </c>
      <c r="I4954">
        <v>174935923</v>
      </c>
      <c r="J4954">
        <v>136120817</v>
      </c>
      <c r="P4954">
        <v>5</v>
      </c>
      <c r="Q4954" t="s">
        <v>10256</v>
      </c>
    </row>
    <row r="4955" spans="1:17" x14ac:dyDescent="0.3">
      <c r="A4955" t="s">
        <v>4729</v>
      </c>
      <c r="B4955" t="str">
        <f>"301268"</f>
        <v>301268</v>
      </c>
      <c r="C4955" t="s">
        <v>10257</v>
      </c>
      <c r="F4955">
        <v>511092030</v>
      </c>
      <c r="G4955">
        <v>366889147</v>
      </c>
      <c r="H4955">
        <v>396892794</v>
      </c>
      <c r="I4955">
        <v>295758092</v>
      </c>
      <c r="J4955">
        <v>224990586</v>
      </c>
      <c r="P4955">
        <v>2</v>
      </c>
      <c r="Q4955" t="s">
        <v>10258</v>
      </c>
    </row>
    <row r="4956" spans="1:17" x14ac:dyDescent="0.3">
      <c r="A4956" t="s">
        <v>4729</v>
      </c>
      <c r="B4956" t="str">
        <f>"301279"</f>
        <v>301279</v>
      </c>
      <c r="C4956" t="s">
        <v>10259</v>
      </c>
      <c r="F4956">
        <v>104206939</v>
      </c>
      <c r="G4956">
        <v>84247177</v>
      </c>
      <c r="H4956">
        <v>81557204</v>
      </c>
      <c r="I4956">
        <v>75429666</v>
      </c>
      <c r="J4956">
        <v>66874491</v>
      </c>
      <c r="P4956">
        <v>5</v>
      </c>
      <c r="Q4956" t="s">
        <v>10260</v>
      </c>
    </row>
    <row r="4957" spans="1:17" x14ac:dyDescent="0.3">
      <c r="A4957" t="s">
        <v>4729</v>
      </c>
      <c r="B4957" t="str">
        <f>"301288"</f>
        <v>301288</v>
      </c>
      <c r="C4957" t="s">
        <v>10261</v>
      </c>
      <c r="F4957">
        <v>127459363</v>
      </c>
      <c r="G4957">
        <v>59662585</v>
      </c>
      <c r="H4957">
        <v>60312086</v>
      </c>
      <c r="I4957">
        <v>31693196</v>
      </c>
      <c r="P4957">
        <v>4</v>
      </c>
      <c r="Q4957" t="s">
        <v>10262</v>
      </c>
    </row>
    <row r="4959" spans="1:17" x14ac:dyDescent="0.3">
      <c r="A4959" t="s">
        <v>10263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筛选器_大陆_20220502_000451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2022-05-01T16:05:16Z</dcterms:created>
  <dcterms:modified xsi:type="dcterms:W3CDTF">2022-05-01T16:05:16Z</dcterms:modified>
</cp:coreProperties>
</file>